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charts/chart14.xml" ContentType="application/vnd.openxmlformats-officedocument.drawingml.chart+xml"/>
  <Override PartName="/xl/charts/style10.xml" ContentType="application/vnd.ms-office.chartstyle+xml"/>
  <Override PartName="/xl/charts/colors10.xml" ContentType="application/vnd.ms-office.chartcolorstyle+xml"/>
  <Override PartName="/xl/charts/chart15.xml" ContentType="application/vnd.openxmlformats-officedocument.drawingml.chart+xml"/>
  <Override PartName="/xl/charts/style11.xml" ContentType="application/vnd.ms-office.chartstyle+xml"/>
  <Override PartName="/xl/charts/colors11.xml" ContentType="application/vnd.ms-office.chartcolorstyle+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charts/chart18.xml" ContentType="application/vnd.openxmlformats-officedocument.drawingml.chart+xml"/>
  <Override PartName="/xl/charts/style14.xml" ContentType="application/vnd.ms-office.chartstyle+xml"/>
  <Override PartName="/xl/charts/colors14.xml" ContentType="application/vnd.ms-office.chartcolorstyle+xml"/>
  <Override PartName="/xl/comments4.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2CB4B845-E355-46F5-B4B1-D58140E4FC89}" xr6:coauthVersionLast="47" xr6:coauthVersionMax="47" xr10:uidLastSave="{00000000-0000-0000-0000-000000000000}"/>
  <bookViews>
    <workbookView xWindow="-3135" yWindow="-16155" windowWidth="25995" windowHeight="15555" tabRatio="921" firstSheet="6" activeTab="12" xr2:uid="{00000000-000D-0000-FFFF-FFFF00000000}"/>
  </bookViews>
  <sheets>
    <sheet name="KutoolsforExcel" sheetId="61" r:id="rId1"/>
    <sheet name="Index" sheetId="46" r:id="rId2"/>
    <sheet name="References" sheetId="40" r:id="rId3"/>
    <sheet name="Log of Changes" sheetId="36" r:id="rId4"/>
    <sheet name="conversion factors" sheetId="1" r:id="rId5"/>
    <sheet name="access to services" sheetId="60" r:id="rId6"/>
    <sheet name="Fridges" sheetId="62" r:id="rId7"/>
    <sheet name="Lighting" sheetId="71" r:id="rId8"/>
    <sheet name="Electrical efficiency" sheetId="83" r:id="rId9"/>
    <sheet name="Census 2011_17" sheetId="41" r:id="rId10"/>
    <sheet name="2017 end use splits" sheetId="74" r:id="rId11"/>
    <sheet name="Energy_Balance" sheetId="33" r:id="rId12"/>
    <sheet name="RES" sheetId="20" r:id="rId13"/>
    <sheet name="ITEMS_Tech" sheetId="84" r:id="rId14"/>
    <sheet name="ITEMS_Comm" sheetId="24" r:id="rId15"/>
    <sheet name="TS BYDem" sheetId="85" r:id="rId16"/>
    <sheet name="AFA" sheetId="32" r:id="rId17"/>
    <sheet name="Scenarios" sheetId="68" r:id="rId18"/>
  </sheets>
  <externalReferences>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12" hidden="1">RES!$A$34:$T$145</definedName>
    <definedName name="_ftn1" localSheetId="4">[1]Supply!$E$55</definedName>
    <definedName name="_ftnref1" localSheetId="4">[1]Supply!$G$51</definedName>
    <definedName name="ComTechs" localSheetId="15">[2]RES!#REF!</definedName>
    <definedName name="ComTechs">RES!#REF!</definedName>
    <definedName name="cr_ess_2001_draft1_qd1_sct4" localSheetId="17">#REF!</definedName>
    <definedName name="cr_ess_2001_draft1_qd1_sct4" localSheetId="15">#REF!</definedName>
    <definedName name="cr_ess_2001_draft1_qd1_sct4">#REF!</definedName>
    <definedName name="cr_ess_2001_draft1_qd1_sct5" localSheetId="17">#REF!</definedName>
    <definedName name="cr_ess_2001_draft1_qd1_sct5" localSheetId="15">#REF!</definedName>
    <definedName name="cr_ess_2001_draft1_qd1_sct5">#REF!</definedName>
    <definedName name="cr_supply_statistics_spreadsheets_1999_2000_final_2_with_table_titles_transmission_">'[3]Transmission '!$A$1:$A$2</definedName>
    <definedName name="eps" localSheetId="17">[4]NameConv!$F$1</definedName>
    <definedName name="eps" localSheetId="15">[2]NameConv!$F$1</definedName>
    <definedName name="eps">#REF!</definedName>
    <definedName name="Ezekiel">[5]D2_Section3!$A$1:$L$116</definedName>
    <definedName name="Ezkiel">[5]D2_Section4!$A$2:$Y$117</definedName>
    <definedName name="FuelCodes" localSheetId="17">[4]NameConv!$E$3:$F$23</definedName>
    <definedName name="FuelCodes" localSheetId="15">[2]NameConv!$E$3:$F$23</definedName>
    <definedName name="FuelCodes">#REF!</definedName>
    <definedName name="FuelNames" localSheetId="17">[4]NameConv!$D$3:$E$23</definedName>
    <definedName name="FuelNames" localSheetId="15">[2]NameConv!$D$3:$E$23</definedName>
    <definedName name="FuelNames">#REF!</definedName>
    <definedName name="HTML1_1" hidden="1">"'[Syb96.xls]ESI in South Africa'!$A$2:$C$22"</definedName>
    <definedName name="HTML1_11" hidden="1">1</definedName>
    <definedName name="HTML1_12" hidden="1">"C:\NER\ESIFlow.htm"</definedName>
    <definedName name="HTML1_2" hidden="1">-4146</definedName>
    <definedName name="HTML1_3" hidden="1">"C:\NER\Elec\Temp.htm"</definedName>
    <definedName name="HTMLCount" hidden="1">1</definedName>
    <definedName name="Insert_Area" localSheetId="17">#REF!</definedName>
    <definedName name="Insert_Area" localSheetId="15">#REF!</definedName>
    <definedName name="Insert_Area">#REF!</definedName>
    <definedName name="Paraffin_Stoves">[6]Sheet1!$A$99:$F$119</definedName>
    <definedName name="QueryD3_HRInfo" localSheetId="17">#REF!</definedName>
    <definedName name="QueryD3_HRInfo" localSheetId="15">#REF!</definedName>
    <definedName name="QueryD3_HRInfo">#REF!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rt_Area_Final" localSheetId="17">#REF!</definedName>
    <definedName name="Sort_Area_Final" localSheetId="15">#REF!</definedName>
    <definedName name="Sort_Area_Final">#REF!</definedName>
    <definedName name="Sort_Area_Start" localSheetId="17">#REF!</definedName>
    <definedName name="Sort_Area_Start" localSheetId="15">#REF!</definedName>
    <definedName name="Sort_Area_Start">#REF!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C50" i="20" l="1"/>
  <c r="AA50" i="20"/>
  <c r="AB50" i="20" s="1"/>
  <c r="AF33" i="20"/>
  <c r="AG33" i="20"/>
  <c r="AH33" i="20"/>
  <c r="AI33" i="20"/>
  <c r="AJ33" i="20"/>
  <c r="AK33" i="20"/>
  <c r="AL33" i="20"/>
  <c r="AE33" i="20"/>
  <c r="AA33" i="20"/>
  <c r="AB33" i="20"/>
  <c r="AC33" i="20"/>
  <c r="W33" i="20"/>
  <c r="X33" i="20"/>
  <c r="Y33" i="20"/>
  <c r="Z33" i="20"/>
  <c r="V33" i="20"/>
  <c r="Q33" i="20"/>
  <c r="R33" i="20"/>
  <c r="S33" i="20"/>
  <c r="P33" i="20"/>
  <c r="F5" i="41"/>
  <c r="F4" i="41"/>
  <c r="F3" i="41"/>
  <c r="E5" i="41"/>
  <c r="E4" i="41"/>
  <c r="E3" i="41"/>
  <c r="C37" i="85"/>
  <c r="C8" i="85"/>
  <c r="BM40" i="20"/>
  <c r="BN40" i="20" s="1"/>
  <c r="BO40" i="20" l="1"/>
  <c r="P40" i="20"/>
  <c r="A1" i="85"/>
  <c r="A9" i="85"/>
  <c r="A11" i="85"/>
  <c r="E12" i="85"/>
  <c r="A13" i="85"/>
  <c r="A15" i="85"/>
  <c r="E16" i="85"/>
  <c r="A17" i="85"/>
  <c r="E18" i="85"/>
  <c r="A27" i="85"/>
  <c r="E28" i="85"/>
  <c r="A29" i="85"/>
  <c r="A37" i="85"/>
  <c r="E27" i="85" l="1"/>
  <c r="E17" i="85"/>
  <c r="BP40" i="20"/>
  <c r="Q40" i="20"/>
  <c r="E37" i="85"/>
  <c r="E29" i="85"/>
  <c r="A28" i="85"/>
  <c r="A18" i="85"/>
  <c r="A16" i="85"/>
  <c r="A14" i="85"/>
  <c r="A12" i="85"/>
  <c r="A10" i="85"/>
  <c r="A8" i="85"/>
  <c r="BQ40" i="20" l="1"/>
  <c r="S40" i="20" s="1"/>
  <c r="R40" i="20"/>
  <c r="A28" i="84"/>
  <c r="A29" i="84"/>
  <c r="A30" i="84"/>
  <c r="A31" i="84"/>
  <c r="A32" i="84"/>
  <c r="A33" i="84"/>
  <c r="A34" i="84"/>
  <c r="A35" i="84"/>
  <c r="A36" i="84"/>
  <c r="A37" i="84"/>
  <c r="A38" i="84"/>
  <c r="A39" i="84"/>
  <c r="A40" i="84"/>
  <c r="A41" i="84"/>
  <c r="A42" i="84"/>
  <c r="A43" i="84"/>
  <c r="A44" i="84"/>
  <c r="A45" i="84"/>
  <c r="A46" i="84"/>
  <c r="A47" i="84"/>
  <c r="A48" i="84"/>
  <c r="A49" i="84"/>
  <c r="A50" i="84"/>
  <c r="A51" i="84"/>
  <c r="A52" i="84"/>
  <c r="A53" i="84"/>
  <c r="A54" i="84"/>
  <c r="A55" i="84"/>
  <c r="A56" i="84"/>
  <c r="A57" i="84"/>
  <c r="A58" i="84"/>
  <c r="A59" i="84"/>
  <c r="A60" i="84"/>
  <c r="A61" i="84"/>
  <c r="A62" i="84"/>
  <c r="A63" i="84"/>
  <c r="A64" i="84"/>
  <c r="A65" i="84"/>
  <c r="A66" i="84"/>
  <c r="A67" i="84"/>
  <c r="A68" i="84"/>
  <c r="A69" i="84"/>
  <c r="A70" i="84"/>
  <c r="A71" i="84"/>
  <c r="A72" i="84"/>
  <c r="A73" i="84"/>
  <c r="A74" i="84"/>
  <c r="A75" i="84"/>
  <c r="A76" i="84"/>
  <c r="A77" i="84"/>
  <c r="A78" i="84"/>
  <c r="A79" i="84"/>
  <c r="A80" i="84"/>
  <c r="A81" i="84"/>
  <c r="A82" i="84"/>
  <c r="A83" i="84"/>
  <c r="A84" i="84"/>
  <c r="A85" i="84"/>
  <c r="A86" i="84"/>
  <c r="A87" i="84"/>
  <c r="A88" i="84"/>
  <c r="A89" i="84"/>
  <c r="A90" i="84"/>
  <c r="A91" i="84"/>
  <c r="A92" i="84"/>
  <c r="A93" i="84"/>
  <c r="A94" i="84"/>
  <c r="A95" i="84"/>
  <c r="A96" i="84"/>
  <c r="A97" i="84"/>
  <c r="A98" i="84"/>
  <c r="A99" i="84"/>
  <c r="A100" i="84"/>
  <c r="A101" i="84"/>
  <c r="A102" i="84"/>
  <c r="A103" i="84"/>
  <c r="A104" i="84"/>
  <c r="A105" i="84"/>
  <c r="A106" i="84"/>
  <c r="A107" i="84"/>
  <c r="A108" i="84"/>
  <c r="A109" i="84"/>
  <c r="A110" i="84"/>
  <c r="A111" i="84"/>
  <c r="A112" i="84"/>
  <c r="A113" i="84"/>
  <c r="A114" i="84"/>
  <c r="A115" i="84"/>
  <c r="A116" i="84"/>
  <c r="A117" i="84"/>
  <c r="A118" i="84"/>
  <c r="A119" i="84"/>
  <c r="A120" i="84"/>
  <c r="A121" i="84"/>
  <c r="A122" i="84"/>
  <c r="A123" i="84"/>
  <c r="A124" i="84"/>
  <c r="A125" i="84"/>
  <c r="A126" i="84"/>
  <c r="A127" i="84"/>
  <c r="A128" i="84"/>
  <c r="A129" i="84"/>
  <c r="A130" i="84"/>
  <c r="A131" i="84"/>
  <c r="A132" i="84"/>
  <c r="A133" i="84"/>
  <c r="A27" i="84"/>
  <c r="V33" i="33" l="1"/>
  <c r="B28" i="84"/>
  <c r="E29" i="84"/>
  <c r="G30" i="84"/>
  <c r="B31" i="84"/>
  <c r="C32" i="84"/>
  <c r="B33" i="84"/>
  <c r="G34" i="84"/>
  <c r="B35" i="84"/>
  <c r="G36" i="84"/>
  <c r="B37" i="84"/>
  <c r="G38" i="84"/>
  <c r="B39" i="84"/>
  <c r="C40" i="84"/>
  <c r="E41" i="84"/>
  <c r="G42" i="84"/>
  <c r="B43" i="84"/>
  <c r="B44" i="84"/>
  <c r="E45" i="84"/>
  <c r="G46" i="84"/>
  <c r="B47" i="84"/>
  <c r="B48" i="84"/>
  <c r="E49" i="84"/>
  <c r="G50" i="84"/>
  <c r="F51" i="84"/>
  <c r="B52" i="84"/>
  <c r="E53" i="84"/>
  <c r="G54" i="84"/>
  <c r="C55" i="84"/>
  <c r="B56" i="84"/>
  <c r="E57" i="84"/>
  <c r="G58" i="84"/>
  <c r="C59" i="84"/>
  <c r="B60" i="84"/>
  <c r="E61" i="84"/>
  <c r="G62" i="84"/>
  <c r="G63" i="84"/>
  <c r="B64" i="84"/>
  <c r="E65" i="84"/>
  <c r="G66" i="84"/>
  <c r="B67" i="84"/>
  <c r="B68" i="84"/>
  <c r="E69" i="84"/>
  <c r="G70" i="84"/>
  <c r="E71" i="84"/>
  <c r="B72" i="84"/>
  <c r="E73" i="84"/>
  <c r="G74" i="84"/>
  <c r="B75" i="84"/>
  <c r="B76" i="84"/>
  <c r="E77" i="84"/>
  <c r="G78" i="84"/>
  <c r="B79" i="84"/>
  <c r="E80" i="84"/>
  <c r="E81" i="84"/>
  <c r="F83" i="84"/>
  <c r="B84" i="84"/>
  <c r="G86" i="84"/>
  <c r="C87" i="84"/>
  <c r="B89" i="84"/>
  <c r="G90" i="84"/>
  <c r="C91" i="84"/>
  <c r="F92" i="84"/>
  <c r="E93" i="84"/>
  <c r="G94" i="84"/>
  <c r="C95" i="84"/>
  <c r="B95" i="84"/>
  <c r="B96" i="84"/>
  <c r="E97" i="84"/>
  <c r="G98" i="84"/>
  <c r="E99" i="84"/>
  <c r="B100" i="84"/>
  <c r="E101" i="84"/>
  <c r="G102" i="84"/>
  <c r="B104" i="84"/>
  <c r="E105" i="84"/>
  <c r="B106" i="84"/>
  <c r="B107" i="84"/>
  <c r="B108" i="84"/>
  <c r="B109" i="84"/>
  <c r="G110" i="84"/>
  <c r="G111" i="84"/>
  <c r="C112" i="84"/>
  <c r="E113" i="84"/>
  <c r="B115" i="84"/>
  <c r="B116" i="84"/>
  <c r="E118" i="84"/>
  <c r="C119" i="84"/>
  <c r="B121" i="84"/>
  <c r="G122" i="84"/>
  <c r="B123" i="84"/>
  <c r="F124" i="84"/>
  <c r="E125" i="84"/>
  <c r="B126" i="84"/>
  <c r="G127" i="84"/>
  <c r="B128" i="84"/>
  <c r="B129" i="84"/>
  <c r="G130" i="84"/>
  <c r="E131" i="84"/>
  <c r="C132" i="84"/>
  <c r="E133" i="84"/>
  <c r="B27" i="84"/>
  <c r="B7" i="24"/>
  <c r="B8" i="24"/>
  <c r="B9" i="24"/>
  <c r="B10" i="24"/>
  <c r="B11" i="24"/>
  <c r="B12" i="24"/>
  <c r="B13" i="24"/>
  <c r="B14" i="24"/>
  <c r="C19" i="85" s="1"/>
  <c r="A19" i="85" s="1"/>
  <c r="B15" i="24"/>
  <c r="C20" i="85" s="1"/>
  <c r="A20" i="85" s="1"/>
  <c r="B16" i="24"/>
  <c r="C21" i="85" s="1"/>
  <c r="A21" i="85" s="1"/>
  <c r="B17" i="24"/>
  <c r="C22" i="85" s="1"/>
  <c r="A22" i="85" s="1"/>
  <c r="B18" i="24"/>
  <c r="C23" i="85" s="1"/>
  <c r="A23" i="85" s="1"/>
  <c r="B19" i="24"/>
  <c r="C24" i="85" s="1"/>
  <c r="A24" i="85" s="1"/>
  <c r="B20" i="24"/>
  <c r="C25" i="85" s="1"/>
  <c r="A25" i="85" s="1"/>
  <c r="B21" i="24"/>
  <c r="C26" i="85" s="1"/>
  <c r="A26" i="85" s="1"/>
  <c r="B22" i="24"/>
  <c r="C30" i="85" s="1"/>
  <c r="A30" i="85" s="1"/>
  <c r="B23" i="24"/>
  <c r="C31" i="85" s="1"/>
  <c r="A31" i="85" s="1"/>
  <c r="B24" i="24"/>
  <c r="C32" i="85" s="1"/>
  <c r="A32" i="85" s="1"/>
  <c r="B25" i="24"/>
  <c r="C33" i="85" s="1"/>
  <c r="A33" i="85" s="1"/>
  <c r="B26" i="24"/>
  <c r="C34" i="85" s="1"/>
  <c r="A34" i="85" s="1"/>
  <c r="B27" i="24"/>
  <c r="C35" i="85" s="1"/>
  <c r="A35" i="85" s="1"/>
  <c r="B28" i="24"/>
  <c r="C36" i="85" s="1"/>
  <c r="A36" i="85" s="1"/>
  <c r="B6" i="24"/>
  <c r="G84" i="84" l="1"/>
  <c r="E63" i="84"/>
  <c r="E90" i="84"/>
  <c r="B90" i="84"/>
  <c r="B83" i="84"/>
  <c r="F67" i="84"/>
  <c r="E116" i="84"/>
  <c r="C106" i="84"/>
  <c r="C72" i="84"/>
  <c r="F122" i="84"/>
  <c r="F99" i="84"/>
  <c r="B97" i="84"/>
  <c r="G81" i="84"/>
  <c r="F57" i="84"/>
  <c r="B62" i="84"/>
  <c r="G116" i="84"/>
  <c r="E38" i="84"/>
  <c r="G99" i="84"/>
  <c r="E51" i="84"/>
  <c r="B101" i="84"/>
  <c r="F90" i="84"/>
  <c r="E72" i="84"/>
  <c r="B61" i="84"/>
  <c r="B51" i="84"/>
  <c r="F81" i="84"/>
  <c r="B58" i="84"/>
  <c r="G119" i="84"/>
  <c r="C131" i="84"/>
  <c r="F119" i="84"/>
  <c r="C107" i="84"/>
  <c r="B102" i="84"/>
  <c r="B98" i="84"/>
  <c r="G93" i="84"/>
  <c r="F36" i="84"/>
  <c r="E119" i="84"/>
  <c r="F93" i="84"/>
  <c r="C71" i="84"/>
  <c r="F60" i="84"/>
  <c r="B55" i="84"/>
  <c r="E104" i="84"/>
  <c r="G69" i="84"/>
  <c r="G133" i="84"/>
  <c r="F128" i="84"/>
  <c r="E124" i="84"/>
  <c r="F116" i="84"/>
  <c r="C104" i="84"/>
  <c r="B86" i="84"/>
  <c r="C78" i="84"/>
  <c r="F69" i="84"/>
  <c r="B65" i="84"/>
  <c r="E122" i="84"/>
  <c r="G108" i="84"/>
  <c r="C99" i="84"/>
  <c r="G95" i="84"/>
  <c r="B93" i="84"/>
  <c r="F84" i="84"/>
  <c r="C81" i="84"/>
  <c r="E75" i="84"/>
  <c r="E67" i="84"/>
  <c r="C63" i="84"/>
  <c r="F125" i="84"/>
  <c r="B122" i="84"/>
  <c r="F113" i="84"/>
  <c r="E108" i="84"/>
  <c r="G104" i="84"/>
  <c r="G101" i="84"/>
  <c r="F95" i="84"/>
  <c r="E84" i="84"/>
  <c r="C75" i="84"/>
  <c r="C67" i="84"/>
  <c r="B63" i="84"/>
  <c r="B59" i="84"/>
  <c r="G41" i="84"/>
  <c r="C36" i="84"/>
  <c r="C27" i="84"/>
  <c r="B125" i="84"/>
  <c r="C113" i="84"/>
  <c r="F104" i="84"/>
  <c r="F101" i="84"/>
  <c r="C98" i="84"/>
  <c r="E95" i="84"/>
  <c r="C92" i="84"/>
  <c r="G44" i="84"/>
  <c r="E87" i="84"/>
  <c r="B87" i="84"/>
  <c r="G32" i="84"/>
  <c r="C29" i="84"/>
  <c r="G76" i="84"/>
  <c r="C69" i="84"/>
  <c r="E54" i="84"/>
  <c r="G43" i="84"/>
  <c r="F133" i="84"/>
  <c r="F130" i="84"/>
  <c r="C124" i="84"/>
  <c r="F121" i="84"/>
  <c r="B119" i="84"/>
  <c r="C101" i="84"/>
  <c r="B99" i="84"/>
  <c r="E86" i="84"/>
  <c r="E83" i="84"/>
  <c r="E76" i="84"/>
  <c r="G73" i="84"/>
  <c r="B69" i="84"/>
  <c r="G64" i="84"/>
  <c r="B54" i="84"/>
  <c r="F46" i="84"/>
  <c r="F43" i="84"/>
  <c r="B29" i="84"/>
  <c r="C133" i="84"/>
  <c r="E130" i="84"/>
  <c r="C121" i="84"/>
  <c r="F110" i="84"/>
  <c r="G107" i="84"/>
  <c r="G105" i="84"/>
  <c r="G96" i="84"/>
  <c r="F70" i="84"/>
  <c r="F66" i="84"/>
  <c r="F64" i="84"/>
  <c r="E46" i="84"/>
  <c r="E43" i="84"/>
  <c r="G31" i="84"/>
  <c r="B133" i="84"/>
  <c r="C130" i="84"/>
  <c r="E110" i="84"/>
  <c r="F107" i="84"/>
  <c r="C105" i="84"/>
  <c r="F102" i="84"/>
  <c r="F98" i="84"/>
  <c r="F96" i="84"/>
  <c r="F78" i="84"/>
  <c r="G75" i="84"/>
  <c r="G72" i="84"/>
  <c r="E70" i="84"/>
  <c r="C68" i="84"/>
  <c r="E66" i="84"/>
  <c r="C64" i="84"/>
  <c r="G55" i="84"/>
  <c r="G49" i="84"/>
  <c r="C46" i="84"/>
  <c r="C43" i="84"/>
  <c r="F38" i="84"/>
  <c r="F31" i="84"/>
  <c r="G28" i="84"/>
  <c r="B130" i="84"/>
  <c r="G125" i="84"/>
  <c r="G113" i="84"/>
  <c r="C110" i="84"/>
  <c r="E107" i="84"/>
  <c r="C102" i="84"/>
  <c r="C100" i="84"/>
  <c r="E98" i="84"/>
  <c r="C96" i="84"/>
  <c r="B94" i="84"/>
  <c r="B91" i="84"/>
  <c r="G87" i="84"/>
  <c r="E78" i="84"/>
  <c r="F75" i="84"/>
  <c r="F72" i="84"/>
  <c r="C70" i="84"/>
  <c r="C66" i="84"/>
  <c r="G61" i="84"/>
  <c r="F58" i="84"/>
  <c r="F55" i="84"/>
  <c r="F52" i="84"/>
  <c r="F49" i="84"/>
  <c r="E31" i="84"/>
  <c r="F28" i="84"/>
  <c r="F87" i="84"/>
  <c r="G67" i="84"/>
  <c r="B66" i="84"/>
  <c r="F63" i="84"/>
  <c r="F61" i="84"/>
  <c r="E58" i="84"/>
  <c r="E55" i="84"/>
  <c r="E52" i="84"/>
  <c r="C49" i="84"/>
  <c r="C42" i="84"/>
  <c r="C38" i="84"/>
  <c r="F34" i="84"/>
  <c r="C31" i="84"/>
  <c r="B131" i="84"/>
  <c r="G131" i="84"/>
  <c r="F131" i="84"/>
  <c r="C128" i="84"/>
  <c r="G128" i="84"/>
  <c r="C127" i="84"/>
  <c r="B127" i="84"/>
  <c r="F127" i="84"/>
  <c r="E127" i="84"/>
  <c r="G126" i="84"/>
  <c r="C126" i="84"/>
  <c r="E126" i="84"/>
  <c r="F126" i="84"/>
  <c r="G118" i="84"/>
  <c r="F118" i="84"/>
  <c r="C109" i="84"/>
  <c r="E103" i="84"/>
  <c r="F103" i="84"/>
  <c r="G103" i="84"/>
  <c r="E117" i="84"/>
  <c r="B117" i="84"/>
  <c r="C117" i="84"/>
  <c r="F117" i="84"/>
  <c r="G117" i="84"/>
  <c r="F115" i="84"/>
  <c r="G115" i="84"/>
  <c r="B112" i="84"/>
  <c r="F112" i="84"/>
  <c r="G112" i="84"/>
  <c r="F89" i="84"/>
  <c r="G114" i="84"/>
  <c r="B114" i="84"/>
  <c r="C114" i="84"/>
  <c r="E114" i="84"/>
  <c r="F114" i="84"/>
  <c r="E109" i="84"/>
  <c r="F109" i="84"/>
  <c r="G109" i="84"/>
  <c r="B92" i="84"/>
  <c r="G92" i="84"/>
  <c r="E92" i="84"/>
  <c r="B111" i="84"/>
  <c r="C111" i="84"/>
  <c r="E111" i="84"/>
  <c r="F111" i="84"/>
  <c r="E89" i="84"/>
  <c r="G89" i="84"/>
  <c r="C89" i="84"/>
  <c r="B80" i="84"/>
  <c r="F80" i="84"/>
  <c r="G80" i="84"/>
  <c r="C80" i="84"/>
  <c r="E129" i="84"/>
  <c r="C129" i="84"/>
  <c r="F129" i="84"/>
  <c r="G129" i="84"/>
  <c r="B88" i="84"/>
  <c r="C88" i="84"/>
  <c r="E88" i="84"/>
  <c r="F88" i="84"/>
  <c r="G88" i="84"/>
  <c r="G106" i="84"/>
  <c r="E106" i="84"/>
  <c r="F106" i="84"/>
  <c r="E85" i="84"/>
  <c r="B85" i="84"/>
  <c r="C85" i="84"/>
  <c r="F85" i="84"/>
  <c r="G85" i="84"/>
  <c r="G82" i="84"/>
  <c r="B82" i="84"/>
  <c r="C82" i="84"/>
  <c r="E82" i="84"/>
  <c r="F82" i="84"/>
  <c r="B132" i="84"/>
  <c r="E132" i="84"/>
  <c r="F132" i="84"/>
  <c r="G132" i="84"/>
  <c r="B124" i="84"/>
  <c r="G124" i="84"/>
  <c r="C123" i="84"/>
  <c r="E123" i="84"/>
  <c r="F123" i="84"/>
  <c r="G123" i="84"/>
  <c r="E121" i="84"/>
  <c r="G121" i="84"/>
  <c r="C118" i="84"/>
  <c r="E115" i="84"/>
  <c r="C103" i="84"/>
  <c r="B120" i="84"/>
  <c r="C120" i="84"/>
  <c r="E120" i="84"/>
  <c r="F120" i="84"/>
  <c r="G120" i="84"/>
  <c r="B118" i="84"/>
  <c r="C115" i="84"/>
  <c r="E112" i="84"/>
  <c r="B103" i="84"/>
  <c r="C77" i="84"/>
  <c r="C74" i="84"/>
  <c r="E48" i="84"/>
  <c r="C45" i="84"/>
  <c r="G40" i="84"/>
  <c r="E35" i="84"/>
  <c r="F33" i="84"/>
  <c r="B30" i="84"/>
  <c r="C86" i="84"/>
  <c r="C83" i="84"/>
  <c r="B77" i="84"/>
  <c r="B74" i="84"/>
  <c r="B71" i="84"/>
  <c r="E60" i="84"/>
  <c r="C57" i="84"/>
  <c r="C54" i="84"/>
  <c r="G52" i="84"/>
  <c r="C51" i="84"/>
  <c r="C48" i="84"/>
  <c r="B45" i="84"/>
  <c r="B42" i="84"/>
  <c r="F40" i="84"/>
  <c r="E37" i="84"/>
  <c r="G37" i="84"/>
  <c r="C35" i="84"/>
  <c r="C33" i="84"/>
  <c r="C60" i="84"/>
  <c r="B57" i="84"/>
  <c r="G79" i="84"/>
  <c r="G47" i="84"/>
  <c r="B40" i="84"/>
  <c r="E40" i="84"/>
  <c r="E33" i="84"/>
  <c r="G33" i="84"/>
  <c r="E128" i="84"/>
  <c r="C125" i="84"/>
  <c r="C122" i="84"/>
  <c r="C116" i="84"/>
  <c r="B113" i="84"/>
  <c r="B110" i="84"/>
  <c r="F108" i="84"/>
  <c r="F105" i="84"/>
  <c r="E102" i="84"/>
  <c r="E96" i="84"/>
  <c r="C93" i="84"/>
  <c r="G91" i="84"/>
  <c r="C90" i="84"/>
  <c r="C84" i="84"/>
  <c r="B81" i="84"/>
  <c r="F79" i="84"/>
  <c r="B78" i="84"/>
  <c r="F76" i="84"/>
  <c r="F73" i="84"/>
  <c r="E64" i="84"/>
  <c r="C61" i="84"/>
  <c r="G59" i="84"/>
  <c r="C58" i="84"/>
  <c r="G56" i="84"/>
  <c r="G53" i="84"/>
  <c r="C52" i="84"/>
  <c r="F50" i="84"/>
  <c r="B49" i="84"/>
  <c r="F47" i="84"/>
  <c r="B46" i="84"/>
  <c r="F44" i="84"/>
  <c r="F41" i="84"/>
  <c r="G39" i="84"/>
  <c r="B38" i="84"/>
  <c r="E34" i="84"/>
  <c r="G100" i="84"/>
  <c r="G97" i="84"/>
  <c r="F94" i="84"/>
  <c r="F91" i="84"/>
  <c r="E79" i="84"/>
  <c r="C73" i="84"/>
  <c r="G71" i="84"/>
  <c r="G68" i="84"/>
  <c r="G65" i="84"/>
  <c r="F62" i="84"/>
  <c r="F59" i="84"/>
  <c r="F56" i="84"/>
  <c r="F53" i="84"/>
  <c r="E50" i="84"/>
  <c r="E47" i="84"/>
  <c r="E44" i="84"/>
  <c r="C41" i="84"/>
  <c r="F39" i="84"/>
  <c r="B36" i="84"/>
  <c r="E36" i="84"/>
  <c r="C34" i="84"/>
  <c r="F32" i="84"/>
  <c r="F30" i="84"/>
  <c r="C108" i="84"/>
  <c r="B105" i="84"/>
  <c r="F100" i="84"/>
  <c r="F97" i="84"/>
  <c r="E94" i="84"/>
  <c r="E91" i="84"/>
  <c r="G83" i="84"/>
  <c r="C79" i="84"/>
  <c r="G77" i="84"/>
  <c r="C76" i="84"/>
  <c r="F74" i="84"/>
  <c r="B73" i="84"/>
  <c r="F71" i="84"/>
  <c r="B70" i="84"/>
  <c r="F68" i="84"/>
  <c r="F65" i="84"/>
  <c r="E62" i="84"/>
  <c r="E59" i="84"/>
  <c r="E56" i="84"/>
  <c r="C53" i="84"/>
  <c r="G51" i="84"/>
  <c r="C50" i="84"/>
  <c r="G48" i="84"/>
  <c r="C47" i="84"/>
  <c r="G45" i="84"/>
  <c r="C44" i="84"/>
  <c r="F42" i="84"/>
  <c r="B41" i="84"/>
  <c r="E39" i="84"/>
  <c r="F37" i="84"/>
  <c r="G35" i="84"/>
  <c r="B34" i="84"/>
  <c r="E30" i="84"/>
  <c r="E100" i="84"/>
  <c r="C97" i="84"/>
  <c r="C94" i="84"/>
  <c r="F86" i="84"/>
  <c r="F77" i="84"/>
  <c r="E74" i="84"/>
  <c r="E68" i="84"/>
  <c r="C65" i="84"/>
  <c r="C62" i="84"/>
  <c r="G60" i="84"/>
  <c r="G57" i="84"/>
  <c r="C56" i="84"/>
  <c r="F54" i="84"/>
  <c r="B53" i="84"/>
  <c r="B50" i="84"/>
  <c r="F48" i="84"/>
  <c r="F45" i="84"/>
  <c r="E42" i="84"/>
  <c r="C39" i="84"/>
  <c r="C37" i="84"/>
  <c r="F35" i="84"/>
  <c r="B32" i="84"/>
  <c r="E32" i="84"/>
  <c r="C30" i="84"/>
  <c r="G29" i="84"/>
  <c r="E28" i="84"/>
  <c r="F29" i="84"/>
  <c r="C28" i="84"/>
  <c r="E27" i="84"/>
  <c r="F27" i="84"/>
  <c r="G27" i="84"/>
  <c r="T30" i="33" l="1"/>
  <c r="R5" i="33"/>
  <c r="R6" i="33"/>
  <c r="R4" i="33"/>
  <c r="R7" i="33" s="1"/>
  <c r="P9" i="33"/>
  <c r="O9" i="33"/>
  <c r="P8" i="33"/>
  <c r="O8" i="33"/>
  <c r="P7" i="33"/>
  <c r="O7" i="33"/>
  <c r="P6" i="33"/>
  <c r="O6" i="33"/>
  <c r="P5" i="33"/>
  <c r="O5" i="33"/>
  <c r="O4" i="33"/>
  <c r="P4" i="33"/>
  <c r="Q9" i="33"/>
  <c r="Q7" i="33"/>
  <c r="Q8" i="33"/>
  <c r="Q6" i="33"/>
  <c r="Q5" i="33"/>
  <c r="Q4" i="33"/>
  <c r="V7" i="33" l="1"/>
  <c r="J4" i="41"/>
  <c r="J7" i="41" s="1"/>
  <c r="J5" i="41"/>
  <c r="J3" i="41"/>
  <c r="J6" i="41" s="1"/>
  <c r="M7" i="41"/>
  <c r="M6" i="41"/>
  <c r="M5" i="41"/>
  <c r="S5" i="33"/>
  <c r="S6" i="33"/>
  <c r="S4" i="33"/>
  <c r="N6" i="41" l="1"/>
  <c r="N5" i="41"/>
  <c r="N7" i="41"/>
  <c r="M111" i="20" l="1"/>
  <c r="M104" i="20"/>
  <c r="M84" i="20"/>
  <c r="M72" i="20"/>
  <c r="M58" i="20"/>
  <c r="M57" i="20"/>
  <c r="N15" i="33" l="1"/>
  <c r="N16" i="33" s="1"/>
  <c r="N17" i="33" s="1"/>
  <c r="N18" i="33" s="1"/>
  <c r="P15" i="33"/>
  <c r="P18" i="33"/>
  <c r="P24" i="33" s="1"/>
  <c r="P30" i="33" s="1"/>
  <c r="P20" i="33"/>
  <c r="P26" i="33" s="1"/>
  <c r="P32" i="33" s="1"/>
  <c r="P21" i="33"/>
  <c r="P27" i="33" s="1"/>
  <c r="BP137" i="20"/>
  <c r="BQ137" i="20" s="1"/>
  <c r="BN137" i="20"/>
  <c r="BM137" i="20"/>
  <c r="BP136" i="20"/>
  <c r="BQ136" i="20" s="1"/>
  <c r="BN136" i="20"/>
  <c r="BM136" i="20"/>
  <c r="BP135" i="20"/>
  <c r="BQ135" i="20" s="1"/>
  <c r="BN135" i="20"/>
  <c r="BM135" i="20"/>
  <c r="BN134" i="20"/>
  <c r="BM134" i="20"/>
  <c r="BP134" i="20" s="1"/>
  <c r="BN133" i="20"/>
  <c r="BM133" i="20"/>
  <c r="BP133" i="20" s="1"/>
  <c r="BN132" i="20"/>
  <c r="BM132" i="20"/>
  <c r="BP132" i="20" s="1"/>
  <c r="BP129" i="20"/>
  <c r="BQ129" i="20" s="1"/>
  <c r="BN129" i="20"/>
  <c r="BM129" i="20"/>
  <c r="BP128" i="20"/>
  <c r="BQ128" i="20" s="1"/>
  <c r="BN128" i="20"/>
  <c r="BM128" i="20"/>
  <c r="BP127" i="20"/>
  <c r="BQ127" i="20" s="1"/>
  <c r="BN127" i="20"/>
  <c r="BM127" i="20"/>
  <c r="BP126" i="20"/>
  <c r="BQ126" i="20" s="1"/>
  <c r="BN126" i="20"/>
  <c r="BM126" i="20"/>
  <c r="BP125" i="20"/>
  <c r="BQ125" i="20" s="1"/>
  <c r="BN125" i="20"/>
  <c r="BM125" i="20"/>
  <c r="BN120" i="20"/>
  <c r="BM120" i="20"/>
  <c r="BP120" i="20" s="1"/>
  <c r="BN119" i="20"/>
  <c r="BM119" i="20"/>
  <c r="BP119" i="20" s="1"/>
  <c r="BP118" i="20"/>
  <c r="BQ118" i="20" s="1"/>
  <c r="BN118" i="20"/>
  <c r="BM118" i="20"/>
  <c r="BP104" i="20"/>
  <c r="BQ104" i="20" s="1"/>
  <c r="BN104" i="20"/>
  <c r="BM104" i="20"/>
  <c r="BM103" i="20"/>
  <c r="BN103" i="20"/>
  <c r="BP103" i="20"/>
  <c r="BQ103" i="20" s="1"/>
  <c r="BM111" i="20"/>
  <c r="BN111" i="20"/>
  <c r="BP111" i="20"/>
  <c r="BO111" i="20" s="1"/>
  <c r="BQ102" i="20"/>
  <c r="BN102" i="20"/>
  <c r="BM102" i="20"/>
  <c r="BQ101" i="20"/>
  <c r="BN101" i="20"/>
  <c r="BM101" i="20"/>
  <c r="BQ100" i="20"/>
  <c r="BN100" i="20"/>
  <c r="BM100" i="20"/>
  <c r="BQ99" i="20"/>
  <c r="BN99" i="20"/>
  <c r="BM99" i="20"/>
  <c r="BN96" i="20"/>
  <c r="BM96" i="20"/>
  <c r="BQ96" i="20" s="1"/>
  <c r="BQ92" i="20"/>
  <c r="BN92" i="20"/>
  <c r="BM92" i="20"/>
  <c r="BQ91" i="20"/>
  <c r="BN91" i="20"/>
  <c r="BM91" i="20"/>
  <c r="BQ90" i="20"/>
  <c r="BN90" i="20"/>
  <c r="BM90" i="20"/>
  <c r="BQ89" i="20"/>
  <c r="BN89" i="20"/>
  <c r="BM89" i="20"/>
  <c r="BQ88" i="20"/>
  <c r="BN88" i="20"/>
  <c r="BM88" i="20"/>
  <c r="BQ84" i="20"/>
  <c r="BN84" i="20"/>
  <c r="BM84" i="20"/>
  <c r="BQ83" i="20"/>
  <c r="BN83" i="20"/>
  <c r="BM83" i="20"/>
  <c r="BN82" i="20"/>
  <c r="BM82" i="20"/>
  <c r="BQ82" i="20" s="1"/>
  <c r="BN81" i="20"/>
  <c r="BM81" i="20"/>
  <c r="BQ81" i="20" s="1"/>
  <c r="BQ80" i="20"/>
  <c r="BN80" i="20"/>
  <c r="BO80" i="20" s="1"/>
  <c r="BM80" i="20"/>
  <c r="BQ76" i="20"/>
  <c r="BN76" i="20"/>
  <c r="BM76" i="20"/>
  <c r="BQ72" i="20"/>
  <c r="BN72" i="20"/>
  <c r="BM72" i="20"/>
  <c r="BQ65" i="20"/>
  <c r="BN65" i="20"/>
  <c r="BM65" i="20"/>
  <c r="BQ64" i="20"/>
  <c r="BN64" i="20"/>
  <c r="BM64" i="20"/>
  <c r="BQ63" i="20"/>
  <c r="BN63" i="20"/>
  <c r="BM63" i="20"/>
  <c r="BQ62" i="20"/>
  <c r="BN62" i="20"/>
  <c r="BM62" i="20"/>
  <c r="BQ61" i="20"/>
  <c r="BN61" i="20"/>
  <c r="BM61" i="20"/>
  <c r="BQ58" i="20"/>
  <c r="BN58" i="20"/>
  <c r="BM58" i="20"/>
  <c r="BQ54" i="20"/>
  <c r="BN54" i="20"/>
  <c r="BM54" i="20"/>
  <c r="BQ53" i="20"/>
  <c r="BN53" i="20"/>
  <c r="BM53" i="20"/>
  <c r="BQ52" i="20"/>
  <c r="BN52" i="20"/>
  <c r="BM52" i="20"/>
  <c r="BQ51" i="20"/>
  <c r="BN51" i="20"/>
  <c r="BM51" i="20"/>
  <c r="BQ47" i="20"/>
  <c r="BN47" i="20"/>
  <c r="BM47" i="20"/>
  <c r="BN46" i="20"/>
  <c r="BM46" i="20"/>
  <c r="BQ46" i="20" s="1"/>
  <c r="BN45" i="20"/>
  <c r="BM45" i="20"/>
  <c r="BQ45" i="20" s="1"/>
  <c r="BQ44" i="20"/>
  <c r="BM44" i="20"/>
  <c r="E71" i="20"/>
  <c r="BM71" i="20" s="1"/>
  <c r="E68" i="20"/>
  <c r="BM68" i="20" s="1"/>
  <c r="E50" i="20"/>
  <c r="BM50" i="20" s="1"/>
  <c r="E43" i="20"/>
  <c r="BM43" i="20" s="1"/>
  <c r="BN44" i="20"/>
  <c r="O103" i="83"/>
  <c r="P103" i="83" s="1"/>
  <c r="N103" i="83"/>
  <c r="M103" i="83"/>
  <c r="I103" i="83"/>
  <c r="O102" i="83"/>
  <c r="P102" i="83" s="1"/>
  <c r="N102" i="83"/>
  <c r="M102" i="83"/>
  <c r="I102" i="83"/>
  <c r="O101" i="83"/>
  <c r="P101" i="83" s="1"/>
  <c r="N101" i="83"/>
  <c r="M101" i="83"/>
  <c r="I101" i="83"/>
  <c r="O100" i="83"/>
  <c r="P100" i="83" s="1"/>
  <c r="N100" i="83"/>
  <c r="M100" i="83"/>
  <c r="I100" i="83"/>
  <c r="O99" i="83"/>
  <c r="P99" i="83" s="1"/>
  <c r="N99" i="83"/>
  <c r="M99" i="83"/>
  <c r="I99" i="83"/>
  <c r="O97" i="83"/>
  <c r="P97" i="83" s="1"/>
  <c r="N97" i="83"/>
  <c r="M97" i="83"/>
  <c r="I97" i="83"/>
  <c r="O96" i="83"/>
  <c r="P96" i="83" s="1"/>
  <c r="N96" i="83"/>
  <c r="M96" i="83"/>
  <c r="I96" i="83"/>
  <c r="O95" i="83"/>
  <c r="P95" i="83" s="1"/>
  <c r="N95" i="83"/>
  <c r="M95" i="83"/>
  <c r="I95" i="83"/>
  <c r="O94" i="83"/>
  <c r="P94" i="83" s="1"/>
  <c r="N94" i="83"/>
  <c r="M94" i="83"/>
  <c r="I94" i="83"/>
  <c r="O93" i="83"/>
  <c r="P93" i="83" s="1"/>
  <c r="N93" i="83"/>
  <c r="M93" i="83"/>
  <c r="K93" i="83"/>
  <c r="I93" i="83"/>
  <c r="O91" i="83"/>
  <c r="P91" i="83" s="1"/>
  <c r="N91" i="83"/>
  <c r="M91" i="83"/>
  <c r="I91" i="83"/>
  <c r="O90" i="83"/>
  <c r="P90" i="83" s="1"/>
  <c r="N90" i="83"/>
  <c r="M90" i="83"/>
  <c r="I90" i="83"/>
  <c r="O89" i="83"/>
  <c r="P89" i="83" s="1"/>
  <c r="N89" i="83"/>
  <c r="M89" i="83"/>
  <c r="I89" i="83"/>
  <c r="O88" i="83"/>
  <c r="P88" i="83" s="1"/>
  <c r="N88" i="83"/>
  <c r="M88" i="83"/>
  <c r="I88" i="83"/>
  <c r="O83" i="83"/>
  <c r="P83" i="83" s="1"/>
  <c r="N83" i="83"/>
  <c r="M83" i="83"/>
  <c r="I83" i="83"/>
  <c r="O82" i="83"/>
  <c r="P82" i="83" s="1"/>
  <c r="N82" i="83"/>
  <c r="M82" i="83"/>
  <c r="I82" i="83"/>
  <c r="O81" i="83"/>
  <c r="P81" i="83" s="1"/>
  <c r="N81" i="83"/>
  <c r="M81" i="83"/>
  <c r="I81" i="83"/>
  <c r="O80" i="83"/>
  <c r="P80" i="83" s="1"/>
  <c r="N80" i="83"/>
  <c r="M80" i="83"/>
  <c r="I80" i="83"/>
  <c r="O79" i="83"/>
  <c r="P79" i="83" s="1"/>
  <c r="N79" i="83"/>
  <c r="M79" i="83"/>
  <c r="I79" i="83"/>
  <c r="O77" i="83"/>
  <c r="P77" i="83" s="1"/>
  <c r="N77" i="83"/>
  <c r="M77" i="83"/>
  <c r="I77" i="83"/>
  <c r="O76" i="83"/>
  <c r="P76" i="83" s="1"/>
  <c r="N76" i="83"/>
  <c r="M76" i="83"/>
  <c r="I76" i="83"/>
  <c r="O75" i="83"/>
  <c r="P75" i="83" s="1"/>
  <c r="N75" i="83"/>
  <c r="M75" i="83"/>
  <c r="I75" i="83"/>
  <c r="O74" i="83"/>
  <c r="P74" i="83" s="1"/>
  <c r="N74" i="83"/>
  <c r="M74" i="83"/>
  <c r="I74" i="83"/>
  <c r="O73" i="83"/>
  <c r="P73" i="83" s="1"/>
  <c r="N73" i="83"/>
  <c r="M73" i="83"/>
  <c r="K73" i="83"/>
  <c r="I73" i="83"/>
  <c r="O71" i="83"/>
  <c r="P71" i="83" s="1"/>
  <c r="N71" i="83"/>
  <c r="M71" i="83"/>
  <c r="I71" i="83"/>
  <c r="O70" i="83"/>
  <c r="P70" i="83" s="1"/>
  <c r="N70" i="83"/>
  <c r="M70" i="83"/>
  <c r="I70" i="83"/>
  <c r="O69" i="83"/>
  <c r="P69" i="83" s="1"/>
  <c r="N69" i="83"/>
  <c r="M69" i="83"/>
  <c r="I69" i="83"/>
  <c r="O68" i="83"/>
  <c r="P68" i="83" s="1"/>
  <c r="N68" i="83"/>
  <c r="M68" i="83"/>
  <c r="I68" i="83"/>
  <c r="O63" i="83"/>
  <c r="P63" i="83" s="1"/>
  <c r="N63" i="83"/>
  <c r="M63" i="83"/>
  <c r="I63" i="83"/>
  <c r="O62" i="83"/>
  <c r="P62" i="83" s="1"/>
  <c r="N62" i="83"/>
  <c r="M62" i="83"/>
  <c r="I62" i="83"/>
  <c r="O61" i="83"/>
  <c r="P61" i="83" s="1"/>
  <c r="N61" i="83"/>
  <c r="M61" i="83"/>
  <c r="I61" i="83"/>
  <c r="O60" i="83"/>
  <c r="P60" i="83" s="1"/>
  <c r="N60" i="83"/>
  <c r="M60" i="83"/>
  <c r="I60" i="83"/>
  <c r="O59" i="83"/>
  <c r="P59" i="83" s="1"/>
  <c r="N59" i="83"/>
  <c r="M59" i="83"/>
  <c r="I59" i="83"/>
  <c r="O57" i="83"/>
  <c r="P57" i="83" s="1"/>
  <c r="N57" i="83"/>
  <c r="M57" i="83"/>
  <c r="I57" i="83"/>
  <c r="O56" i="83"/>
  <c r="P56" i="83" s="1"/>
  <c r="N56" i="83"/>
  <c r="M56" i="83"/>
  <c r="I56" i="83"/>
  <c r="O55" i="83"/>
  <c r="P55" i="83" s="1"/>
  <c r="N55" i="83"/>
  <c r="M55" i="83"/>
  <c r="I55" i="83"/>
  <c r="O54" i="83"/>
  <c r="P54" i="83" s="1"/>
  <c r="N54" i="83"/>
  <c r="M54" i="83"/>
  <c r="I54" i="83"/>
  <c r="O53" i="83"/>
  <c r="P53" i="83" s="1"/>
  <c r="N53" i="83"/>
  <c r="M53" i="83"/>
  <c r="K53" i="83"/>
  <c r="I53" i="83"/>
  <c r="O51" i="83"/>
  <c r="P51" i="83" s="1"/>
  <c r="N51" i="83"/>
  <c r="M51" i="83"/>
  <c r="I51" i="83"/>
  <c r="O50" i="83"/>
  <c r="P50" i="83" s="1"/>
  <c r="N50" i="83"/>
  <c r="M50" i="83"/>
  <c r="I50" i="83"/>
  <c r="O49" i="83"/>
  <c r="P49" i="83" s="1"/>
  <c r="N49" i="83"/>
  <c r="M49" i="83"/>
  <c r="I49" i="83"/>
  <c r="O48" i="83"/>
  <c r="P48" i="83" s="1"/>
  <c r="N48" i="83"/>
  <c r="M48" i="83"/>
  <c r="I48" i="83"/>
  <c r="O43" i="83"/>
  <c r="P43" i="83" s="1"/>
  <c r="N43" i="83"/>
  <c r="M43" i="83"/>
  <c r="I43" i="83"/>
  <c r="O42" i="83"/>
  <c r="P42" i="83" s="1"/>
  <c r="N42" i="83"/>
  <c r="M42" i="83"/>
  <c r="I42" i="83"/>
  <c r="O41" i="83"/>
  <c r="P41" i="83" s="1"/>
  <c r="N41" i="83"/>
  <c r="M41" i="83"/>
  <c r="I41" i="83"/>
  <c r="O40" i="83"/>
  <c r="P40" i="83" s="1"/>
  <c r="N40" i="83"/>
  <c r="M40" i="83"/>
  <c r="I40" i="83"/>
  <c r="O39" i="83"/>
  <c r="P39" i="83" s="1"/>
  <c r="N39" i="83"/>
  <c r="M39" i="83"/>
  <c r="I39" i="83"/>
  <c r="O37" i="83"/>
  <c r="P37" i="83" s="1"/>
  <c r="N37" i="83"/>
  <c r="M37" i="83"/>
  <c r="I37" i="83"/>
  <c r="O36" i="83"/>
  <c r="P36" i="83" s="1"/>
  <c r="N36" i="83"/>
  <c r="M36" i="83"/>
  <c r="I36" i="83"/>
  <c r="O35" i="83"/>
  <c r="P35" i="83" s="1"/>
  <c r="N35" i="83"/>
  <c r="M35" i="83"/>
  <c r="I35" i="83"/>
  <c r="O34" i="83"/>
  <c r="P34" i="83" s="1"/>
  <c r="N34" i="83"/>
  <c r="M34" i="83"/>
  <c r="I34" i="83"/>
  <c r="O33" i="83"/>
  <c r="P33" i="83" s="1"/>
  <c r="N33" i="83"/>
  <c r="M33" i="83"/>
  <c r="K33" i="83"/>
  <c r="I33" i="83"/>
  <c r="O31" i="83"/>
  <c r="P31" i="83" s="1"/>
  <c r="N31" i="83"/>
  <c r="M31" i="83"/>
  <c r="I31" i="83"/>
  <c r="O30" i="83"/>
  <c r="P30" i="83" s="1"/>
  <c r="N30" i="83"/>
  <c r="M30" i="83"/>
  <c r="I30" i="83"/>
  <c r="O29" i="83"/>
  <c r="P29" i="83" s="1"/>
  <c r="N29" i="83"/>
  <c r="M29" i="83"/>
  <c r="I29" i="83"/>
  <c r="O28" i="83"/>
  <c r="P28" i="83" s="1"/>
  <c r="N28" i="83"/>
  <c r="M28" i="83"/>
  <c r="I28" i="83"/>
  <c r="BO51" i="20" l="1"/>
  <c r="BO47" i="20"/>
  <c r="BP44" i="20"/>
  <c r="BP61" i="20"/>
  <c r="BP51" i="20"/>
  <c r="BP83" i="20"/>
  <c r="BO104" i="20"/>
  <c r="BO99" i="20"/>
  <c r="BO118" i="20"/>
  <c r="BP92" i="20"/>
  <c r="BP100" i="20"/>
  <c r="BP53" i="20"/>
  <c r="BP72" i="20"/>
  <c r="BP84" i="20"/>
  <c r="BP101" i="20"/>
  <c r="BP64" i="20"/>
  <c r="BP90" i="20"/>
  <c r="BP54" i="20"/>
  <c r="BP62" i="20"/>
  <c r="BP52" i="20"/>
  <c r="BP65" i="20"/>
  <c r="BP91" i="20"/>
  <c r="BP47" i="20"/>
  <c r="BP63" i="20"/>
  <c r="BP80" i="20"/>
  <c r="BP89" i="20"/>
  <c r="BO125" i="20"/>
  <c r="BP76" i="20"/>
  <c r="BP88" i="20"/>
  <c r="BO44" i="20"/>
  <c r="BP99" i="20"/>
  <c r="BP58" i="20"/>
  <c r="BP102" i="20"/>
  <c r="BO61" i="20"/>
  <c r="BO84" i="20"/>
  <c r="BO137" i="20"/>
  <c r="BO76" i="20"/>
  <c r="BO136" i="20"/>
  <c r="BO135" i="20"/>
  <c r="N19" i="33"/>
  <c r="N20" i="33"/>
  <c r="N21" i="33" s="1"/>
  <c r="N22" i="33" s="1"/>
  <c r="N23" i="33" s="1"/>
  <c r="N24" i="33" s="1"/>
  <c r="BQ134" i="20"/>
  <c r="BO134" i="20"/>
  <c r="BQ133" i="20"/>
  <c r="BO133" i="20"/>
  <c r="BQ132" i="20"/>
  <c r="BO132" i="20"/>
  <c r="BO129" i="20"/>
  <c r="BO128" i="20"/>
  <c r="BO127" i="20"/>
  <c r="BO126" i="20"/>
  <c r="BQ120" i="20"/>
  <c r="BO120" i="20"/>
  <c r="BQ119" i="20"/>
  <c r="BO119" i="20"/>
  <c r="BO103" i="20"/>
  <c r="BQ111" i="20"/>
  <c r="BO102" i="20"/>
  <c r="BO101" i="20"/>
  <c r="BO100" i="20"/>
  <c r="BP96" i="20"/>
  <c r="BO96" i="20"/>
  <c r="BO92" i="20"/>
  <c r="BO91" i="20"/>
  <c r="BO90" i="20"/>
  <c r="BO89" i="20"/>
  <c r="BO88" i="20"/>
  <c r="BO83" i="20"/>
  <c r="BP82" i="20"/>
  <c r="BO82" i="20"/>
  <c r="BP81" i="20"/>
  <c r="BO81" i="20"/>
  <c r="BO72" i="20"/>
  <c r="BO65" i="20"/>
  <c r="BO64" i="20"/>
  <c r="BO63" i="20"/>
  <c r="BO62" i="20"/>
  <c r="BO58" i="20"/>
  <c r="BO54" i="20"/>
  <c r="BO53" i="20"/>
  <c r="BO52" i="20"/>
  <c r="BP46" i="20"/>
  <c r="BO46" i="20"/>
  <c r="BP45" i="20"/>
  <c r="BO45" i="20"/>
  <c r="E121" i="20"/>
  <c r="BN121" i="20" l="1"/>
  <c r="BM121" i="20"/>
  <c r="BP121" i="20" s="1"/>
  <c r="N25" i="33"/>
  <c r="N26" i="33"/>
  <c r="N27" i="33" s="1"/>
  <c r="N28" i="33" s="1"/>
  <c r="N29" i="33" s="1"/>
  <c r="N30" i="33" s="1"/>
  <c r="I23" i="83"/>
  <c r="I22" i="83"/>
  <c r="I21" i="83"/>
  <c r="I20" i="83"/>
  <c r="I19" i="83"/>
  <c r="I17" i="83"/>
  <c r="I16" i="83"/>
  <c r="I15" i="83"/>
  <c r="I14" i="83"/>
  <c r="K13" i="83"/>
  <c r="I13" i="83"/>
  <c r="I11" i="83"/>
  <c r="I10" i="83"/>
  <c r="I9" i="83"/>
  <c r="I8" i="83"/>
  <c r="AF84" i="20"/>
  <c r="AH84" i="20"/>
  <c r="AJ84" i="20"/>
  <c r="AL84" i="20"/>
  <c r="BF84" i="20"/>
  <c r="BH84" i="20"/>
  <c r="BI84" i="20"/>
  <c r="BJ84" i="20"/>
  <c r="BK84" i="20"/>
  <c r="AF92" i="20"/>
  <c r="AH92" i="20"/>
  <c r="AJ92" i="20"/>
  <c r="AL92" i="20"/>
  <c r="BF92" i="20"/>
  <c r="BH92" i="20"/>
  <c r="BI92" i="20"/>
  <c r="BJ92" i="20"/>
  <c r="BK92" i="20"/>
  <c r="BF104" i="20"/>
  <c r="BK104" i="20"/>
  <c r="BF121" i="20"/>
  <c r="BK121" i="20"/>
  <c r="BF129" i="20"/>
  <c r="BK129" i="20"/>
  <c r="E107" i="20" l="1"/>
  <c r="BM107" i="20" s="1"/>
  <c r="E79" i="20"/>
  <c r="BM79" i="20" s="1"/>
  <c r="E140" i="20"/>
  <c r="BM140" i="20" s="1"/>
  <c r="E117" i="20"/>
  <c r="BM117" i="20" s="1"/>
  <c r="E110" i="20"/>
  <c r="BM110" i="20" s="1"/>
  <c r="E87" i="20"/>
  <c r="BM87" i="20" s="1"/>
  <c r="E143" i="20"/>
  <c r="BM143" i="20" s="1"/>
  <c r="E124" i="20"/>
  <c r="BM124" i="20" s="1"/>
  <c r="BM57" i="20"/>
  <c r="BO121" i="20"/>
  <c r="BQ121" i="20"/>
  <c r="N32" i="33"/>
  <c r="N31" i="33"/>
  <c r="I258" i="41" l="1"/>
  <c r="F259" i="41"/>
  <c r="A24" i="41"/>
  <c r="B24" i="41"/>
  <c r="C24" i="41"/>
  <c r="D24" i="41"/>
  <c r="E24" i="41"/>
  <c r="G24" i="41"/>
  <c r="H24" i="41"/>
  <c r="I24" i="41"/>
  <c r="J24" i="41"/>
  <c r="K24" i="41"/>
  <c r="L24" i="41"/>
  <c r="M24" i="41"/>
  <c r="N24" i="41"/>
  <c r="O24" i="41"/>
  <c r="P24" i="41"/>
  <c r="Q24" i="41"/>
  <c r="R24" i="41"/>
  <c r="S24" i="41"/>
  <c r="T24" i="41"/>
  <c r="U24" i="41"/>
  <c r="V24" i="41"/>
  <c r="W24" i="41"/>
  <c r="X24" i="41"/>
  <c r="Y24" i="41"/>
  <c r="Z24" i="41"/>
  <c r="AA24" i="41"/>
  <c r="AB24" i="41"/>
  <c r="AC24" i="41"/>
  <c r="AD24" i="41"/>
  <c r="AE24" i="41"/>
  <c r="AF24" i="41"/>
  <c r="AG24" i="41"/>
  <c r="AH24" i="41"/>
  <c r="AI24" i="41"/>
  <c r="AJ24" i="41"/>
  <c r="AK24" i="41"/>
  <c r="AL24" i="41"/>
  <c r="AM24" i="41"/>
  <c r="AN24" i="41"/>
  <c r="AO24" i="41"/>
  <c r="AP24" i="41"/>
  <c r="AQ24" i="41"/>
  <c r="A25" i="41"/>
  <c r="B25" i="41"/>
  <c r="C25" i="41"/>
  <c r="C29" i="41" s="1"/>
  <c r="D25" i="41"/>
  <c r="E25" i="41"/>
  <c r="F25" i="41"/>
  <c r="G25" i="41"/>
  <c r="H25" i="41"/>
  <c r="I25" i="41"/>
  <c r="J25" i="41"/>
  <c r="K25" i="41"/>
  <c r="L25" i="41"/>
  <c r="M25" i="41"/>
  <c r="N25" i="41"/>
  <c r="O25" i="41"/>
  <c r="P25" i="41"/>
  <c r="Q25" i="41"/>
  <c r="R25" i="41"/>
  <c r="S25" i="41"/>
  <c r="T25" i="41"/>
  <c r="U25" i="41"/>
  <c r="V25" i="41"/>
  <c r="W25" i="41"/>
  <c r="X25" i="41"/>
  <c r="Y25" i="41"/>
  <c r="Z25" i="41"/>
  <c r="AA25" i="41"/>
  <c r="AB25" i="41"/>
  <c r="AC25" i="41"/>
  <c r="AD25" i="41"/>
  <c r="AE25" i="41"/>
  <c r="AF25" i="41"/>
  <c r="AG25" i="41"/>
  <c r="AH25" i="41"/>
  <c r="AI25" i="41"/>
  <c r="AJ25" i="41"/>
  <c r="AK25" i="41"/>
  <c r="AL25" i="41"/>
  <c r="AM25" i="41"/>
  <c r="AN25" i="41"/>
  <c r="AO25" i="41"/>
  <c r="AP25" i="41"/>
  <c r="AQ25" i="41"/>
  <c r="A26" i="41"/>
  <c r="B26" i="41"/>
  <c r="C26" i="41"/>
  <c r="C30" i="41" s="1"/>
  <c r="D26" i="41"/>
  <c r="E26" i="41"/>
  <c r="F26" i="41"/>
  <c r="G26" i="41"/>
  <c r="H26" i="41"/>
  <c r="I26" i="41"/>
  <c r="J26" i="41"/>
  <c r="K26" i="41"/>
  <c r="L26" i="41"/>
  <c r="M26" i="41"/>
  <c r="N26" i="41"/>
  <c r="O26" i="41"/>
  <c r="P26" i="41"/>
  <c r="Q26" i="41"/>
  <c r="R26" i="41"/>
  <c r="S26" i="41"/>
  <c r="T26" i="41"/>
  <c r="U26" i="41"/>
  <c r="V26" i="41"/>
  <c r="W26" i="41"/>
  <c r="X26" i="41"/>
  <c r="Y26" i="41"/>
  <c r="Z26" i="41"/>
  <c r="AA26" i="41"/>
  <c r="AB26" i="41"/>
  <c r="AC26" i="41"/>
  <c r="AD26" i="41"/>
  <c r="AE26" i="41"/>
  <c r="AF26" i="41"/>
  <c r="AG26" i="41"/>
  <c r="AH26" i="41"/>
  <c r="AI26" i="41"/>
  <c r="AJ26" i="41"/>
  <c r="AK26" i="41"/>
  <c r="AL26" i="41"/>
  <c r="AM26" i="41"/>
  <c r="AN26" i="41"/>
  <c r="AO26" i="41"/>
  <c r="AP26" i="41"/>
  <c r="AQ26" i="41"/>
  <c r="A27" i="41"/>
  <c r="B27" i="41"/>
  <c r="C27" i="41"/>
  <c r="D27" i="41"/>
  <c r="E27" i="41"/>
  <c r="G27" i="41"/>
  <c r="H27" i="41"/>
  <c r="I27" i="41"/>
  <c r="J27" i="41"/>
  <c r="K27" i="41"/>
  <c r="L27" i="41"/>
  <c r="M27" i="41"/>
  <c r="N27" i="41"/>
  <c r="O27" i="41"/>
  <c r="P27" i="41"/>
  <c r="Q27" i="41"/>
  <c r="R27" i="41"/>
  <c r="S27" i="41"/>
  <c r="T27" i="41"/>
  <c r="U27" i="41"/>
  <c r="V27" i="41"/>
  <c r="W27" i="41"/>
  <c r="X27" i="41"/>
  <c r="Y27" i="41"/>
  <c r="Z27" i="41"/>
  <c r="AA27" i="41"/>
  <c r="AB27" i="41"/>
  <c r="AC27" i="41"/>
  <c r="AD27" i="41"/>
  <c r="AE27" i="41"/>
  <c r="AF27" i="41"/>
  <c r="AG27" i="41"/>
  <c r="AH27" i="41"/>
  <c r="AI27" i="41"/>
  <c r="AJ27" i="41"/>
  <c r="AK27" i="41"/>
  <c r="AL27" i="41"/>
  <c r="AM27" i="41"/>
  <c r="AN27" i="41"/>
  <c r="AO27" i="41"/>
  <c r="AP27" i="41"/>
  <c r="AQ27" i="41"/>
  <c r="H37" i="41"/>
  <c r="H38" i="41"/>
  <c r="H39" i="41"/>
  <c r="F40" i="41"/>
  <c r="H40" i="41" s="1"/>
  <c r="H29" i="41" l="1"/>
  <c r="I30" i="41"/>
  <c r="G30" i="41"/>
  <c r="J30" i="41"/>
  <c r="H30" i="41"/>
  <c r="G29" i="41"/>
  <c r="J29" i="41"/>
  <c r="I29" i="41"/>
  <c r="G38" i="41" l="1"/>
  <c r="G40" i="41"/>
  <c r="G39" i="41"/>
  <c r="G37" i="41"/>
  <c r="I37" i="41"/>
  <c r="G32" i="41"/>
  <c r="I38" i="41"/>
  <c r="G41" i="41" l="1"/>
  <c r="C10" i="71" l="1"/>
  <c r="C9" i="71"/>
  <c r="S50" i="71" l="1"/>
  <c r="S54" i="71" s="1"/>
  <c r="S49" i="71"/>
  <c r="S53" i="71" s="1"/>
  <c r="S47" i="71"/>
  <c r="S51" i="71" s="1"/>
  <c r="S55" i="71" s="1"/>
  <c r="R46" i="71"/>
  <c r="R45" i="71"/>
  <c r="R30" i="71"/>
  <c r="R34" i="71" s="1"/>
  <c r="S30" i="71"/>
  <c r="S34" i="71" s="1"/>
  <c r="T30" i="71"/>
  <c r="T34" i="71" s="1"/>
  <c r="U30" i="71"/>
  <c r="U34" i="71" s="1"/>
  <c r="S29" i="71"/>
  <c r="S33" i="71" s="1"/>
  <c r="T29" i="71"/>
  <c r="T33" i="71" s="1"/>
  <c r="U29" i="71"/>
  <c r="U33" i="71" s="1"/>
  <c r="R29" i="71"/>
  <c r="R33" i="71" s="1"/>
  <c r="S27" i="71"/>
  <c r="S31" i="71" s="1"/>
  <c r="S35" i="71" s="1"/>
  <c r="R27" i="71"/>
  <c r="R31" i="71" s="1"/>
  <c r="R35" i="71" s="1"/>
  <c r="H9" i="71"/>
  <c r="I9" i="71"/>
  <c r="G10" i="71"/>
  <c r="H16" i="71"/>
  <c r="I16" i="71"/>
  <c r="G16" i="71"/>
  <c r="H8" i="71"/>
  <c r="I8" i="71" s="1"/>
  <c r="W17" i="71" l="1"/>
  <c r="H10" i="71"/>
  <c r="H17" i="71" s="1"/>
  <c r="R47" i="71"/>
  <c r="G17" i="71"/>
  <c r="I10" i="71"/>
  <c r="I17" i="71" s="1"/>
  <c r="D89" i="41"/>
  <c r="AS31" i="20"/>
  <c r="AR31" i="20"/>
  <c r="AQ31" i="20"/>
  <c r="AP31" i="20"/>
  <c r="AB31" i="20"/>
  <c r="Z31" i="20"/>
  <c r="X31" i="20"/>
  <c r="A50" i="24" l="1"/>
  <c r="A51" i="24"/>
  <c r="A41" i="24"/>
  <c r="A44" i="24"/>
  <c r="A45" i="24"/>
  <c r="A46" i="24"/>
  <c r="A47" i="24"/>
  <c r="A48" i="24"/>
  <c r="A49" i="24"/>
  <c r="BG36" i="20"/>
  <c r="A42" i="24" l="1"/>
  <c r="A40" i="24"/>
  <c r="A36" i="24"/>
  <c r="A43" i="24"/>
  <c r="A39" i="24"/>
  <c r="A38" i="24"/>
  <c r="A37" i="24"/>
  <c r="BN48" i="20" l="1"/>
  <c r="BO48" i="20"/>
  <c r="BN49" i="20"/>
  <c r="BO49" i="20"/>
  <c r="BN55" i="20"/>
  <c r="BO55" i="20"/>
  <c r="BN56" i="20"/>
  <c r="BO56" i="20"/>
  <c r="BN59" i="20"/>
  <c r="BO59" i="20"/>
  <c r="BN60" i="20"/>
  <c r="BO60" i="20"/>
  <c r="BN66" i="20"/>
  <c r="BO66" i="20"/>
  <c r="BN67" i="20"/>
  <c r="BO67" i="20"/>
  <c r="BN69" i="20"/>
  <c r="BO69" i="20"/>
  <c r="BN70" i="20"/>
  <c r="BO70" i="20"/>
  <c r="BN73" i="20"/>
  <c r="BO73" i="20"/>
  <c r="BN74" i="20"/>
  <c r="BO74" i="20"/>
  <c r="BN77" i="20"/>
  <c r="BO77" i="20"/>
  <c r="BN78" i="20"/>
  <c r="BO78" i="20"/>
  <c r="BN85" i="20"/>
  <c r="BO85" i="20"/>
  <c r="BN86" i="20"/>
  <c r="BO86" i="20"/>
  <c r="BN93" i="20"/>
  <c r="BO93" i="20"/>
  <c r="BN94" i="20"/>
  <c r="BO94" i="20"/>
  <c r="BN97" i="20"/>
  <c r="BO97" i="20"/>
  <c r="BN98" i="20"/>
  <c r="BO98" i="20"/>
  <c r="BN105" i="20"/>
  <c r="BO105" i="20"/>
  <c r="BN106" i="20"/>
  <c r="BO106" i="20"/>
  <c r="BN108" i="20"/>
  <c r="BO108" i="20"/>
  <c r="BN109" i="20"/>
  <c r="BO109" i="20"/>
  <c r="BN112" i="20"/>
  <c r="BO112" i="20"/>
  <c r="BN113" i="20"/>
  <c r="BO113" i="20"/>
  <c r="BN115" i="20"/>
  <c r="BO115" i="20"/>
  <c r="BN116" i="20"/>
  <c r="BO116" i="20"/>
  <c r="BN122" i="20"/>
  <c r="BO122" i="20"/>
  <c r="BN123" i="20"/>
  <c r="BO123" i="20"/>
  <c r="BN130" i="20"/>
  <c r="BO130" i="20"/>
  <c r="BN131" i="20"/>
  <c r="BO131" i="20"/>
  <c r="BN138" i="20"/>
  <c r="BO138" i="20"/>
  <c r="BN139" i="20"/>
  <c r="BO139" i="20"/>
  <c r="BN141" i="20"/>
  <c r="BO141" i="20"/>
  <c r="BN142" i="20"/>
  <c r="BO142" i="20"/>
  <c r="BN144" i="20"/>
  <c r="BO144" i="20"/>
  <c r="BN145" i="20"/>
  <c r="BO145" i="20"/>
  <c r="BP48" i="20"/>
  <c r="BP49" i="20"/>
  <c r="BP55" i="20"/>
  <c r="BP56" i="20"/>
  <c r="BP59" i="20"/>
  <c r="BP60" i="20"/>
  <c r="BP66" i="20"/>
  <c r="BP67" i="20"/>
  <c r="BP69" i="20"/>
  <c r="BP70" i="20"/>
  <c r="BP73" i="20"/>
  <c r="BP74" i="20"/>
  <c r="BP77" i="20"/>
  <c r="BP78" i="20"/>
  <c r="BP85" i="20"/>
  <c r="BP86" i="20"/>
  <c r="BP93" i="20"/>
  <c r="BP94" i="20"/>
  <c r="BP97" i="20"/>
  <c r="BP98" i="20"/>
  <c r="BP105" i="20"/>
  <c r="BP106" i="20"/>
  <c r="BP108" i="20"/>
  <c r="BP109" i="20"/>
  <c r="BP112" i="20"/>
  <c r="BP113" i="20"/>
  <c r="BP115" i="20"/>
  <c r="BP116" i="20"/>
  <c r="BP122" i="20"/>
  <c r="BP123" i="20"/>
  <c r="BP130" i="20"/>
  <c r="BP131" i="20"/>
  <c r="BP138" i="20"/>
  <c r="BP139" i="20"/>
  <c r="BP141" i="20"/>
  <c r="BP142" i="20"/>
  <c r="M17" i="71" l="1"/>
  <c r="S230" i="41"/>
  <c r="J121" i="41"/>
  <c r="A21" i="41"/>
  <c r="A20" i="41"/>
  <c r="B19" i="41" l="1"/>
  <c r="P110" i="41" s="1"/>
  <c r="P141" i="41" s="1"/>
  <c r="P174" i="41" s="1"/>
  <c r="P212" i="41" s="1"/>
  <c r="C19" i="41"/>
  <c r="Q110" i="41" s="1"/>
  <c r="Q141" i="41" s="1"/>
  <c r="Q174" i="41" s="1"/>
  <c r="Q212" i="41" s="1"/>
  <c r="D19" i="41"/>
  <c r="R110" i="41" s="1"/>
  <c r="R141" i="41" s="1"/>
  <c r="R174" i="41" s="1"/>
  <c r="R212" i="41" s="1"/>
  <c r="E19" i="41"/>
  <c r="S110" i="41" s="1"/>
  <c r="S141" i="41" s="1"/>
  <c r="S174" i="41" s="1"/>
  <c r="S212" i="41" s="1"/>
  <c r="D21" i="41" l="1"/>
  <c r="B21" i="41"/>
  <c r="C21" i="41"/>
  <c r="E21" i="41"/>
  <c r="C20" i="41"/>
  <c r="E20" i="41"/>
  <c r="D20" i="41"/>
  <c r="B20" i="41" l="1"/>
  <c r="F16" i="33"/>
  <c r="H16" i="33"/>
  <c r="I16" i="33"/>
  <c r="J16" i="33"/>
  <c r="K16" i="33"/>
  <c r="K17" i="33"/>
  <c r="K19" i="33"/>
  <c r="F20" i="33"/>
  <c r="G20" i="33"/>
  <c r="H20" i="33"/>
  <c r="I20" i="33"/>
  <c r="J20" i="33"/>
  <c r="K20" i="33"/>
  <c r="G21" i="33"/>
  <c r="H21" i="33"/>
  <c r="I21" i="33"/>
  <c r="J21" i="33"/>
  <c r="K21" i="33"/>
  <c r="G22" i="33"/>
  <c r="H22" i="33"/>
  <c r="I22" i="33"/>
  <c r="J22" i="33"/>
  <c r="K22" i="33"/>
  <c r="G23" i="33"/>
  <c r="H23" i="33"/>
  <c r="I23" i="33"/>
  <c r="J23" i="33"/>
  <c r="K23" i="33"/>
  <c r="F24" i="33"/>
  <c r="H24" i="33"/>
  <c r="I24" i="33"/>
  <c r="J24" i="33"/>
  <c r="K24" i="33"/>
  <c r="K25" i="33"/>
  <c r="K27" i="33"/>
  <c r="G28" i="33"/>
  <c r="H28" i="33"/>
  <c r="I28" i="33"/>
  <c r="J28" i="33"/>
  <c r="K28" i="33"/>
  <c r="G29" i="33"/>
  <c r="H29" i="33"/>
  <c r="I29" i="33"/>
  <c r="J29" i="33"/>
  <c r="K29" i="33"/>
  <c r="G30" i="33"/>
  <c r="H30" i="33"/>
  <c r="I30" i="33"/>
  <c r="J30" i="33"/>
  <c r="K30" i="33"/>
  <c r="G31" i="33"/>
  <c r="H31" i="33"/>
  <c r="I31" i="33"/>
  <c r="J31" i="33"/>
  <c r="K31" i="33"/>
  <c r="F34" i="33"/>
  <c r="G35" i="33"/>
  <c r="H35" i="33"/>
  <c r="I35" i="33"/>
  <c r="J35" i="33"/>
  <c r="K35" i="33"/>
  <c r="G36" i="33"/>
  <c r="H36" i="33"/>
  <c r="I36" i="33"/>
  <c r="J36" i="33"/>
  <c r="K36" i="33"/>
  <c r="G37" i="33"/>
  <c r="H37" i="33"/>
  <c r="I37" i="33"/>
  <c r="J37" i="33"/>
  <c r="K37" i="33"/>
  <c r="G15" i="33"/>
  <c r="H15" i="33"/>
  <c r="I15" i="33"/>
  <c r="J15" i="33"/>
  <c r="K15" i="33"/>
  <c r="A32" i="24" l="1"/>
  <c r="B165" i="60"/>
  <c r="C165" i="60" s="1"/>
  <c r="D165" i="60" s="1"/>
  <c r="E165" i="60" s="1"/>
  <c r="F165" i="60" s="1"/>
  <c r="G165" i="60" s="1"/>
  <c r="H165" i="60" s="1"/>
  <c r="I165" i="60" s="1"/>
  <c r="J165" i="60" s="1"/>
  <c r="V41" i="20"/>
  <c r="V42" i="20"/>
  <c r="AE49" i="20"/>
  <c r="AU56" i="20"/>
  <c r="AE56" i="20" s="1"/>
  <c r="AE60" i="20"/>
  <c r="AE67" i="20"/>
  <c r="AE70" i="20"/>
  <c r="AE74" i="20"/>
  <c r="AE86" i="20"/>
  <c r="AU106" i="20"/>
  <c r="AE106" i="20" s="1"/>
  <c r="AU109" i="20"/>
  <c r="AE109" i="20" s="1"/>
  <c r="AU113" i="20"/>
  <c r="AE113" i="20" s="1"/>
  <c r="AU116" i="20"/>
  <c r="AE116" i="20" s="1"/>
  <c r="AU123" i="20"/>
  <c r="AE123" i="20" s="1"/>
  <c r="AU131" i="20"/>
  <c r="AE131" i="20" s="1"/>
  <c r="AU139" i="20"/>
  <c r="AE139" i="20" s="1"/>
  <c r="AU142" i="20"/>
  <c r="AE142" i="20" s="1"/>
  <c r="D32" i="24" l="1"/>
  <c r="C32" i="24"/>
  <c r="E32" i="24"/>
  <c r="BR55" i="71"/>
  <c r="DF55" i="71" s="1"/>
  <c r="BQ55" i="71"/>
  <c r="DE55" i="71" s="1"/>
  <c r="BP55" i="71"/>
  <c r="DD55" i="71" s="1"/>
  <c r="BM55" i="71"/>
  <c r="BW55" i="71" s="1"/>
  <c r="BL55" i="71"/>
  <c r="BV55" i="71" s="1"/>
  <c r="BK55" i="71"/>
  <c r="BU55" i="71" s="1"/>
  <c r="AZ55" i="71"/>
  <c r="CQ55" i="71" s="1"/>
  <c r="AY55" i="71"/>
  <c r="AX55" i="71"/>
  <c r="CP55" i="71" s="1"/>
  <c r="AW55" i="71"/>
  <c r="AU55" i="71"/>
  <c r="CO55" i="71" s="1"/>
  <c r="AR55" i="71"/>
  <c r="AQ55" i="71"/>
  <c r="AP55" i="71"/>
  <c r="AO55" i="71"/>
  <c r="AM55" i="71"/>
  <c r="AJ55" i="71"/>
  <c r="AI55" i="71"/>
  <c r="AH55" i="71"/>
  <c r="AG55" i="71"/>
  <c r="AE55" i="71"/>
  <c r="H55" i="71"/>
  <c r="F55" i="71"/>
  <c r="BR54" i="71"/>
  <c r="DF54" i="71" s="1"/>
  <c r="BQ54" i="71"/>
  <c r="DE54" i="71" s="1"/>
  <c r="BP54" i="71"/>
  <c r="DD54" i="71" s="1"/>
  <c r="BM54" i="71"/>
  <c r="BW54" i="71" s="1"/>
  <c r="BL54" i="71"/>
  <c r="BV54" i="71" s="1"/>
  <c r="BK54" i="71"/>
  <c r="BU54" i="71" s="1"/>
  <c r="AZ54" i="71"/>
  <c r="CQ54" i="71" s="1"/>
  <c r="AY54" i="71"/>
  <c r="AX54" i="71"/>
  <c r="CP54" i="71" s="1"/>
  <c r="AW54" i="71"/>
  <c r="AU54" i="71"/>
  <c r="CO54" i="71" s="1"/>
  <c r="AR54" i="71"/>
  <c r="AQ54" i="71"/>
  <c r="AP54" i="71"/>
  <c r="AO54" i="71"/>
  <c r="AM54" i="71"/>
  <c r="AJ54" i="71"/>
  <c r="AI54" i="71"/>
  <c r="AH54" i="71"/>
  <c r="AG54" i="71"/>
  <c r="AE54" i="71"/>
  <c r="H54" i="71"/>
  <c r="F54" i="71"/>
  <c r="CQ53" i="71"/>
  <c r="CP53" i="71"/>
  <c r="CG53" i="71"/>
  <c r="DA53" i="71" s="1"/>
  <c r="CF53" i="71"/>
  <c r="CZ53" i="71" s="1"/>
  <c r="BR53" i="71"/>
  <c r="DF53" i="71" s="1"/>
  <c r="BQ53" i="71"/>
  <c r="DE53" i="71" s="1"/>
  <c r="BP53" i="71"/>
  <c r="DD53" i="71" s="1"/>
  <c r="BM53" i="71"/>
  <c r="BW53" i="71" s="1"/>
  <c r="BL53" i="71"/>
  <c r="BV53" i="71" s="1"/>
  <c r="BK53" i="71"/>
  <c r="BU53" i="71" s="1"/>
  <c r="BH53" i="71"/>
  <c r="CV53" i="71" s="1"/>
  <c r="BG53" i="71"/>
  <c r="BF53" i="71"/>
  <c r="CU53" i="71" s="1"/>
  <c r="BE53" i="71"/>
  <c r="BC53" i="71"/>
  <c r="CT53" i="71" s="1"/>
  <c r="AU53" i="71"/>
  <c r="CO53" i="71" s="1"/>
  <c r="H53" i="71"/>
  <c r="F53" i="71"/>
  <c r="H52" i="71"/>
  <c r="G52" i="71"/>
  <c r="I52" i="71" s="1"/>
  <c r="F52" i="71"/>
  <c r="AZ51" i="71"/>
  <c r="CG51" i="71" s="1"/>
  <c r="DA51" i="71" s="1"/>
  <c r="AY51" i="71"/>
  <c r="AX51" i="71"/>
  <c r="AW51" i="71"/>
  <c r="AU51" i="71"/>
  <c r="CO51" i="71" s="1"/>
  <c r="AR51" i="71"/>
  <c r="AQ51" i="71"/>
  <c r="AP51" i="71"/>
  <c r="AO51" i="71"/>
  <c r="AM51" i="71"/>
  <c r="AJ51" i="71"/>
  <c r="AI51" i="71"/>
  <c r="AH51" i="71"/>
  <c r="AG51" i="71"/>
  <c r="AE51" i="71"/>
  <c r="H51" i="71"/>
  <c r="F51" i="71"/>
  <c r="AZ50" i="71"/>
  <c r="CQ50" i="71" s="1"/>
  <c r="AY50" i="71"/>
  <c r="AX50" i="71"/>
  <c r="CF50" i="71" s="1"/>
  <c r="CZ50" i="71" s="1"/>
  <c r="AW50" i="71"/>
  <c r="AU50" i="71"/>
  <c r="CO50" i="71" s="1"/>
  <c r="AR50" i="71"/>
  <c r="AQ50" i="71"/>
  <c r="AP50" i="71"/>
  <c r="AO50" i="71"/>
  <c r="AM50" i="71"/>
  <c r="AJ50" i="71"/>
  <c r="AI50" i="71"/>
  <c r="AH50" i="71"/>
  <c r="AG50" i="71"/>
  <c r="AE50" i="71"/>
  <c r="H50" i="71"/>
  <c r="F50" i="71"/>
  <c r="CQ49" i="71"/>
  <c r="CP49" i="71"/>
  <c r="CG49" i="71"/>
  <c r="DA49" i="71" s="1"/>
  <c r="CF49" i="71"/>
  <c r="CZ49" i="71" s="1"/>
  <c r="BH49" i="71"/>
  <c r="CV49" i="71" s="1"/>
  <c r="BG49" i="71"/>
  <c r="BF49" i="71"/>
  <c r="CU49" i="71" s="1"/>
  <c r="BE49" i="71"/>
  <c r="BC49" i="71"/>
  <c r="CT49" i="71" s="1"/>
  <c r="AU49" i="71"/>
  <c r="CO49" i="71" s="1"/>
  <c r="H49" i="71"/>
  <c r="F49" i="71"/>
  <c r="H48" i="71"/>
  <c r="G48" i="71"/>
  <c r="I48" i="71" s="1"/>
  <c r="F48" i="71"/>
  <c r="DG47" i="71"/>
  <c r="DA47" i="71"/>
  <c r="CZ47" i="71"/>
  <c r="CY47" i="71"/>
  <c r="AR47" i="71"/>
  <c r="AQ47" i="71"/>
  <c r="AP47" i="71"/>
  <c r="AO47" i="71"/>
  <c r="AM47" i="71"/>
  <c r="AJ47" i="71"/>
  <c r="AI47" i="71"/>
  <c r="AH47" i="71"/>
  <c r="AG47" i="71"/>
  <c r="AE47" i="71"/>
  <c r="H47" i="71"/>
  <c r="F47" i="71"/>
  <c r="DA46" i="71"/>
  <c r="CZ46" i="71"/>
  <c r="CY46" i="71"/>
  <c r="AR46" i="71"/>
  <c r="AQ46" i="71"/>
  <c r="AP46" i="71"/>
  <c r="AO46" i="71"/>
  <c r="AM46" i="71"/>
  <c r="AJ46" i="71"/>
  <c r="AI46" i="71"/>
  <c r="AH46" i="71"/>
  <c r="AG46" i="71"/>
  <c r="AE46" i="71"/>
  <c r="H46" i="71"/>
  <c r="F46" i="71"/>
  <c r="DA45" i="71"/>
  <c r="CZ45" i="71"/>
  <c r="CY45" i="71"/>
  <c r="CW45" i="71"/>
  <c r="CQ45" i="71"/>
  <c r="CP45" i="71"/>
  <c r="CM45" i="71"/>
  <c r="CG45" i="71"/>
  <c r="CF45" i="71"/>
  <c r="CC45" i="71"/>
  <c r="BI45" i="71"/>
  <c r="BH45" i="71"/>
  <c r="CL45" i="71" s="1"/>
  <c r="BG45" i="71"/>
  <c r="BF45" i="71"/>
  <c r="BE45" i="71"/>
  <c r="BC45" i="71"/>
  <c r="CJ45" i="71" s="1"/>
  <c r="AU45" i="71"/>
  <c r="AS45" i="71"/>
  <c r="AR45" i="71"/>
  <c r="AQ45" i="71"/>
  <c r="AP45" i="71"/>
  <c r="AO45" i="71"/>
  <c r="AM45" i="71"/>
  <c r="AI45" i="71"/>
  <c r="AH45" i="71"/>
  <c r="AG45" i="71"/>
  <c r="H45" i="71"/>
  <c r="F45" i="71"/>
  <c r="AJ43" i="71"/>
  <c r="AI43" i="71"/>
  <c r="AH43" i="71"/>
  <c r="AG43" i="71"/>
  <c r="E43" i="71"/>
  <c r="F43" i="71" s="1"/>
  <c r="G43" i="71" s="1"/>
  <c r="H43" i="71" s="1"/>
  <c r="I43" i="71" s="1"/>
  <c r="DF42" i="71"/>
  <c r="DE42" i="71"/>
  <c r="DD42" i="71"/>
  <c r="DA42" i="71"/>
  <c r="CZ42" i="71"/>
  <c r="CY42" i="71"/>
  <c r="CV42" i="71"/>
  <c r="CU42" i="71"/>
  <c r="CT42" i="71"/>
  <c r="CQ42" i="71"/>
  <c r="CP42" i="71"/>
  <c r="CO42" i="71"/>
  <c r="CL42" i="71"/>
  <c r="CK42" i="71"/>
  <c r="CJ42" i="71"/>
  <c r="CG42" i="71"/>
  <c r="CF42" i="71"/>
  <c r="CE42" i="71"/>
  <c r="CB42" i="71"/>
  <c r="CA42" i="71"/>
  <c r="BZ42" i="71"/>
  <c r="BW42" i="71"/>
  <c r="BV42" i="71"/>
  <c r="BU42" i="71"/>
  <c r="BR42" i="71"/>
  <c r="BQ42" i="71"/>
  <c r="BP42" i="71"/>
  <c r="BM42" i="71"/>
  <c r="BL42" i="71"/>
  <c r="BK42" i="71"/>
  <c r="BH42" i="71"/>
  <c r="BF42" i="71"/>
  <c r="BC42" i="71"/>
  <c r="AZ42" i="71"/>
  <c r="AX42" i="71"/>
  <c r="AU42" i="71"/>
  <c r="AR42" i="71"/>
  <c r="AP42" i="71"/>
  <c r="AM42" i="71"/>
  <c r="AJ42" i="71"/>
  <c r="AH42" i="71"/>
  <c r="D35" i="33"/>
  <c r="D28" i="33"/>
  <c r="D20" i="33"/>
  <c r="X49" i="71" l="1"/>
  <c r="BM51" i="71"/>
  <c r="BW51" i="71" s="1"/>
  <c r="Y45" i="71"/>
  <c r="V45" i="71"/>
  <c r="CQ51" i="71"/>
  <c r="X53" i="71"/>
  <c r="CK53" i="71"/>
  <c r="CF54" i="71"/>
  <c r="CZ54" i="71" s="1"/>
  <c r="X45" i="71"/>
  <c r="Y49" i="71"/>
  <c r="CK49" i="71"/>
  <c r="BL50" i="71"/>
  <c r="BV50" i="71" s="1"/>
  <c r="CP50" i="71"/>
  <c r="CU45" i="71"/>
  <c r="BQ45" i="71"/>
  <c r="BR45" i="71"/>
  <c r="CT45" i="71"/>
  <c r="V49" i="71"/>
  <c r="CE45" i="71"/>
  <c r="BP45" i="71"/>
  <c r="CK45" i="71"/>
  <c r="CO45" i="71"/>
  <c r="CV45" i="71"/>
  <c r="W45" i="71"/>
  <c r="W49" i="71"/>
  <c r="CE49" i="71"/>
  <c r="CY49" i="71" s="1"/>
  <c r="CJ49" i="71"/>
  <c r="CL49" i="71"/>
  <c r="BK50" i="71"/>
  <c r="BU50" i="71" s="1"/>
  <c r="BM50" i="71"/>
  <c r="BW50" i="71" s="1"/>
  <c r="CE50" i="71"/>
  <c r="CY50" i="71" s="1"/>
  <c r="CG50" i="71"/>
  <c r="DA50" i="71" s="1"/>
  <c r="CP51" i="71"/>
  <c r="CF51" i="71"/>
  <c r="CZ51" i="71" s="1"/>
  <c r="BL51" i="71"/>
  <c r="BV51" i="71" s="1"/>
  <c r="BK51" i="71"/>
  <c r="BU51" i="71" s="1"/>
  <c r="CE51" i="71"/>
  <c r="CY51" i="71" s="1"/>
  <c r="Y53" i="71"/>
  <c r="V53" i="71"/>
  <c r="CA53" i="71"/>
  <c r="CA54" i="71"/>
  <c r="CA55" i="71"/>
  <c r="CF55" i="71"/>
  <c r="CZ55" i="71" s="1"/>
  <c r="W53" i="71"/>
  <c r="BZ53" i="71"/>
  <c r="CB53" i="71"/>
  <c r="CE53" i="71"/>
  <c r="CY53" i="71" s="1"/>
  <c r="CJ53" i="71"/>
  <c r="CL53" i="71"/>
  <c r="BZ54" i="71"/>
  <c r="CB54" i="71"/>
  <c r="CE54" i="71"/>
  <c r="CY54" i="71" s="1"/>
  <c r="CG54" i="71"/>
  <c r="DA54" i="71" s="1"/>
  <c r="BZ55" i="71"/>
  <c r="CB55" i="71"/>
  <c r="CE55" i="71"/>
  <c r="CY55" i="71" s="1"/>
  <c r="CG55" i="71"/>
  <c r="DA55" i="71" s="1"/>
  <c r="CA45" i="71" l="1"/>
  <c r="DE45" i="71"/>
  <c r="DD45" i="71"/>
  <c r="BZ45" i="71"/>
  <c r="DF45" i="71"/>
  <c r="CB45" i="71"/>
  <c r="D22" i="33" l="1"/>
  <c r="E22" i="33"/>
  <c r="AG25" i="71"/>
  <c r="AH25" i="71"/>
  <c r="AI25" i="71"/>
  <c r="BH33" i="71"/>
  <c r="BG33" i="71"/>
  <c r="BF33" i="71"/>
  <c r="BE33" i="71"/>
  <c r="BC33" i="71"/>
  <c r="BH29" i="71"/>
  <c r="BG29" i="71"/>
  <c r="BF29" i="71"/>
  <c r="BE29" i="71"/>
  <c r="BC29" i="71"/>
  <c r="BH25" i="71"/>
  <c r="BG25" i="71"/>
  <c r="BF25" i="71"/>
  <c r="BE25" i="71"/>
  <c r="BC25" i="71"/>
  <c r="AU33" i="71"/>
  <c r="AU29" i="71"/>
  <c r="AU25" i="71"/>
  <c r="AO25" i="71"/>
  <c r="AP25" i="71"/>
  <c r="AQ25" i="71"/>
  <c r="AR25" i="71"/>
  <c r="AM25" i="71"/>
  <c r="AI58" i="20"/>
  <c r="AE36" i="20"/>
  <c r="V36" i="20"/>
  <c r="AU36" i="20"/>
  <c r="V49" i="20"/>
  <c r="V56" i="20"/>
  <c r="V60" i="20"/>
  <c r="V67" i="20"/>
  <c r="V70" i="20"/>
  <c r="V74" i="20"/>
  <c r="V86" i="20"/>
  <c r="V94" i="20"/>
  <c r="V98" i="20"/>
  <c r="V106" i="20"/>
  <c r="V109" i="20"/>
  <c r="V113" i="20"/>
  <c r="V116" i="20"/>
  <c r="V123" i="20"/>
  <c r="V131" i="20"/>
  <c r="V139" i="20"/>
  <c r="V142" i="20"/>
  <c r="AO36" i="20"/>
  <c r="L45" i="20"/>
  <c r="L46" i="20"/>
  <c r="L47" i="20"/>
  <c r="L44" i="20"/>
  <c r="M131" i="20"/>
  <c r="M123" i="20"/>
  <c r="AE42" i="20" l="1"/>
  <c r="D24" i="33"/>
  <c r="E24" i="33"/>
  <c r="A7" i="24" l="1"/>
  <c r="C7" i="24" s="1"/>
  <c r="D7" i="24" l="1"/>
  <c r="A18" i="24"/>
  <c r="D36" i="33"/>
  <c r="E36" i="33"/>
  <c r="D29" i="33"/>
  <c r="E29" i="33"/>
  <c r="D21" i="33"/>
  <c r="E21" i="33"/>
  <c r="F24" i="62"/>
  <c r="G24" i="62" s="1"/>
  <c r="F23" i="62"/>
  <c r="E5" i="62" s="1"/>
  <c r="F21" i="62"/>
  <c r="G21" i="62" s="1"/>
  <c r="F20" i="62"/>
  <c r="E4" i="62" s="1"/>
  <c r="F18" i="62"/>
  <c r="G18" i="62" s="1"/>
  <c r="F17" i="62"/>
  <c r="E3" i="62" s="1"/>
  <c r="D91" i="41"/>
  <c r="D90" i="41"/>
  <c r="E95" i="62"/>
  <c r="D18" i="24" l="1"/>
  <c r="C13" i="84" s="1"/>
  <c r="G20" i="62"/>
  <c r="G17" i="62"/>
  <c r="G23" i="62"/>
  <c r="F13" i="84" l="1"/>
  <c r="E13" i="84"/>
  <c r="G13" i="84"/>
  <c r="E56" i="33"/>
  <c r="E93" i="33"/>
  <c r="M48" i="41"/>
  <c r="M49" i="41"/>
  <c r="M50" i="41"/>
  <c r="M51" i="41"/>
  <c r="C95" i="41"/>
  <c r="C96" i="41"/>
  <c r="C97" i="41"/>
  <c r="B98" i="41"/>
  <c r="C98" i="41"/>
  <c r="B99" i="41"/>
  <c r="B102" i="41" s="1"/>
  <c r="B105" i="41" s="1"/>
  <c r="C99" i="41"/>
  <c r="B100" i="41"/>
  <c r="B103" i="41" s="1"/>
  <c r="B106" i="41" s="1"/>
  <c r="C100" i="41"/>
  <c r="C101" i="41"/>
  <c r="D101" i="41"/>
  <c r="C102" i="41"/>
  <c r="C103" i="41"/>
  <c r="C104" i="41"/>
  <c r="D104" i="41"/>
  <c r="C105" i="41"/>
  <c r="C106" i="41"/>
  <c r="L111" i="41"/>
  <c r="T21" i="74"/>
  <c r="T20" i="74"/>
  <c r="K150" i="41"/>
  <c r="K170" i="41"/>
  <c r="K160" i="41"/>
  <c r="I41" i="74"/>
  <c r="J41" i="74"/>
  <c r="K41" i="74"/>
  <c r="M41" i="74"/>
  <c r="P41" i="74"/>
  <c r="O48" i="41"/>
  <c r="O49" i="41"/>
  <c r="Q79" i="41"/>
  <c r="B70" i="41"/>
  <c r="B85" i="41"/>
  <c r="B86" i="41"/>
  <c r="B87" i="41"/>
  <c r="B84" i="41"/>
  <c r="B66" i="41"/>
  <c r="B65" i="41"/>
  <c r="B64" i="41"/>
  <c r="B63" i="41"/>
  <c r="B53" i="41"/>
  <c r="B73" i="41" s="1"/>
  <c r="B54" i="41"/>
  <c r="B76" i="41" s="1"/>
  <c r="B55" i="41"/>
  <c r="B52" i="41"/>
  <c r="L112" i="41"/>
  <c r="L113" i="41"/>
  <c r="L114" i="41"/>
  <c r="L115" i="41"/>
  <c r="L116" i="41"/>
  <c r="L117" i="41"/>
  <c r="L118" i="41"/>
  <c r="L121" i="41"/>
  <c r="L122" i="41"/>
  <c r="L123" i="41"/>
  <c r="L124" i="41"/>
  <c r="L125" i="41"/>
  <c r="L126" i="41"/>
  <c r="L127" i="41"/>
  <c r="L128" i="41"/>
  <c r="L131" i="41"/>
  <c r="L132" i="41"/>
  <c r="L133" i="41"/>
  <c r="L134" i="41"/>
  <c r="L135" i="41"/>
  <c r="L136" i="41"/>
  <c r="L137" i="41"/>
  <c r="L138" i="41"/>
  <c r="G48" i="41"/>
  <c r="H48" i="41"/>
  <c r="I48" i="41"/>
  <c r="J48" i="41"/>
  <c r="K48" i="41"/>
  <c r="L48" i="41"/>
  <c r="N48" i="41"/>
  <c r="P48" i="41"/>
  <c r="G49" i="41"/>
  <c r="H49" i="41"/>
  <c r="I49" i="41"/>
  <c r="J49" i="41"/>
  <c r="K49" i="41"/>
  <c r="L49" i="41"/>
  <c r="N49" i="41"/>
  <c r="P49" i="41"/>
  <c r="G50" i="41"/>
  <c r="H50" i="41"/>
  <c r="I50" i="41"/>
  <c r="J50" i="41"/>
  <c r="K50" i="41"/>
  <c r="L50" i="41"/>
  <c r="N50" i="41"/>
  <c r="O50" i="41"/>
  <c r="P50" i="41"/>
  <c r="G51" i="41"/>
  <c r="H51" i="41"/>
  <c r="I51" i="41"/>
  <c r="J51" i="41"/>
  <c r="K51" i="41"/>
  <c r="L51" i="41"/>
  <c r="N51" i="41"/>
  <c r="O51" i="41"/>
  <c r="P51" i="41"/>
  <c r="F49" i="41"/>
  <c r="F50" i="41"/>
  <c r="F51" i="41"/>
  <c r="F48" i="41"/>
  <c r="D48" i="41" l="1"/>
  <c r="D51" i="41"/>
  <c r="D50" i="41"/>
  <c r="D49" i="41"/>
  <c r="B101" i="41"/>
  <c r="B104" i="41" s="1"/>
  <c r="D105" i="41"/>
  <c r="D102" i="41"/>
  <c r="M59" i="41"/>
  <c r="M61" i="41"/>
  <c r="M62" i="41"/>
  <c r="M60" i="41"/>
  <c r="L139" i="41"/>
  <c r="L129" i="41"/>
  <c r="L119" i="41"/>
  <c r="F59" i="41"/>
  <c r="B74" i="41"/>
  <c r="B71" i="41"/>
  <c r="B77" i="41"/>
  <c r="O61" i="41"/>
  <c r="O59" i="41"/>
  <c r="F61" i="41"/>
  <c r="H62" i="41"/>
  <c r="J62" i="41"/>
  <c r="L62" i="41"/>
  <c r="N62" i="41"/>
  <c r="P62" i="41"/>
  <c r="H60" i="41"/>
  <c r="J60" i="41"/>
  <c r="L60" i="41"/>
  <c r="N60" i="41"/>
  <c r="P60" i="41"/>
  <c r="F60" i="41"/>
  <c r="O62" i="41"/>
  <c r="K62" i="41"/>
  <c r="I62" i="41"/>
  <c r="G62" i="41"/>
  <c r="K61" i="41"/>
  <c r="I61" i="41"/>
  <c r="G61" i="41"/>
  <c r="H61" i="41"/>
  <c r="J61" i="41"/>
  <c r="L61" i="41"/>
  <c r="N61" i="41"/>
  <c r="P61" i="41"/>
  <c r="O60" i="41"/>
  <c r="K60" i="41"/>
  <c r="I60" i="41"/>
  <c r="G60" i="41"/>
  <c r="K59" i="41"/>
  <c r="I59" i="41"/>
  <c r="G59" i="41"/>
  <c r="H59" i="41"/>
  <c r="J59" i="41"/>
  <c r="L59" i="41"/>
  <c r="N59" i="41"/>
  <c r="P59" i="41"/>
  <c r="F62" i="41"/>
  <c r="D47" i="41"/>
  <c r="Q60" i="41" l="1"/>
  <c r="Q61" i="41"/>
  <c r="Q62" i="41"/>
  <c r="D103" i="41"/>
  <c r="D106" i="41"/>
  <c r="B72" i="41"/>
  <c r="B78" i="41"/>
  <c r="B75" i="41"/>
  <c r="Q59" i="41"/>
  <c r="H9" i="41"/>
  <c r="H5" i="41" l="1"/>
  <c r="H3" i="41"/>
  <c r="H4" i="41"/>
  <c r="E90" i="41" s="1"/>
  <c r="H35" i="71"/>
  <c r="H34" i="71"/>
  <c r="H33" i="71"/>
  <c r="H31" i="71"/>
  <c r="H30" i="71"/>
  <c r="H29" i="71"/>
  <c r="K34" i="71"/>
  <c r="K35" i="71"/>
  <c r="K33" i="71"/>
  <c r="F35" i="71"/>
  <c r="F34" i="71"/>
  <c r="F33" i="71"/>
  <c r="F30" i="71"/>
  <c r="F31" i="71"/>
  <c r="F29" i="71"/>
  <c r="BR35" i="71"/>
  <c r="DF35" i="71" s="1"/>
  <c r="BQ35" i="71"/>
  <c r="DE35" i="71" s="1"/>
  <c r="BP35" i="71"/>
  <c r="DD35" i="71" s="1"/>
  <c r="BM35" i="71"/>
  <c r="BW35" i="71" s="1"/>
  <c r="BL35" i="71"/>
  <c r="BV35" i="71" s="1"/>
  <c r="BK35" i="71"/>
  <c r="BU35" i="71" s="1"/>
  <c r="AZ35" i="71"/>
  <c r="CQ35" i="71" s="1"/>
  <c r="AY35" i="71"/>
  <c r="AI35" i="71" s="1"/>
  <c r="AX35" i="71"/>
  <c r="AW35" i="71"/>
  <c r="AG35" i="71" s="1"/>
  <c r="AU35" i="71"/>
  <c r="CO35" i="71" s="1"/>
  <c r="AJ35" i="71"/>
  <c r="AH35" i="71"/>
  <c r="AE35" i="71"/>
  <c r="BR34" i="71"/>
  <c r="DF34" i="71" s="1"/>
  <c r="BQ34" i="71"/>
  <c r="CA34" i="71" s="1"/>
  <c r="BP34" i="71"/>
  <c r="DD34" i="71" s="1"/>
  <c r="BM34" i="71"/>
  <c r="BW34" i="71" s="1"/>
  <c r="BL34" i="71"/>
  <c r="BV34" i="71" s="1"/>
  <c r="BK34" i="71"/>
  <c r="BU34" i="71" s="1"/>
  <c r="AZ34" i="71"/>
  <c r="CQ34" i="71" s="1"/>
  <c r="AY34" i="71"/>
  <c r="AI34" i="71" s="1"/>
  <c r="AX34" i="71"/>
  <c r="CP34" i="71" s="1"/>
  <c r="AW34" i="71"/>
  <c r="AG34" i="71" s="1"/>
  <c r="AU34" i="71"/>
  <c r="CO34" i="71" s="1"/>
  <c r="AJ34" i="71"/>
  <c r="AH34" i="71"/>
  <c r="AE34" i="71"/>
  <c r="BR33" i="71"/>
  <c r="DF33" i="71" s="1"/>
  <c r="BQ33" i="71"/>
  <c r="DE33" i="71" s="1"/>
  <c r="BP33" i="71"/>
  <c r="DD33" i="71" s="1"/>
  <c r="BM33" i="71"/>
  <c r="BW33" i="71" s="1"/>
  <c r="BL33" i="71"/>
  <c r="BV33" i="71" s="1"/>
  <c r="BK33" i="71"/>
  <c r="BU33" i="71" s="1"/>
  <c r="CQ33" i="71"/>
  <c r="CO33" i="71"/>
  <c r="H32" i="71"/>
  <c r="G32" i="71"/>
  <c r="F32" i="71"/>
  <c r="K30" i="71"/>
  <c r="K31" i="71"/>
  <c r="K29" i="71"/>
  <c r="AZ31" i="71"/>
  <c r="CQ31" i="71" s="1"/>
  <c r="AY31" i="71"/>
  <c r="AI31" i="71" s="1"/>
  <c r="AX31" i="71"/>
  <c r="CF31" i="71" s="1"/>
  <c r="CZ31" i="71" s="1"/>
  <c r="AW31" i="71"/>
  <c r="AG31" i="71" s="1"/>
  <c r="AU31" i="71"/>
  <c r="CO31" i="71" s="1"/>
  <c r="AJ31" i="71"/>
  <c r="AH31" i="71"/>
  <c r="AE31" i="71"/>
  <c r="AZ30" i="71"/>
  <c r="CG30" i="71" s="1"/>
  <c r="DA30" i="71" s="1"/>
  <c r="AY30" i="71"/>
  <c r="AI30" i="71" s="1"/>
  <c r="AX30" i="71"/>
  <c r="AW30" i="71"/>
  <c r="AG30" i="71" s="1"/>
  <c r="AU30" i="71"/>
  <c r="CO30" i="71" s="1"/>
  <c r="AJ30" i="71"/>
  <c r="AH30" i="71"/>
  <c r="AE30" i="71"/>
  <c r="H28" i="71"/>
  <c r="G28" i="71"/>
  <c r="F28" i="71"/>
  <c r="K17" i="71"/>
  <c r="J17" i="71"/>
  <c r="K26" i="71"/>
  <c r="K46" i="71" s="1"/>
  <c r="K50" i="71" s="1"/>
  <c r="K54" i="71" s="1"/>
  <c r="K27" i="71"/>
  <c r="K47" i="71" s="1"/>
  <c r="K51" i="71" s="1"/>
  <c r="K55" i="71" s="1"/>
  <c r="K25" i="71"/>
  <c r="K45" i="71" s="1"/>
  <c r="H26" i="71"/>
  <c r="H27" i="71"/>
  <c r="H25" i="71"/>
  <c r="F26" i="71"/>
  <c r="F27" i="71"/>
  <c r="F25" i="71"/>
  <c r="DG27" i="71"/>
  <c r="DA27" i="71"/>
  <c r="CZ27" i="71"/>
  <c r="CY27" i="71"/>
  <c r="U27" i="71"/>
  <c r="U31" i="71" s="1"/>
  <c r="U35" i="71" s="1"/>
  <c r="T27" i="71"/>
  <c r="T31" i="71" s="1"/>
  <c r="T35" i="71" s="1"/>
  <c r="DA26" i="71"/>
  <c r="CZ26" i="71"/>
  <c r="CY26" i="71"/>
  <c r="DA25" i="71"/>
  <c r="CZ25" i="71"/>
  <c r="CY25" i="71"/>
  <c r="CW25" i="71"/>
  <c r="CM25" i="71"/>
  <c r="CC25" i="71"/>
  <c r="BI25" i="71"/>
  <c r="AS25" i="71"/>
  <c r="AJ23" i="71"/>
  <c r="AI23" i="71"/>
  <c r="AH23" i="71"/>
  <c r="AG23" i="71"/>
  <c r="E23" i="71"/>
  <c r="F23" i="71" s="1"/>
  <c r="G23" i="71" s="1"/>
  <c r="H23" i="71" s="1"/>
  <c r="I23" i="71" s="1"/>
  <c r="DF22" i="71"/>
  <c r="DE22" i="71"/>
  <c r="DD22" i="71"/>
  <c r="DA22" i="71"/>
  <c r="CZ22" i="71"/>
  <c r="CY22" i="71"/>
  <c r="CV22" i="71"/>
  <c r="CU22" i="71"/>
  <c r="CT22" i="71"/>
  <c r="CQ22" i="71"/>
  <c r="CP22" i="71"/>
  <c r="CO22" i="71"/>
  <c r="CL22" i="71"/>
  <c r="CK22" i="71"/>
  <c r="CJ22" i="71"/>
  <c r="CG22" i="71"/>
  <c r="CF22" i="71"/>
  <c r="CE22" i="71"/>
  <c r="CB22" i="71"/>
  <c r="CA22" i="71"/>
  <c r="BZ22" i="71"/>
  <c r="BW22" i="71"/>
  <c r="BV22" i="71"/>
  <c r="BU22" i="71"/>
  <c r="BR22" i="71"/>
  <c r="BQ22" i="71"/>
  <c r="BP22" i="71"/>
  <c r="BM22" i="71"/>
  <c r="BL22" i="71"/>
  <c r="BK22" i="71"/>
  <c r="BH22" i="71"/>
  <c r="BF22" i="71"/>
  <c r="BC22" i="71"/>
  <c r="AZ22" i="71"/>
  <c r="AX22" i="71"/>
  <c r="AU22" i="71"/>
  <c r="AR22" i="71"/>
  <c r="AP22" i="71"/>
  <c r="AM22" i="71"/>
  <c r="AJ22" i="71"/>
  <c r="AH22" i="71"/>
  <c r="AQ6" i="71"/>
  <c r="W6" i="71"/>
  <c r="X6" i="71" s="1"/>
  <c r="AG6" i="71" s="1"/>
  <c r="K6" i="71"/>
  <c r="Z6" i="71" s="1"/>
  <c r="J6" i="71"/>
  <c r="D6" i="71"/>
  <c r="P184" i="60"/>
  <c r="P181" i="60"/>
  <c r="H155" i="33" l="1"/>
  <c r="H158" i="33" s="1"/>
  <c r="H128" i="33"/>
  <c r="H131" i="33" s="1"/>
  <c r="H139" i="33" s="1"/>
  <c r="K49" i="71"/>
  <c r="O45" i="71"/>
  <c r="E89" i="41"/>
  <c r="O25" i="71"/>
  <c r="G18" i="71" s="1"/>
  <c r="O17" i="71"/>
  <c r="N17" i="71"/>
  <c r="E103" i="41"/>
  <c r="M201" i="41" s="1"/>
  <c r="E91" i="41"/>
  <c r="E95" i="41"/>
  <c r="E104" i="41"/>
  <c r="E101" i="41"/>
  <c r="E98" i="41"/>
  <c r="E96" i="41"/>
  <c r="E99" i="41"/>
  <c r="E102" i="41"/>
  <c r="E105" i="41"/>
  <c r="E97" i="41"/>
  <c r="E100" i="41"/>
  <c r="E106" i="41"/>
  <c r="H7" i="41"/>
  <c r="H6" i="41"/>
  <c r="BM30" i="71"/>
  <c r="BW30" i="71" s="1"/>
  <c r="BZ35" i="71"/>
  <c r="BL31" i="71"/>
  <c r="BV31" i="71" s="1"/>
  <c r="CQ30" i="71"/>
  <c r="CP31" i="71"/>
  <c r="I32" i="71"/>
  <c r="CF34" i="71"/>
  <c r="CZ34" i="71" s="1"/>
  <c r="CG33" i="71"/>
  <c r="DA33" i="71" s="1"/>
  <c r="DE34" i="71"/>
  <c r="I28" i="71"/>
  <c r="I36" i="71"/>
  <c r="V29" i="71"/>
  <c r="E75" i="20" s="1"/>
  <c r="X29" i="71"/>
  <c r="BP75" i="20" s="1"/>
  <c r="X33" i="71"/>
  <c r="BP114" i="20" s="1"/>
  <c r="V33" i="71"/>
  <c r="E114" i="20" s="1"/>
  <c r="Y33" i="71"/>
  <c r="BQ114" i="20" s="1"/>
  <c r="CB33" i="71"/>
  <c r="CP35" i="71"/>
  <c r="CF35" i="71"/>
  <c r="CZ35" i="71" s="1"/>
  <c r="CE35" i="71"/>
  <c r="CY35" i="71" s="1"/>
  <c r="O33" i="71"/>
  <c r="W33" i="71"/>
  <c r="BO114" i="20" s="1"/>
  <c r="CP33" i="71"/>
  <c r="CF33" i="71"/>
  <c r="CZ33" i="71" s="1"/>
  <c r="BZ33" i="71"/>
  <c r="CE33" i="71"/>
  <c r="CY33" i="71" s="1"/>
  <c r="CB35" i="71"/>
  <c r="CG35" i="71"/>
  <c r="DA35" i="71" s="1"/>
  <c r="CA33" i="71"/>
  <c r="BZ34" i="71"/>
  <c r="CB34" i="71"/>
  <c r="CE34" i="71"/>
  <c r="CY34" i="71" s="1"/>
  <c r="CG34" i="71"/>
  <c r="DA34" i="71" s="1"/>
  <c r="CA35" i="71"/>
  <c r="Y29" i="71"/>
  <c r="O29" i="71"/>
  <c r="W29" i="71"/>
  <c r="BO75" i="20" s="1"/>
  <c r="CP30" i="71"/>
  <c r="CF30" i="71"/>
  <c r="CZ30" i="71" s="1"/>
  <c r="BL30" i="71"/>
  <c r="BV30" i="71" s="1"/>
  <c r="BK30" i="71"/>
  <c r="BU30" i="71" s="1"/>
  <c r="CE30" i="71"/>
  <c r="CY30" i="71" s="1"/>
  <c r="BK31" i="71"/>
  <c r="BU31" i="71" s="1"/>
  <c r="BM31" i="71"/>
  <c r="BW31" i="71" s="1"/>
  <c r="CE31" i="71"/>
  <c r="CY31" i="71" s="1"/>
  <c r="CG31" i="71"/>
  <c r="DA31" i="71" s="1"/>
  <c r="AD6" i="71"/>
  <c r="AF6" i="71" s="1"/>
  <c r="AB6" i="71" s="1"/>
  <c r="AH6" i="71"/>
  <c r="Y6" i="71"/>
  <c r="K7" i="41" l="1"/>
  <c r="T5" i="33"/>
  <c r="U5" i="33" s="1"/>
  <c r="T4" i="33"/>
  <c r="U4" i="33" s="1"/>
  <c r="T6" i="33"/>
  <c r="U6" i="33" s="1"/>
  <c r="H55" i="33"/>
  <c r="H59" i="33" s="1"/>
  <c r="H76" i="33" s="1"/>
  <c r="K6" i="41"/>
  <c r="K5" i="41"/>
  <c r="BM114" i="20"/>
  <c r="BN114" i="20"/>
  <c r="BM75" i="20"/>
  <c r="BN75" i="20"/>
  <c r="H11" i="41"/>
  <c r="BQ75" i="20"/>
  <c r="K53" i="71"/>
  <c r="O53" i="71" s="1"/>
  <c r="O49" i="71"/>
  <c r="H88" i="33"/>
  <c r="H84" i="33"/>
  <c r="H124" i="33"/>
  <c r="H92" i="33"/>
  <c r="H96" i="33" s="1"/>
  <c r="H104" i="33" s="1"/>
  <c r="H121" i="33"/>
  <c r="M18" i="71"/>
  <c r="M19" i="71" s="1"/>
  <c r="G19" i="71"/>
  <c r="M202" i="41"/>
  <c r="M199" i="41"/>
  <c r="M196" i="41"/>
  <c r="M198" i="41"/>
  <c r="M197" i="41"/>
  <c r="M195" i="41"/>
  <c r="M200" i="41"/>
  <c r="M163" i="41"/>
  <c r="M162" i="41"/>
  <c r="M165" i="41"/>
  <c r="M164" i="41"/>
  <c r="M167" i="41"/>
  <c r="M166" i="41"/>
  <c r="M169" i="41"/>
  <c r="M168" i="41"/>
  <c r="M137" i="41"/>
  <c r="M138" i="41"/>
  <c r="M132" i="41"/>
  <c r="M131" i="41"/>
  <c r="M135" i="41"/>
  <c r="M134" i="41"/>
  <c r="M136" i="41"/>
  <c r="M133" i="41"/>
  <c r="M186" i="41"/>
  <c r="M185" i="41"/>
  <c r="M188" i="41"/>
  <c r="M187" i="41"/>
  <c r="M190" i="41"/>
  <c r="M189" i="41"/>
  <c r="M192" i="41"/>
  <c r="M191" i="41"/>
  <c r="M124" i="41"/>
  <c r="M128" i="41"/>
  <c r="M121" i="41"/>
  <c r="M125" i="41"/>
  <c r="M122" i="41"/>
  <c r="M126" i="41"/>
  <c r="M123" i="41"/>
  <c r="M127" i="41"/>
  <c r="M178" i="41"/>
  <c r="M176" i="41"/>
  <c r="M177" i="41"/>
  <c r="M175" i="41"/>
  <c r="M181" i="41"/>
  <c r="M182" i="41"/>
  <c r="M179" i="41"/>
  <c r="M180" i="41"/>
  <c r="M116" i="41"/>
  <c r="M112" i="41"/>
  <c r="M111" i="41"/>
  <c r="M115" i="41"/>
  <c r="M118" i="41"/>
  <c r="M114" i="41"/>
  <c r="M117" i="41"/>
  <c r="M113" i="41"/>
  <c r="M155" i="41"/>
  <c r="M153" i="41"/>
  <c r="M156" i="41"/>
  <c r="M157" i="41"/>
  <c r="M158" i="41"/>
  <c r="M152" i="41"/>
  <c r="M159" i="41"/>
  <c r="M154" i="41"/>
  <c r="M143" i="41"/>
  <c r="M142" i="41"/>
  <c r="M149" i="41"/>
  <c r="M146" i="41"/>
  <c r="M145" i="41"/>
  <c r="M148" i="41"/>
  <c r="M144" i="41"/>
  <c r="M147" i="41"/>
  <c r="S31" i="33" l="1"/>
  <c r="S30" i="33"/>
  <c r="S29" i="33"/>
  <c r="S27" i="33"/>
  <c r="S32" i="33"/>
  <c r="S28" i="33"/>
  <c r="S18" i="33"/>
  <c r="T18" i="33" s="1"/>
  <c r="S19" i="33"/>
  <c r="T19" i="33" s="1"/>
  <c r="S17" i="33"/>
  <c r="T17" i="33" s="1"/>
  <c r="S16" i="33"/>
  <c r="S20" i="33"/>
  <c r="T20" i="33" s="1"/>
  <c r="S15" i="33"/>
  <c r="S22" i="33"/>
  <c r="S23" i="33"/>
  <c r="S26" i="33"/>
  <c r="S21" i="33"/>
  <c r="S25" i="33"/>
  <c r="S24" i="33"/>
  <c r="H12" i="41"/>
  <c r="F85" i="41" s="1"/>
  <c r="N44" i="68"/>
  <c r="M44" i="68"/>
  <c r="S33" i="33" l="1"/>
  <c r="T15" i="33"/>
  <c r="Q16" i="33" s="1"/>
  <c r="U30" i="33"/>
  <c r="F87" i="41"/>
  <c r="F86" i="41"/>
  <c r="F84" i="41"/>
  <c r="I84" i="41" s="1"/>
  <c r="G84" i="41" l="1"/>
  <c r="O87" i="41"/>
  <c r="L85" i="41"/>
  <c r="L86" i="41"/>
  <c r="T16" i="33"/>
  <c r="Q33" i="33"/>
  <c r="M86" i="41"/>
  <c r="O86" i="41"/>
  <c r="G87" i="41"/>
  <c r="J85" i="41"/>
  <c r="N84" i="41"/>
  <c r="G85" i="41"/>
  <c r="K87" i="41"/>
  <c r="I86" i="41"/>
  <c r="M87" i="41"/>
  <c r="N85" i="41"/>
  <c r="G86" i="41"/>
  <c r="N86" i="41"/>
  <c r="M84" i="41"/>
  <c r="H85" i="41"/>
  <c r="L84" i="41"/>
  <c r="J84" i="41"/>
  <c r="J87" i="41"/>
  <c r="O84" i="41"/>
  <c r="N87" i="41"/>
  <c r="O85" i="41"/>
  <c r="I85" i="41"/>
  <c r="K84" i="41"/>
  <c r="H84" i="41"/>
  <c r="J86" i="41"/>
  <c r="M85" i="41"/>
  <c r="I87" i="41"/>
  <c r="H87" i="41"/>
  <c r="L87" i="41"/>
  <c r="K85" i="41"/>
  <c r="H86" i="41"/>
  <c r="K86" i="41"/>
  <c r="P85" i="41" l="1"/>
  <c r="P84" i="41"/>
  <c r="P87" i="41"/>
  <c r="P86" i="41"/>
  <c r="P96" i="20"/>
  <c r="Q96" i="20"/>
  <c r="R96" i="20"/>
  <c r="S96" i="20"/>
  <c r="D87" i="68"/>
  <c r="I85" i="68"/>
  <c r="I84" i="68"/>
  <c r="I83" i="68"/>
  <c r="I82" i="68"/>
  <c r="I81" i="68"/>
  <c r="O40" i="68"/>
  <c r="N40" i="68"/>
  <c r="M40" i="68"/>
  <c r="B241" i="60" l="1"/>
  <c r="B242" i="60"/>
  <c r="B246" i="60" s="1"/>
  <c r="B243" i="60"/>
  <c r="B247" i="60" s="1"/>
  <c r="B244" i="60"/>
  <c r="B248" i="60" s="1"/>
  <c r="AK30" i="20"/>
  <c r="AK36" i="20" s="1"/>
  <c r="AI30" i="20"/>
  <c r="AI36" i="20" s="1"/>
  <c r="AG30" i="20"/>
  <c r="AG36" i="20" s="1"/>
  <c r="AF36" i="20"/>
  <c r="AH36" i="20"/>
  <c r="AJ36" i="20"/>
  <c r="AL36" i="20"/>
  <c r="AE32" i="20"/>
  <c r="AB36" i="20"/>
  <c r="AB37" i="20"/>
  <c r="AC36" i="20"/>
  <c r="AA36" i="20"/>
  <c r="Z36" i="20"/>
  <c r="Y36" i="20"/>
  <c r="X36" i="20"/>
  <c r="W36" i="20"/>
  <c r="Z37" i="20"/>
  <c r="X37" i="20"/>
  <c r="V32" i="20"/>
  <c r="E59" i="33"/>
  <c r="F59" i="33"/>
  <c r="P16" i="33" s="1"/>
  <c r="P22" i="33" s="1"/>
  <c r="P28" i="33" s="1"/>
  <c r="E61" i="33"/>
  <c r="F61" i="33"/>
  <c r="E62" i="33"/>
  <c r="F62" i="33"/>
  <c r="E63" i="33"/>
  <c r="F63" i="33"/>
  <c r="E60" i="33"/>
  <c r="F60" i="33"/>
  <c r="E67" i="33"/>
  <c r="F67" i="33"/>
  <c r="E68" i="33"/>
  <c r="F68" i="33"/>
  <c r="E70" i="33"/>
  <c r="F70" i="33"/>
  <c r="E71" i="33"/>
  <c r="F71" i="33"/>
  <c r="E69" i="33"/>
  <c r="F69" i="33"/>
  <c r="E96" i="33"/>
  <c r="F96" i="33"/>
  <c r="E98" i="33"/>
  <c r="F98" i="33"/>
  <c r="E99" i="33"/>
  <c r="F99" i="33"/>
  <c r="E100" i="33"/>
  <c r="F100" i="33"/>
  <c r="E97" i="33"/>
  <c r="F97" i="33"/>
  <c r="E101" i="33"/>
  <c r="F101" i="33"/>
  <c r="F104" i="33"/>
  <c r="K106" i="33"/>
  <c r="F105" i="33"/>
  <c r="F107" i="33"/>
  <c r="F108" i="33"/>
  <c r="F106" i="33"/>
  <c r="F109" i="33"/>
  <c r="F213" i="41"/>
  <c r="F214" i="41"/>
  <c r="F215" i="41"/>
  <c r="F216" i="41"/>
  <c r="F217" i="41"/>
  <c r="F218" i="41"/>
  <c r="F219" i="41"/>
  <c r="F222" i="41"/>
  <c r="F223" i="41"/>
  <c r="F224" i="41"/>
  <c r="F225" i="41"/>
  <c r="F226" i="41"/>
  <c r="F227" i="41"/>
  <c r="F228" i="41"/>
  <c r="F231" i="41"/>
  <c r="F232" i="41"/>
  <c r="F233" i="41"/>
  <c r="F234" i="41"/>
  <c r="F235" i="41"/>
  <c r="F236" i="41"/>
  <c r="F237" i="41"/>
  <c r="D238" i="41"/>
  <c r="E131" i="33"/>
  <c r="F131" i="33"/>
  <c r="E133" i="33"/>
  <c r="F133" i="33"/>
  <c r="E134" i="33"/>
  <c r="F134" i="33"/>
  <c r="E132" i="33"/>
  <c r="F132" i="33"/>
  <c r="K133" i="33"/>
  <c r="E136" i="33"/>
  <c r="F136" i="33"/>
  <c r="E139" i="33"/>
  <c r="F139" i="33"/>
  <c r="P17" i="33" s="1"/>
  <c r="P23" i="33" s="1"/>
  <c r="P29" i="33" s="1"/>
  <c r="K141" i="33"/>
  <c r="E140" i="33"/>
  <c r="F140" i="33"/>
  <c r="E142" i="33"/>
  <c r="F142" i="33"/>
  <c r="E143" i="33"/>
  <c r="F143" i="33"/>
  <c r="E141" i="33"/>
  <c r="F141" i="33"/>
  <c r="E144" i="33"/>
  <c r="F144" i="33"/>
  <c r="J179" i="60"/>
  <c r="J171" i="60"/>
  <c r="B161" i="60"/>
  <c r="D161" i="60"/>
  <c r="F161" i="60"/>
  <c r="H161" i="60"/>
  <c r="J161" i="60"/>
  <c r="R181" i="60" s="1"/>
  <c r="P185" i="60"/>
  <c r="P186" i="60" s="1"/>
  <c r="E242" i="60"/>
  <c r="E246" i="60" s="1"/>
  <c r="Q185" i="60"/>
  <c r="Q186" i="60" s="1"/>
  <c r="F243" i="60"/>
  <c r="E244" i="60"/>
  <c r="G244" i="60" s="1"/>
  <c r="F179" i="60"/>
  <c r="D171" i="60"/>
  <c r="G243" i="60"/>
  <c r="I130" i="60"/>
  <c r="I133" i="60" s="1" a="1"/>
  <c r="I133" i="60" s="1"/>
  <c r="J130" i="60"/>
  <c r="K130" i="60"/>
  <c r="K132" i="60" s="1" a="1"/>
  <c r="K132" i="60" s="1"/>
  <c r="L130" i="60"/>
  <c r="L133" i="60" s="1" a="1"/>
  <c r="L133" i="60" s="1"/>
  <c r="M130" i="60"/>
  <c r="M131" i="60" s="1" a="1"/>
  <c r="M131" i="60" s="1"/>
  <c r="N130" i="60"/>
  <c r="N132" i="60" s="1" a="1"/>
  <c r="N132" i="60" s="1"/>
  <c r="L179" i="60"/>
  <c r="J243" i="60"/>
  <c r="H179" i="60"/>
  <c r="H171" i="60"/>
  <c r="I243" i="60"/>
  <c r="F171" i="60"/>
  <c r="H243" i="60"/>
  <c r="D37" i="20"/>
  <c r="BQ97" i="20"/>
  <c r="E97" i="20"/>
  <c r="E130" i="20"/>
  <c r="BQ130" i="20"/>
  <c r="E131" i="20"/>
  <c r="BQ131" i="20"/>
  <c r="E138" i="20"/>
  <c r="BQ138" i="20"/>
  <c r="E139" i="20"/>
  <c r="BQ139" i="20"/>
  <c r="E141" i="20"/>
  <c r="BQ141" i="20"/>
  <c r="E142" i="20"/>
  <c r="BQ142" i="20"/>
  <c r="E144" i="20"/>
  <c r="BP144" i="20"/>
  <c r="BQ144" i="20"/>
  <c r="BN41" i="20"/>
  <c r="E41" i="20"/>
  <c r="BO41" i="20" s="1"/>
  <c r="F41" i="20"/>
  <c r="BP41" i="20" s="1"/>
  <c r="G41" i="20"/>
  <c r="BQ41" i="20" s="1"/>
  <c r="BN42" i="20"/>
  <c r="E42" i="20"/>
  <c r="BO42" i="20" s="1"/>
  <c r="F42" i="20"/>
  <c r="H42" i="20" s="1"/>
  <c r="G42" i="20"/>
  <c r="BQ42" i="20" s="1"/>
  <c r="E48" i="20"/>
  <c r="BQ48" i="20"/>
  <c r="E49" i="20"/>
  <c r="BQ49" i="20"/>
  <c r="E55" i="20"/>
  <c r="BQ55" i="20"/>
  <c r="BQ56" i="20"/>
  <c r="E59" i="20"/>
  <c r="BQ60" i="20"/>
  <c r="E66" i="20"/>
  <c r="BQ66" i="20"/>
  <c r="E67" i="20"/>
  <c r="E69" i="20"/>
  <c r="BQ69" i="20"/>
  <c r="E70" i="20"/>
  <c r="BQ70" i="20"/>
  <c r="E73" i="20"/>
  <c r="BQ73" i="20"/>
  <c r="E74" i="20"/>
  <c r="BQ74" i="20"/>
  <c r="E77" i="20"/>
  <c r="E78" i="20"/>
  <c r="BQ78" i="20"/>
  <c r="E85" i="20"/>
  <c r="BQ85" i="20"/>
  <c r="E86" i="20"/>
  <c r="BQ86" i="20"/>
  <c r="BQ93" i="20"/>
  <c r="E94" i="20"/>
  <c r="BQ94" i="20"/>
  <c r="BQ98" i="20"/>
  <c r="E105" i="20"/>
  <c r="BQ105" i="20"/>
  <c r="E106" i="20"/>
  <c r="BQ106" i="20"/>
  <c r="E108" i="20"/>
  <c r="E109" i="20"/>
  <c r="BQ109" i="20"/>
  <c r="E112" i="20"/>
  <c r="E113" i="20"/>
  <c r="BQ113" i="20"/>
  <c r="E115" i="20"/>
  <c r="BQ115" i="20"/>
  <c r="E116" i="20"/>
  <c r="BQ116" i="20"/>
  <c r="E122" i="20"/>
  <c r="BQ122" i="20"/>
  <c r="E123" i="20"/>
  <c r="BQ123" i="20"/>
  <c r="C130" i="62"/>
  <c r="D130" i="62" s="1"/>
  <c r="E130" i="62" s="1"/>
  <c r="F130" i="62" s="1"/>
  <c r="G130" i="62" s="1"/>
  <c r="H130" i="62" s="1"/>
  <c r="I130" i="62" s="1"/>
  <c r="J130" i="62" s="1"/>
  <c r="K130" i="62" s="1"/>
  <c r="L130" i="62" s="1"/>
  <c r="C129" i="62"/>
  <c r="D129" i="62" s="1"/>
  <c r="E129" i="62" s="1"/>
  <c r="F129" i="62" s="1"/>
  <c r="G129" i="62" s="1"/>
  <c r="H129" i="62" s="1"/>
  <c r="I129" i="62" s="1"/>
  <c r="J129" i="62" s="1"/>
  <c r="K129" i="62" s="1"/>
  <c r="L129" i="62" s="1"/>
  <c r="C131" i="62"/>
  <c r="D131" i="62" s="1"/>
  <c r="E131" i="62" s="1"/>
  <c r="F131" i="62" s="1"/>
  <c r="G131" i="62" s="1"/>
  <c r="H131" i="62" s="1"/>
  <c r="I131" i="62" s="1"/>
  <c r="J131" i="62" s="1"/>
  <c r="K131" i="62" s="1"/>
  <c r="L131" i="62" s="1"/>
  <c r="C132" i="62"/>
  <c r="D132" i="62" s="1"/>
  <c r="E132" i="62" s="1"/>
  <c r="F132" i="62" s="1"/>
  <c r="G132" i="62" s="1"/>
  <c r="H132" i="62" s="1"/>
  <c r="I132" i="62" s="1"/>
  <c r="J132" i="62" s="1"/>
  <c r="K132" i="62" s="1"/>
  <c r="L132" i="62" s="1"/>
  <c r="F215" i="60"/>
  <c r="E215" i="60"/>
  <c r="L215" i="60"/>
  <c r="J215" i="60"/>
  <c r="H215" i="60"/>
  <c r="E179" i="60"/>
  <c r="G215" i="60"/>
  <c r="I215" i="60"/>
  <c r="G179" i="60"/>
  <c r="K215" i="60"/>
  <c r="I179" i="60"/>
  <c r="K179" i="60"/>
  <c r="C245" i="60"/>
  <c r="C246" i="60"/>
  <c r="C247" i="60"/>
  <c r="C248" i="60"/>
  <c r="G130" i="60"/>
  <c r="G131" i="60" s="1" a="1"/>
  <c r="G131" i="60" s="1"/>
  <c r="H130" i="60"/>
  <c r="H131" i="60" s="1" a="1"/>
  <c r="H131" i="60" s="1"/>
  <c r="BJ68" i="20"/>
  <c r="AL68" i="20" s="1"/>
  <c r="BI68" i="20"/>
  <c r="AJ68" i="20" s="1"/>
  <c r="BH68" i="20"/>
  <c r="AH68" i="20" s="1"/>
  <c r="AF68" i="20"/>
  <c r="BE68" i="20"/>
  <c r="AC68" i="20" s="1"/>
  <c r="BD68" i="20"/>
  <c r="AA68" i="20" s="1"/>
  <c r="BC68" i="20"/>
  <c r="Y68" i="20" s="1"/>
  <c r="BB68" i="20"/>
  <c r="W68" i="20" s="1"/>
  <c r="E220" i="60"/>
  <c r="D220" i="60"/>
  <c r="E245" i="60"/>
  <c r="E247" i="60"/>
  <c r="E230" i="60"/>
  <c r="E237" i="60" s="1"/>
  <c r="F230" i="60"/>
  <c r="G230" i="60"/>
  <c r="H230" i="60"/>
  <c r="I230" i="60"/>
  <c r="J230" i="60"/>
  <c r="K230" i="60"/>
  <c r="L230" i="60"/>
  <c r="D230" i="60"/>
  <c r="D237" i="60" s="1"/>
  <c r="BK144" i="20"/>
  <c r="BJ144" i="20"/>
  <c r="BI144" i="20"/>
  <c r="BH144" i="20"/>
  <c r="BF144" i="20"/>
  <c r="BK143" i="20"/>
  <c r="BF143" i="20"/>
  <c r="BK142" i="20"/>
  <c r="BJ142" i="20"/>
  <c r="BI142" i="20"/>
  <c r="BH142" i="20"/>
  <c r="BF142" i="20"/>
  <c r="BE142" i="20"/>
  <c r="BD142" i="20"/>
  <c r="BC142" i="20"/>
  <c r="BB142" i="20"/>
  <c r="BK141" i="20"/>
  <c r="BJ141" i="20"/>
  <c r="BI141" i="20"/>
  <c r="BH141" i="20"/>
  <c r="BF141" i="20"/>
  <c r="BK140" i="20"/>
  <c r="BF140" i="20"/>
  <c r="BK139" i="20"/>
  <c r="BJ139" i="20"/>
  <c r="BI139" i="20"/>
  <c r="BH139" i="20"/>
  <c r="BF139" i="20"/>
  <c r="BE139" i="20"/>
  <c r="BD139" i="20"/>
  <c r="BC139" i="20"/>
  <c r="BB139" i="20"/>
  <c r="BK138" i="20"/>
  <c r="BJ138" i="20"/>
  <c r="BI138" i="20"/>
  <c r="BH138" i="20"/>
  <c r="BF138" i="20"/>
  <c r="BK137" i="20"/>
  <c r="BF137" i="20"/>
  <c r="BK136" i="20"/>
  <c r="BF136" i="20"/>
  <c r="BK135" i="20"/>
  <c r="BF135" i="20"/>
  <c r="BK134" i="20"/>
  <c r="BF134" i="20"/>
  <c r="BK133" i="20"/>
  <c r="BF133" i="20"/>
  <c r="BK132" i="20"/>
  <c r="BF132" i="20"/>
  <c r="BK131" i="20"/>
  <c r="BJ131" i="20"/>
  <c r="BI131" i="20"/>
  <c r="BH131" i="20"/>
  <c r="BF131" i="20"/>
  <c r="BE131" i="20"/>
  <c r="BD131" i="20"/>
  <c r="BC131" i="20"/>
  <c r="BB131" i="20"/>
  <c r="BK130" i="20"/>
  <c r="BJ130" i="20"/>
  <c r="BI130" i="20"/>
  <c r="BH130" i="20"/>
  <c r="BF130" i="20"/>
  <c r="BK128" i="20"/>
  <c r="BF128" i="20"/>
  <c r="BK127" i="20"/>
  <c r="BF127" i="20"/>
  <c r="BK126" i="20"/>
  <c r="BF126" i="20"/>
  <c r="BK125" i="20"/>
  <c r="BF125" i="20"/>
  <c r="BK124" i="20"/>
  <c r="BF124" i="20"/>
  <c r="BK123" i="20"/>
  <c r="BJ123" i="20"/>
  <c r="BI123" i="20"/>
  <c r="BH123" i="20"/>
  <c r="BF123" i="20"/>
  <c r="BE123" i="20"/>
  <c r="BD123" i="20"/>
  <c r="BC123" i="20"/>
  <c r="BB123" i="20"/>
  <c r="BK122" i="20"/>
  <c r="BJ122" i="20"/>
  <c r="BI122" i="20"/>
  <c r="BH122" i="20"/>
  <c r="BF122" i="20"/>
  <c r="BK120" i="20"/>
  <c r="BF120" i="20"/>
  <c r="BK119" i="20"/>
  <c r="BF119" i="20"/>
  <c r="BK118" i="20"/>
  <c r="BF118" i="20"/>
  <c r="BK117" i="20"/>
  <c r="BF117" i="20"/>
  <c r="BK116" i="20"/>
  <c r="BJ116" i="20"/>
  <c r="BI116" i="20"/>
  <c r="BH116" i="20"/>
  <c r="BF116" i="20"/>
  <c r="BE116" i="20"/>
  <c r="BD116" i="20"/>
  <c r="BC116" i="20"/>
  <c r="BB116" i="20"/>
  <c r="BK115" i="20"/>
  <c r="BJ115" i="20"/>
  <c r="BI115" i="20"/>
  <c r="BH115" i="20"/>
  <c r="BF115" i="20"/>
  <c r="BK114" i="20"/>
  <c r="BF114" i="20"/>
  <c r="BK113" i="20"/>
  <c r="BJ113" i="20"/>
  <c r="BI113" i="20"/>
  <c r="BH113" i="20"/>
  <c r="BF113" i="20"/>
  <c r="BE113" i="20"/>
  <c r="BD113" i="20"/>
  <c r="BC113" i="20"/>
  <c r="BB113" i="20"/>
  <c r="BK112" i="20"/>
  <c r="BJ112" i="20"/>
  <c r="BI112" i="20"/>
  <c r="BH112" i="20"/>
  <c r="BF112" i="20"/>
  <c r="BK111" i="20"/>
  <c r="BF111" i="20"/>
  <c r="BK110" i="20"/>
  <c r="BF110" i="20"/>
  <c r="BK109" i="20"/>
  <c r="BJ109" i="20"/>
  <c r="BI109" i="20"/>
  <c r="BH109" i="20"/>
  <c r="BF109" i="20"/>
  <c r="BE109" i="20"/>
  <c r="BD109" i="20"/>
  <c r="BC109" i="20"/>
  <c r="BB109" i="20"/>
  <c r="BK108" i="20"/>
  <c r="BJ108" i="20"/>
  <c r="BI108" i="20"/>
  <c r="BH108" i="20"/>
  <c r="BF108" i="20"/>
  <c r="BK107" i="20"/>
  <c r="BF107" i="20"/>
  <c r="BK106" i="20"/>
  <c r="BJ106" i="20"/>
  <c r="BI106" i="20"/>
  <c r="BH106" i="20"/>
  <c r="BF106" i="20"/>
  <c r="BE106" i="20"/>
  <c r="BD106" i="20"/>
  <c r="BC106" i="20"/>
  <c r="BB106" i="20"/>
  <c r="BK105" i="20"/>
  <c r="BJ105" i="20"/>
  <c r="BI105" i="20"/>
  <c r="BH105" i="20"/>
  <c r="BF105" i="20"/>
  <c r="BK103" i="20"/>
  <c r="BF103" i="20"/>
  <c r="BK102" i="20"/>
  <c r="BF102" i="20"/>
  <c r="BK101" i="20"/>
  <c r="BF101" i="20"/>
  <c r="BK100" i="20"/>
  <c r="BF100" i="20"/>
  <c r="BK99" i="20"/>
  <c r="BF99" i="20"/>
  <c r="BK98" i="20"/>
  <c r="BJ98" i="20"/>
  <c r="BI98" i="20"/>
  <c r="BH98" i="20"/>
  <c r="BF98" i="20"/>
  <c r="BE98" i="20"/>
  <c r="BD98" i="20"/>
  <c r="BC98" i="20"/>
  <c r="BB98" i="20"/>
  <c r="BK97" i="20"/>
  <c r="BF97" i="20"/>
  <c r="BK96" i="20"/>
  <c r="BF96" i="20"/>
  <c r="BK95" i="20"/>
  <c r="BF95" i="20"/>
  <c r="BK94" i="20"/>
  <c r="BJ94" i="20"/>
  <c r="BI94" i="20"/>
  <c r="BH94" i="20"/>
  <c r="BF94" i="20"/>
  <c r="BE94" i="20"/>
  <c r="BD94" i="20"/>
  <c r="BC94" i="20"/>
  <c r="BB94" i="20"/>
  <c r="BK93" i="20"/>
  <c r="BF93" i="20"/>
  <c r="BK91" i="20"/>
  <c r="BF91" i="20"/>
  <c r="BK90" i="20"/>
  <c r="BF90" i="20"/>
  <c r="BK89" i="20"/>
  <c r="BF89" i="20"/>
  <c r="BK88" i="20"/>
  <c r="BF88" i="20"/>
  <c r="BK87" i="20"/>
  <c r="BF87" i="20"/>
  <c r="BK86" i="20"/>
  <c r="BJ86" i="20"/>
  <c r="BI86" i="20"/>
  <c r="BH86" i="20"/>
  <c r="BF86" i="20"/>
  <c r="BE86" i="20"/>
  <c r="BD86" i="20"/>
  <c r="BC86" i="20"/>
  <c r="BB86" i="20"/>
  <c r="BK85" i="20"/>
  <c r="BF85" i="20"/>
  <c r="BK83" i="20"/>
  <c r="BF83" i="20"/>
  <c r="BK82" i="20"/>
  <c r="BF82" i="20"/>
  <c r="BK81" i="20"/>
  <c r="BF81" i="20"/>
  <c r="BK80" i="20"/>
  <c r="BF80" i="20"/>
  <c r="BK79" i="20"/>
  <c r="BF79" i="20"/>
  <c r="BK78" i="20"/>
  <c r="BJ78" i="20"/>
  <c r="BI78" i="20"/>
  <c r="BH78" i="20"/>
  <c r="BF78" i="20"/>
  <c r="BE78" i="20"/>
  <c r="BD78" i="20"/>
  <c r="BC78" i="20"/>
  <c r="BB78" i="20"/>
  <c r="BK77" i="20"/>
  <c r="BF77" i="20"/>
  <c r="BK76" i="20"/>
  <c r="BF76" i="20"/>
  <c r="BK75" i="20"/>
  <c r="BF75" i="20"/>
  <c r="BK74" i="20"/>
  <c r="BJ74" i="20"/>
  <c r="BI74" i="20"/>
  <c r="BH74" i="20"/>
  <c r="BF74" i="20"/>
  <c r="BE74" i="20"/>
  <c r="BD74" i="20"/>
  <c r="BC74" i="20"/>
  <c r="BB74" i="20"/>
  <c r="BK73" i="20"/>
  <c r="BF73" i="20"/>
  <c r="BK72" i="20"/>
  <c r="BF72" i="20"/>
  <c r="BK71" i="20"/>
  <c r="BF71" i="20"/>
  <c r="BK70" i="20"/>
  <c r="BJ70" i="20"/>
  <c r="BI70" i="20"/>
  <c r="BH70" i="20"/>
  <c r="BF70" i="20"/>
  <c r="BE70" i="20"/>
  <c r="BD70" i="20"/>
  <c r="BC70" i="20"/>
  <c r="BB70" i="20"/>
  <c r="BK69" i="20"/>
  <c r="BJ69" i="20"/>
  <c r="BI69" i="20"/>
  <c r="BH69" i="20"/>
  <c r="BF69" i="20"/>
  <c r="AS69" i="20"/>
  <c r="BE69" i="20" s="1"/>
  <c r="AR69" i="20"/>
  <c r="BD69" i="20" s="1"/>
  <c r="AQ69" i="20"/>
  <c r="BC69" i="20" s="1"/>
  <c r="AP69" i="20"/>
  <c r="BK68" i="20"/>
  <c r="BF68" i="20"/>
  <c r="BK67" i="20"/>
  <c r="BJ67" i="20"/>
  <c r="BI67" i="20"/>
  <c r="BH67" i="20"/>
  <c r="BF67" i="20"/>
  <c r="BE67" i="20"/>
  <c r="BD67" i="20"/>
  <c r="BC67" i="20"/>
  <c r="BB67" i="20"/>
  <c r="BK66" i="20"/>
  <c r="BF66" i="20"/>
  <c r="BK65" i="20"/>
  <c r="BF65" i="20"/>
  <c r="BK64" i="20"/>
  <c r="BF64" i="20"/>
  <c r="BK63" i="20"/>
  <c r="BF63" i="20"/>
  <c r="BK62" i="20"/>
  <c r="BF62" i="20"/>
  <c r="BK61" i="20"/>
  <c r="BF61" i="20"/>
  <c r="BK60" i="20"/>
  <c r="BJ60" i="20"/>
  <c r="BI60" i="20"/>
  <c r="BH60" i="20"/>
  <c r="BF60" i="20"/>
  <c r="BE60" i="20"/>
  <c r="BD60" i="20"/>
  <c r="BC60" i="20"/>
  <c r="BB60" i="20"/>
  <c r="BK59" i="20"/>
  <c r="BF59" i="20"/>
  <c r="BK58" i="20"/>
  <c r="BF58" i="20"/>
  <c r="BK57" i="20"/>
  <c r="BF57" i="20"/>
  <c r="BK56" i="20"/>
  <c r="BJ56" i="20"/>
  <c r="BI56" i="20"/>
  <c r="BH56" i="20"/>
  <c r="BF56" i="20"/>
  <c r="BE56" i="20"/>
  <c r="BD56" i="20"/>
  <c r="BC56" i="20"/>
  <c r="BB56" i="20"/>
  <c r="BK55" i="20"/>
  <c r="BF55" i="20"/>
  <c r="BK54" i="20"/>
  <c r="BF54" i="20"/>
  <c r="BK53" i="20"/>
  <c r="BF53" i="20"/>
  <c r="BK52" i="20"/>
  <c r="BF52" i="20"/>
  <c r="BK51" i="20"/>
  <c r="BF51" i="20"/>
  <c r="BK50" i="20"/>
  <c r="BF50" i="20"/>
  <c r="BK49" i="20"/>
  <c r="BJ49" i="20"/>
  <c r="BI49" i="20"/>
  <c r="BH49" i="20"/>
  <c r="BF49" i="20"/>
  <c r="BE49" i="20"/>
  <c r="BD49" i="20"/>
  <c r="BC49" i="20"/>
  <c r="BB49" i="20"/>
  <c r="BK48" i="20"/>
  <c r="BF48" i="20"/>
  <c r="BK47" i="20"/>
  <c r="BF47" i="20"/>
  <c r="BK46" i="20"/>
  <c r="BF46" i="20"/>
  <c r="BK45" i="20"/>
  <c r="BF45" i="20"/>
  <c r="BK44" i="20"/>
  <c r="BF44" i="20"/>
  <c r="BK43" i="20"/>
  <c r="BF43" i="20"/>
  <c r="BK42" i="20"/>
  <c r="BJ42" i="20"/>
  <c r="BI42" i="20"/>
  <c r="BH42" i="20"/>
  <c r="BF42" i="20"/>
  <c r="BE42" i="20"/>
  <c r="BD42" i="20"/>
  <c r="BC42" i="20"/>
  <c r="BB42" i="20"/>
  <c r="BK41" i="20"/>
  <c r="BJ41" i="20"/>
  <c r="BI41" i="20"/>
  <c r="BH41" i="20"/>
  <c r="BF41" i="20"/>
  <c r="AZ39" i="20"/>
  <c r="BF39" i="20"/>
  <c r="BE37" i="20"/>
  <c r="BD37" i="20"/>
  <c r="BC37" i="20"/>
  <c r="BB37" i="20"/>
  <c r="BJ36" i="20"/>
  <c r="BH36" i="20"/>
  <c r="BE36" i="20"/>
  <c r="BC36" i="20"/>
  <c r="D170" i="60"/>
  <c r="F170" i="60"/>
  <c r="H170" i="60"/>
  <c r="J170" i="60"/>
  <c r="P182" i="60"/>
  <c r="P183" i="60" s="1"/>
  <c r="C239" i="60"/>
  <c r="C238" i="60"/>
  <c r="B239" i="60"/>
  <c r="B238" i="60"/>
  <c r="A174" i="60"/>
  <c r="A173" i="60"/>
  <c r="Q194" i="60"/>
  <c r="Q195" i="60" s="1"/>
  <c r="Q196" i="60" s="1"/>
  <c r="Q182" i="60"/>
  <c r="Q183" i="60" s="1"/>
  <c r="AQ36" i="20"/>
  <c r="AS36" i="20"/>
  <c r="AW36" i="20"/>
  <c r="AY36" i="20"/>
  <c r="AC37" i="20"/>
  <c r="AA37" i="20"/>
  <c r="Y37" i="20"/>
  <c r="W37" i="20"/>
  <c r="AM39" i="20"/>
  <c r="E115" i="62"/>
  <c r="F115" i="62"/>
  <c r="G115" i="62"/>
  <c r="H115" i="62"/>
  <c r="I115" i="62"/>
  <c r="D115" i="62"/>
  <c r="D215" i="60"/>
  <c r="M4" i="60"/>
  <c r="H8" i="60" s="1"/>
  <c r="K4" i="60"/>
  <c r="C130" i="60"/>
  <c r="D130" i="60"/>
  <c r="D132" i="60" s="1" a="1"/>
  <c r="D132" i="60" s="1"/>
  <c r="E130" i="60"/>
  <c r="F130" i="60"/>
  <c r="A147" i="60"/>
  <c r="A146" i="60"/>
  <c r="A145" i="60"/>
  <c r="O130" i="60"/>
  <c r="O133" i="60" s="1" a="1"/>
  <c r="O133" i="60" s="1"/>
  <c r="W130" i="60"/>
  <c r="W131" i="60" s="1" a="1"/>
  <c r="W131" i="60" s="1"/>
  <c r="X130" i="60"/>
  <c r="X133" i="60" s="1" a="1"/>
  <c r="X133" i="60" s="1"/>
  <c r="Y130" i="60"/>
  <c r="Y133" i="60" s="1" a="1"/>
  <c r="Y133" i="60" s="1"/>
  <c r="Z130" i="60"/>
  <c r="AA130" i="60"/>
  <c r="AA131" i="60" s="1" a="1"/>
  <c r="AA131" i="60" s="1"/>
  <c r="AB130" i="60"/>
  <c r="AB131" i="60" s="1" a="1"/>
  <c r="AB131" i="60" s="1"/>
  <c r="AC130" i="60"/>
  <c r="AC133" i="60" s="1" a="1"/>
  <c r="AC133" i="60" s="1"/>
  <c r="AK130" i="60"/>
  <c r="AL130" i="60"/>
  <c r="AL131" i="60" s="1" a="1"/>
  <c r="AL131" i="60" s="1"/>
  <c r="AM130" i="60"/>
  <c r="AM133" i="60" s="1" a="1"/>
  <c r="AM133" i="60" s="1"/>
  <c r="AN130" i="60"/>
  <c r="AN131" i="60" s="1" a="1"/>
  <c r="AN131" i="60" s="1"/>
  <c r="AO130" i="60"/>
  <c r="AO131" i="60" s="1" a="1"/>
  <c r="AO131" i="60" s="1"/>
  <c r="AP130" i="60"/>
  <c r="AP133" i="60" s="1" a="1"/>
  <c r="AP133" i="60" s="1"/>
  <c r="AQ130" i="60"/>
  <c r="AQ132" i="60" s="1" a="1"/>
  <c r="AQ132" i="60" s="1"/>
  <c r="AR130" i="60"/>
  <c r="AR133" i="60" s="1" a="1"/>
  <c r="AR133" i="60" s="1"/>
  <c r="AJ130" i="60"/>
  <c r="AI130" i="60"/>
  <c r="AH130" i="60"/>
  <c r="AH132" i="60" s="1" a="1"/>
  <c r="AH132" i="60" s="1"/>
  <c r="AG130" i="60"/>
  <c r="AF130" i="60"/>
  <c r="AE130" i="60"/>
  <c r="AE131" i="60" s="1" a="1"/>
  <c r="AE131" i="60" s="1"/>
  <c r="AD130" i="60"/>
  <c r="AD132" i="60" s="1" a="1"/>
  <c r="AD132" i="60" s="1"/>
  <c r="V130" i="60"/>
  <c r="U130" i="60"/>
  <c r="T130" i="60"/>
  <c r="T132" i="60" s="1" a="1"/>
  <c r="T132" i="60" s="1"/>
  <c r="S130" i="60"/>
  <c r="S131" i="60" s="1" a="1"/>
  <c r="S131" i="60" s="1"/>
  <c r="R130" i="60"/>
  <c r="R132" i="60" s="1" a="1"/>
  <c r="R132" i="60" s="1"/>
  <c r="Q130" i="60"/>
  <c r="Q131" i="60" s="1" a="1"/>
  <c r="Q131" i="60" s="1"/>
  <c r="P130" i="60"/>
  <c r="AE129" i="60"/>
  <c r="AF129" i="60" s="1"/>
  <c r="AG129" i="60" s="1"/>
  <c r="AH129" i="60" s="1"/>
  <c r="AI129" i="60" s="1"/>
  <c r="AJ129" i="60" s="1"/>
  <c r="AK129" i="60" s="1"/>
  <c r="AL129" i="60" s="1"/>
  <c r="AM129" i="60" s="1"/>
  <c r="AN129" i="60" s="1"/>
  <c r="AO129" i="60" s="1"/>
  <c r="AP129" i="60" s="1"/>
  <c r="AQ129" i="60" s="1"/>
  <c r="AR129" i="60" s="1"/>
  <c r="Q129" i="60"/>
  <c r="R129" i="60" s="1"/>
  <c r="S129" i="60" s="1"/>
  <c r="T129" i="60" s="1"/>
  <c r="U129" i="60" s="1"/>
  <c r="V129" i="60" s="1"/>
  <c r="W129" i="60" s="1"/>
  <c r="X129" i="60" s="1"/>
  <c r="Y129" i="60" s="1"/>
  <c r="Z129" i="60" s="1"/>
  <c r="AA129" i="60" s="1"/>
  <c r="AB129" i="60" s="1"/>
  <c r="AC129" i="60" s="1"/>
  <c r="AD129" i="60" s="1"/>
  <c r="C129" i="60"/>
  <c r="D129" i="60" s="1"/>
  <c r="E129" i="60" s="1"/>
  <c r="F129" i="60" s="1"/>
  <c r="G129" i="60" s="1"/>
  <c r="H129" i="60" s="1"/>
  <c r="I129" i="60" s="1"/>
  <c r="J129" i="60" s="1"/>
  <c r="K129" i="60" s="1"/>
  <c r="L129" i="60" s="1"/>
  <c r="M129" i="60" s="1"/>
  <c r="N129" i="60" s="1"/>
  <c r="O129" i="60" s="1"/>
  <c r="P129" i="60" s="1"/>
  <c r="B55" i="60"/>
  <c r="D62" i="60" s="1"/>
  <c r="C61" i="60"/>
  <c r="B53" i="60"/>
  <c r="D60" i="60" s="1"/>
  <c r="A90" i="60"/>
  <c r="A115" i="60" s="1"/>
  <c r="O90" i="60"/>
  <c r="P90" i="60" s="1"/>
  <c r="A91" i="60"/>
  <c r="A116" i="60" s="1"/>
  <c r="A92" i="60"/>
  <c r="A93" i="60"/>
  <c r="A118" i="60" s="1"/>
  <c r="A94" i="60"/>
  <c r="A119" i="60" s="1"/>
  <c r="A95" i="60"/>
  <c r="A120" i="60" s="1"/>
  <c r="A96" i="60"/>
  <c r="A121" i="60" s="1"/>
  <c r="A97" i="60"/>
  <c r="A122" i="60" s="1"/>
  <c r="A98" i="60"/>
  <c r="A99" i="60"/>
  <c r="A124" i="60" s="1"/>
  <c r="A100" i="60"/>
  <c r="A101" i="60"/>
  <c r="A102" i="60"/>
  <c r="O91" i="60"/>
  <c r="P91" i="60" s="1"/>
  <c r="O92" i="60"/>
  <c r="P92" i="60" s="1"/>
  <c r="O93" i="60"/>
  <c r="P93" i="60" s="1"/>
  <c r="O94" i="60"/>
  <c r="P94" i="60" s="1"/>
  <c r="O95" i="60"/>
  <c r="P95" i="60" s="1"/>
  <c r="O96" i="60"/>
  <c r="P96" i="60" s="1"/>
  <c r="O97" i="60"/>
  <c r="P97" i="60" s="1"/>
  <c r="O98" i="60"/>
  <c r="P98" i="60" s="1"/>
  <c r="O99" i="60"/>
  <c r="P99" i="60" s="1"/>
  <c r="O100" i="60"/>
  <c r="P100" i="60" s="1"/>
  <c r="O101" i="60"/>
  <c r="P101" i="60" s="1"/>
  <c r="O102" i="60"/>
  <c r="P102" i="60" s="1"/>
  <c r="O103" i="60"/>
  <c r="P103" i="60" s="1"/>
  <c r="Q90" i="60"/>
  <c r="Q93" i="60"/>
  <c r="Q94" i="60"/>
  <c r="Q95" i="60"/>
  <c r="E92" i="33"/>
  <c r="E55" i="33"/>
  <c r="O15" i="33" s="1"/>
  <c r="O16" i="33" s="1"/>
  <c r="O17" i="33" s="1"/>
  <c r="O18" i="33" s="1"/>
  <c r="E64" i="33"/>
  <c r="E72" i="33"/>
  <c r="E75" i="33"/>
  <c r="E76" i="33"/>
  <c r="E77" i="33"/>
  <c r="E78" i="33"/>
  <c r="E79" i="33"/>
  <c r="E80" i="33"/>
  <c r="E81" i="33"/>
  <c r="E84" i="33"/>
  <c r="E86" i="33"/>
  <c r="E87" i="33"/>
  <c r="E88" i="33"/>
  <c r="E89" i="33"/>
  <c r="E104" i="33"/>
  <c r="E105" i="33"/>
  <c r="E106" i="33"/>
  <c r="E107" i="33"/>
  <c r="E108" i="33"/>
  <c r="E109" i="33"/>
  <c r="E112" i="33"/>
  <c r="E113" i="33"/>
  <c r="E114" i="33"/>
  <c r="E115" i="33"/>
  <c r="E116" i="33"/>
  <c r="E117" i="33"/>
  <c r="E118" i="33"/>
  <c r="E121" i="33"/>
  <c r="E124" i="33"/>
  <c r="O21" i="33" s="1"/>
  <c r="O22" i="33" s="1"/>
  <c r="O23" i="33" s="1"/>
  <c r="O24" i="33" s="1"/>
  <c r="E125" i="33"/>
  <c r="E128" i="33"/>
  <c r="E135" i="33"/>
  <c r="F135" i="33"/>
  <c r="E147" i="33"/>
  <c r="E148" i="33"/>
  <c r="E149" i="33"/>
  <c r="E150" i="33"/>
  <c r="O27" i="33" s="1"/>
  <c r="O28" i="33" s="1"/>
  <c r="O29" i="33" s="1"/>
  <c r="O30" i="33" s="1"/>
  <c r="E151" i="33"/>
  <c r="E152" i="33"/>
  <c r="E155" i="33"/>
  <c r="E158" i="33"/>
  <c r="E159" i="33"/>
  <c r="F64" i="33"/>
  <c r="F72" i="33"/>
  <c r="E238" i="41"/>
  <c r="I236" i="41" s="1"/>
  <c r="B64" i="60"/>
  <c r="B62" i="60" s="1"/>
  <c r="F62" i="60" s="1"/>
  <c r="G62" i="60" s="1"/>
  <c r="H62" i="60" s="1"/>
  <c r="Q91" i="60"/>
  <c r="D64" i="60"/>
  <c r="C64" i="60"/>
  <c r="B60" i="60"/>
  <c r="F60" i="60" s="1"/>
  <c r="Q97" i="60"/>
  <c r="Q98" i="60"/>
  <c r="Q100" i="60"/>
  <c r="Q92" i="60"/>
  <c r="Q96" i="60"/>
  <c r="Q99" i="60"/>
  <c r="D63" i="60"/>
  <c r="D61" i="60"/>
  <c r="C63" i="60"/>
  <c r="K43" i="60"/>
  <c r="K59" i="60" s="1"/>
  <c r="K66" i="60" s="1"/>
  <c r="L43" i="60"/>
  <c r="L59" i="60" s="1"/>
  <c r="L66" i="60" s="1"/>
  <c r="J43" i="60"/>
  <c r="J59" i="60" s="1"/>
  <c r="J66" i="60" s="1"/>
  <c r="G43" i="60"/>
  <c r="G59" i="60" s="1"/>
  <c r="G66" i="60" s="1"/>
  <c r="H43" i="60"/>
  <c r="H59" i="60" s="1"/>
  <c r="H66" i="60" s="1"/>
  <c r="F43" i="60"/>
  <c r="F59" i="60" s="1"/>
  <c r="F66" i="60" s="1"/>
  <c r="C43" i="60"/>
  <c r="C59" i="60" s="1"/>
  <c r="C66" i="60" s="1"/>
  <c r="D43" i="60"/>
  <c r="D59" i="60" s="1"/>
  <c r="D66" i="60" s="1"/>
  <c r="B43" i="60"/>
  <c r="B59" i="60" s="1"/>
  <c r="B66" i="60" s="1"/>
  <c r="Q101" i="60"/>
  <c r="Q102" i="60"/>
  <c r="Q103" i="60"/>
  <c r="C116" i="60"/>
  <c r="D116" i="60"/>
  <c r="E116" i="60"/>
  <c r="F116" i="60"/>
  <c r="G116" i="60"/>
  <c r="H116" i="60"/>
  <c r="I116" i="60"/>
  <c r="J116" i="60"/>
  <c r="K116" i="60"/>
  <c r="L116" i="60"/>
  <c r="C117" i="60"/>
  <c r="D117" i="60"/>
  <c r="E117" i="60"/>
  <c r="F117" i="60"/>
  <c r="G117" i="60"/>
  <c r="H117" i="60"/>
  <c r="I117" i="60"/>
  <c r="J117" i="60"/>
  <c r="K117" i="60"/>
  <c r="L117" i="60"/>
  <c r="C118" i="60"/>
  <c r="D118" i="60"/>
  <c r="E118" i="60"/>
  <c r="F118" i="60"/>
  <c r="G118" i="60"/>
  <c r="H118" i="60"/>
  <c r="I118" i="60"/>
  <c r="J118" i="60"/>
  <c r="K118" i="60"/>
  <c r="L118" i="60"/>
  <c r="C119" i="60"/>
  <c r="D119" i="60"/>
  <c r="E119" i="60"/>
  <c r="F119" i="60"/>
  <c r="G119" i="60"/>
  <c r="H119" i="60"/>
  <c r="I119" i="60"/>
  <c r="J119" i="60"/>
  <c r="K119" i="60"/>
  <c r="L119" i="60"/>
  <c r="C120" i="60"/>
  <c r="D120" i="60"/>
  <c r="E120" i="60"/>
  <c r="F120" i="60"/>
  <c r="G120" i="60"/>
  <c r="H120" i="60"/>
  <c r="I120" i="60"/>
  <c r="J120" i="60"/>
  <c r="K120" i="60"/>
  <c r="L120" i="60"/>
  <c r="C121" i="60"/>
  <c r="D121" i="60"/>
  <c r="E121" i="60"/>
  <c r="F121" i="60"/>
  <c r="G121" i="60"/>
  <c r="H121" i="60"/>
  <c r="I121" i="60"/>
  <c r="J121" i="60"/>
  <c r="K121" i="60"/>
  <c r="L121" i="60"/>
  <c r="C122" i="60"/>
  <c r="D122" i="60"/>
  <c r="E122" i="60"/>
  <c r="F122" i="60"/>
  <c r="G122" i="60"/>
  <c r="H122" i="60"/>
  <c r="I122" i="60"/>
  <c r="J122" i="60"/>
  <c r="K122" i="60"/>
  <c r="L122" i="60"/>
  <c r="C123" i="60"/>
  <c r="D123" i="60"/>
  <c r="E123" i="60"/>
  <c r="F123" i="60"/>
  <c r="G123" i="60"/>
  <c r="H123" i="60"/>
  <c r="I123" i="60"/>
  <c r="J123" i="60"/>
  <c r="K123" i="60"/>
  <c r="L123" i="60"/>
  <c r="C124" i="60"/>
  <c r="D124" i="60"/>
  <c r="E124" i="60"/>
  <c r="F124" i="60"/>
  <c r="G124" i="60"/>
  <c r="H124" i="60"/>
  <c r="I124" i="60"/>
  <c r="J124" i="60"/>
  <c r="K124" i="60"/>
  <c r="L124" i="60"/>
  <c r="C125" i="60"/>
  <c r="D125" i="60"/>
  <c r="E125" i="60"/>
  <c r="F125" i="60"/>
  <c r="G125" i="60"/>
  <c r="H125" i="60"/>
  <c r="I125" i="60"/>
  <c r="J125" i="60"/>
  <c r="K125" i="60"/>
  <c r="L125" i="60"/>
  <c r="D115" i="60"/>
  <c r="E115" i="60"/>
  <c r="F115" i="60"/>
  <c r="G115" i="60"/>
  <c r="H115" i="60"/>
  <c r="I115" i="60"/>
  <c r="J115" i="60"/>
  <c r="K115" i="60"/>
  <c r="L115" i="60"/>
  <c r="C115" i="60"/>
  <c r="Q42" i="60"/>
  <c r="R42" i="60"/>
  <c r="P42" i="60"/>
  <c r="AD29" i="60"/>
  <c r="P29" i="60"/>
  <c r="AR29" i="60"/>
  <c r="CV13" i="60"/>
  <c r="CU13" i="60"/>
  <c r="CT13" i="60"/>
  <c r="CS13" i="60"/>
  <c r="CR13" i="60"/>
  <c r="CQ13" i="60"/>
  <c r="CP13" i="60"/>
  <c r="CO13" i="60"/>
  <c r="CN13" i="60"/>
  <c r="CM13" i="60"/>
  <c r="CL13" i="60"/>
  <c r="CK13" i="60"/>
  <c r="CJ13" i="60"/>
  <c r="CI13" i="60"/>
  <c r="CH13" i="60"/>
  <c r="CG13" i="60"/>
  <c r="CF13" i="60"/>
  <c r="CE13" i="60"/>
  <c r="CD13" i="60"/>
  <c r="CC13" i="60"/>
  <c r="CB13" i="60"/>
  <c r="CA13" i="60"/>
  <c r="BZ13" i="60"/>
  <c r="BY13" i="60"/>
  <c r="BX13" i="60"/>
  <c r="BW13" i="60"/>
  <c r="BV13" i="60"/>
  <c r="BU13" i="60"/>
  <c r="BT13" i="60"/>
  <c r="BS13" i="60"/>
  <c r="BR13" i="60"/>
  <c r="BQ13" i="60"/>
  <c r="BP13" i="60"/>
  <c r="BO13" i="60"/>
  <c r="BN13" i="60"/>
  <c r="BM13" i="60"/>
  <c r="BL13" i="60"/>
  <c r="BK13" i="60"/>
  <c r="BJ13" i="60"/>
  <c r="BI13" i="60"/>
  <c r="BH13" i="60"/>
  <c r="BG13" i="60"/>
  <c r="BF13" i="60"/>
  <c r="BE13" i="60"/>
  <c r="BD13" i="60"/>
  <c r="BC13" i="60"/>
  <c r="BB13" i="60"/>
  <c r="BA13" i="60"/>
  <c r="AZ13" i="60"/>
  <c r="AY13" i="60"/>
  <c r="AX13" i="60"/>
  <c r="AW13" i="60"/>
  <c r="AV13" i="60"/>
  <c r="AU13" i="60"/>
  <c r="AT13" i="60"/>
  <c r="AS13" i="60"/>
  <c r="AR13" i="60"/>
  <c r="AQ13" i="60"/>
  <c r="AP13" i="60"/>
  <c r="AO13" i="60"/>
  <c r="AN13" i="60"/>
  <c r="AM13" i="60"/>
  <c r="AL13" i="60"/>
  <c r="AK13" i="60"/>
  <c r="AJ13" i="60"/>
  <c r="AI13" i="60"/>
  <c r="AH13" i="60"/>
  <c r="AG13" i="60"/>
  <c r="AF13" i="60"/>
  <c r="AE13" i="60"/>
  <c r="AD13" i="60"/>
  <c r="AC13" i="60"/>
  <c r="AB13" i="60"/>
  <c r="AA13" i="60"/>
  <c r="Z13" i="60"/>
  <c r="Y13" i="60"/>
  <c r="X13" i="60"/>
  <c r="W13" i="60"/>
  <c r="V13" i="60"/>
  <c r="U13" i="60"/>
  <c r="T13" i="60"/>
  <c r="S13" i="60"/>
  <c r="R13" i="60"/>
  <c r="Q13" i="60"/>
  <c r="P13" i="60"/>
  <c r="O13" i="60"/>
  <c r="N13" i="60"/>
  <c r="M13" i="60"/>
  <c r="L13" i="60"/>
  <c r="K13" i="60"/>
  <c r="J13" i="60"/>
  <c r="I13" i="60"/>
  <c r="H13" i="60"/>
  <c r="G13" i="60"/>
  <c r="F13" i="60"/>
  <c r="E13" i="60"/>
  <c r="D13" i="60"/>
  <c r="C13" i="60"/>
  <c r="E172" i="41"/>
  <c r="E210" i="41" s="1"/>
  <c r="E209" i="41"/>
  <c r="M214" i="41"/>
  <c r="M215" i="41"/>
  <c r="M216" i="41"/>
  <c r="M217" i="41"/>
  <c r="M218" i="41"/>
  <c r="M219" i="41"/>
  <c r="L215" i="41"/>
  <c r="H223" i="41"/>
  <c r="I223" i="41"/>
  <c r="H224" i="41"/>
  <c r="I224" i="41"/>
  <c r="H225" i="41"/>
  <c r="I225" i="41"/>
  <c r="H226" i="41"/>
  <c r="I226" i="41"/>
  <c r="H227" i="41"/>
  <c r="I227" i="41"/>
  <c r="H228" i="41"/>
  <c r="I228" i="41"/>
  <c r="H229" i="41"/>
  <c r="I229" i="41"/>
  <c r="I222" i="41"/>
  <c r="H222" i="41"/>
  <c r="D172" i="41"/>
  <c r="D210" i="41" s="1"/>
  <c r="D209" i="41"/>
  <c r="I41" i="20"/>
  <c r="J41" i="20"/>
  <c r="I42" i="20"/>
  <c r="J42" i="20"/>
  <c r="I213" i="41"/>
  <c r="I214" i="41"/>
  <c r="I215" i="41"/>
  <c r="I216" i="41"/>
  <c r="I217" i="41"/>
  <c r="I218" i="41"/>
  <c r="I219" i="41"/>
  <c r="H213" i="41"/>
  <c r="H214" i="41"/>
  <c r="H215" i="41"/>
  <c r="H216" i="41"/>
  <c r="H217" i="41"/>
  <c r="H218" i="41"/>
  <c r="H219" i="41"/>
  <c r="D17" i="33"/>
  <c r="E17" i="33"/>
  <c r="D18" i="33"/>
  <c r="E18" i="33"/>
  <c r="D19" i="33"/>
  <c r="E19" i="33"/>
  <c r="D23" i="33"/>
  <c r="E23" i="33"/>
  <c r="D25" i="33"/>
  <c r="E25" i="33"/>
  <c r="D26" i="33"/>
  <c r="E26" i="33"/>
  <c r="D27" i="33"/>
  <c r="C18" i="24" s="1"/>
  <c r="B13" i="84" s="1"/>
  <c r="E27" i="33"/>
  <c r="D30" i="33"/>
  <c r="E30" i="33"/>
  <c r="D31" i="33"/>
  <c r="E31" i="33"/>
  <c r="D32" i="33"/>
  <c r="E32" i="33"/>
  <c r="D33" i="33"/>
  <c r="E33" i="33"/>
  <c r="D34" i="33"/>
  <c r="E34" i="33"/>
  <c r="D37" i="33"/>
  <c r="E37" i="33"/>
  <c r="E15" i="33"/>
  <c r="D15" i="33"/>
  <c r="A125" i="33"/>
  <c r="A82" i="33"/>
  <c r="A54" i="33"/>
  <c r="A55" i="33"/>
  <c r="A57" i="33"/>
  <c r="A58" i="33"/>
  <c r="A61" i="33"/>
  <c r="A62" i="33"/>
  <c r="A63" i="33"/>
  <c r="A60" i="33"/>
  <c r="A64" i="33"/>
  <c r="A65" i="33"/>
  <c r="A66" i="33"/>
  <c r="A67" i="33"/>
  <c r="A68" i="33"/>
  <c r="A69" i="33"/>
  <c r="A70" i="33"/>
  <c r="A71" i="33"/>
  <c r="A72" i="33"/>
  <c r="A73" i="33"/>
  <c r="A74" i="33"/>
  <c r="A75" i="33"/>
  <c r="A77" i="33"/>
  <c r="A78" i="33"/>
  <c r="A79" i="33"/>
  <c r="A80" i="33"/>
  <c r="A81" i="33"/>
  <c r="A83" i="33"/>
  <c r="A84" i="33"/>
  <c r="A86" i="33"/>
  <c r="A87" i="33"/>
  <c r="A88" i="33"/>
  <c r="A89" i="33"/>
  <c r="A90" i="33"/>
  <c r="A91" i="33"/>
  <c r="A92" i="33"/>
  <c r="A94" i="33"/>
  <c r="A95" i="33"/>
  <c r="A96" i="33"/>
  <c r="A97" i="33"/>
  <c r="A98" i="33"/>
  <c r="A99" i="33"/>
  <c r="A100" i="33"/>
  <c r="A101" i="33"/>
  <c r="A102" i="33"/>
  <c r="A103" i="33"/>
  <c r="A104" i="33"/>
  <c r="A105" i="33"/>
  <c r="A106" i="33"/>
  <c r="A107" i="33"/>
  <c r="A108" i="33"/>
  <c r="A109" i="33"/>
  <c r="A110" i="33"/>
  <c r="A111" i="33"/>
  <c r="A112" i="33"/>
  <c r="A114" i="33"/>
  <c r="A115" i="33"/>
  <c r="A116" i="33"/>
  <c r="A117" i="33"/>
  <c r="A118" i="33"/>
  <c r="A119" i="33"/>
  <c r="A120" i="33"/>
  <c r="A121" i="33"/>
  <c r="A122" i="33"/>
  <c r="A123" i="33"/>
  <c r="A124" i="33"/>
  <c r="A126" i="33"/>
  <c r="A127" i="33"/>
  <c r="A128" i="33"/>
  <c r="A129" i="33"/>
  <c r="A130" i="33"/>
  <c r="A131" i="33"/>
  <c r="A132" i="33"/>
  <c r="A133" i="33"/>
  <c r="A134" i="33"/>
  <c r="A135" i="33"/>
  <c r="A136" i="33"/>
  <c r="A137" i="33"/>
  <c r="A138" i="33"/>
  <c r="A139" i="33"/>
  <c r="A140" i="33"/>
  <c r="A141" i="33"/>
  <c r="A142" i="33"/>
  <c r="A143" i="33"/>
  <c r="A144" i="33"/>
  <c r="A145" i="33"/>
  <c r="A146" i="33"/>
  <c r="A147" i="33"/>
  <c r="A148" i="33"/>
  <c r="A149" i="33"/>
  <c r="A150" i="33"/>
  <c r="A151" i="33"/>
  <c r="A152" i="33"/>
  <c r="A153" i="33"/>
  <c r="A154" i="33"/>
  <c r="A155" i="33"/>
  <c r="A156" i="33"/>
  <c r="A157" i="33"/>
  <c r="A158" i="33"/>
  <c r="A159" i="33"/>
  <c r="A160" i="33"/>
  <c r="E8" i="1"/>
  <c r="E9" i="1" s="1"/>
  <c r="E10" i="1" s="1"/>
  <c r="E11" i="1" s="1"/>
  <c r="E12" i="1" s="1"/>
  <c r="E13" i="1" s="1"/>
  <c r="E7" i="1"/>
  <c r="I148" i="41"/>
  <c r="I147" i="41"/>
  <c r="I143" i="41"/>
  <c r="I145" i="41"/>
  <c r="I144" i="41"/>
  <c r="I142" i="41"/>
  <c r="I150" i="41"/>
  <c r="I146" i="41"/>
  <c r="H170" i="41"/>
  <c r="H169" i="41"/>
  <c r="H167" i="41"/>
  <c r="H168" i="41"/>
  <c r="H149" i="41"/>
  <c r="H147" i="41"/>
  <c r="I156" i="41"/>
  <c r="I153" i="41"/>
  <c r="I160" i="41"/>
  <c r="I152" i="41"/>
  <c r="I154" i="41"/>
  <c r="I155" i="41"/>
  <c r="I149" i="41"/>
  <c r="I166" i="41"/>
  <c r="I158" i="41"/>
  <c r="I157" i="41"/>
  <c r="I159" i="41"/>
  <c r="H148" i="41"/>
  <c r="H150" i="41"/>
  <c r="H162" i="41"/>
  <c r="H142" i="41"/>
  <c r="H165" i="41"/>
  <c r="H166" i="41"/>
  <c r="H144" i="41"/>
  <c r="H164" i="41"/>
  <c r="I170" i="41"/>
  <c r="I165" i="41"/>
  <c r="I169" i="41"/>
  <c r="I168" i="41"/>
  <c r="I167" i="41"/>
  <c r="I164" i="41"/>
  <c r="I163" i="41"/>
  <c r="I162" i="41"/>
  <c r="H159" i="41"/>
  <c r="H157" i="41"/>
  <c r="H158" i="41"/>
  <c r="H160" i="41"/>
  <c r="H163" i="41"/>
  <c r="H145" i="41"/>
  <c r="H146" i="41"/>
  <c r="H143" i="41"/>
  <c r="H152" i="41"/>
  <c r="H154" i="41"/>
  <c r="H155" i="41"/>
  <c r="H156" i="41"/>
  <c r="H153" i="41"/>
  <c r="H138" i="41"/>
  <c r="H139" i="41"/>
  <c r="H126" i="41"/>
  <c r="H125" i="41"/>
  <c r="H129" i="41"/>
  <c r="H128" i="41"/>
  <c r="I139" i="41"/>
  <c r="I136" i="41"/>
  <c r="I132" i="41"/>
  <c r="I133" i="41"/>
  <c r="I131" i="41"/>
  <c r="I138" i="41"/>
  <c r="I137" i="41"/>
  <c r="I135" i="41"/>
  <c r="I129" i="41"/>
  <c r="H116" i="41"/>
  <c r="H119" i="41"/>
  <c r="H117" i="41"/>
  <c r="H118" i="41"/>
  <c r="H137" i="41"/>
  <c r="H136" i="41"/>
  <c r="H135" i="41"/>
  <c r="H127" i="41"/>
  <c r="I134" i="41"/>
  <c r="I111" i="41"/>
  <c r="I119" i="41"/>
  <c r="H111" i="41"/>
  <c r="H115" i="41"/>
  <c r="H121" i="41"/>
  <c r="H122" i="41"/>
  <c r="H124" i="41"/>
  <c r="H123" i="41"/>
  <c r="H131" i="41"/>
  <c r="H132" i="41"/>
  <c r="H134" i="41"/>
  <c r="H133" i="41"/>
  <c r="H113" i="41"/>
  <c r="H114" i="41"/>
  <c r="H112" i="41"/>
  <c r="I118" i="41"/>
  <c r="I117" i="41"/>
  <c r="I116" i="41"/>
  <c r="I115" i="41"/>
  <c r="I114" i="41"/>
  <c r="I113" i="41"/>
  <c r="I112" i="41"/>
  <c r="I121" i="41"/>
  <c r="I128" i="41"/>
  <c r="I127" i="41"/>
  <c r="I126" i="41"/>
  <c r="I125" i="41"/>
  <c r="I124" i="41"/>
  <c r="I123" i="41"/>
  <c r="I122" i="41"/>
  <c r="J134" i="41"/>
  <c r="J133" i="41"/>
  <c r="J137" i="41"/>
  <c r="J150" i="41"/>
  <c r="J138" i="41"/>
  <c r="J131" i="41"/>
  <c r="J142" i="41"/>
  <c r="J145" i="41"/>
  <c r="J136" i="41"/>
  <c r="J139" i="41"/>
  <c r="J135" i="41"/>
  <c r="J158" i="41"/>
  <c r="J152" i="41"/>
  <c r="J132" i="41"/>
  <c r="J113" i="41"/>
  <c r="J126" i="41"/>
  <c r="J124" i="41"/>
  <c r="J123" i="41"/>
  <c r="J127" i="41"/>
  <c r="J122" i="41"/>
  <c r="J147" i="41"/>
  <c r="J146" i="41"/>
  <c r="J148" i="41"/>
  <c r="J143" i="41"/>
  <c r="J125" i="41"/>
  <c r="J128" i="41"/>
  <c r="J129" i="41"/>
  <c r="J149" i="41"/>
  <c r="J144" i="41"/>
  <c r="J118" i="41"/>
  <c r="J167" i="41"/>
  <c r="J163" i="41"/>
  <c r="J170" i="41"/>
  <c r="J168" i="41"/>
  <c r="J166" i="41"/>
  <c r="J169" i="41"/>
  <c r="J165" i="41"/>
  <c r="J164" i="41"/>
  <c r="J162" i="41"/>
  <c r="J160" i="41"/>
  <c r="J153" i="41"/>
  <c r="J157" i="41"/>
  <c r="J154" i="41"/>
  <c r="J159" i="41"/>
  <c r="J156" i="41"/>
  <c r="J155" i="41"/>
  <c r="J116" i="41"/>
  <c r="J119" i="41"/>
  <c r="J117" i="41"/>
  <c r="J111" i="41"/>
  <c r="J114" i="41"/>
  <c r="J112" i="41"/>
  <c r="J115" i="41"/>
  <c r="O40" i="60"/>
  <c r="AJ8" i="32"/>
  <c r="AJ4" i="32" s="1"/>
  <c r="AC8" i="32"/>
  <c r="AC4" i="32" s="1"/>
  <c r="C8" i="32"/>
  <c r="C4" i="32" s="1"/>
  <c r="G8" i="32"/>
  <c r="G4" i="32" s="1"/>
  <c r="I8" i="32"/>
  <c r="I4" i="32" s="1"/>
  <c r="X8" i="32"/>
  <c r="X4" i="32" s="1"/>
  <c r="M8" i="32"/>
  <c r="M4" i="32" s="1"/>
  <c r="AI8" i="32"/>
  <c r="AI4" i="32" s="1"/>
  <c r="D8" i="32"/>
  <c r="D4" i="32" s="1"/>
  <c r="AG8" i="32"/>
  <c r="AG4" i="32" s="1"/>
  <c r="E8" i="32"/>
  <c r="E4" i="32" s="1"/>
  <c r="AB8" i="32"/>
  <c r="AB4" i="32" s="1"/>
  <c r="AE8" i="32"/>
  <c r="AE4" i="32" s="1"/>
  <c r="AF8" i="32"/>
  <c r="AF4" i="32" s="1"/>
  <c r="AH8" i="32"/>
  <c r="AH4" i="32" s="1"/>
  <c r="B8" i="32"/>
  <c r="B4" i="32" s="1"/>
  <c r="Z8" i="32"/>
  <c r="Z4" i="32" s="1"/>
  <c r="O8" i="32"/>
  <c r="O4" i="32" s="1"/>
  <c r="AA8" i="32"/>
  <c r="AA4" i="32" s="1"/>
  <c r="H8" i="32"/>
  <c r="H4" i="32" s="1"/>
  <c r="P8" i="32"/>
  <c r="P4" i="32" s="1"/>
  <c r="S8" i="32"/>
  <c r="S4" i="32" s="1"/>
  <c r="W8" i="32"/>
  <c r="W4" i="32" s="1"/>
  <c r="J8" i="32"/>
  <c r="J4" i="32" s="1"/>
  <c r="Y8" i="32"/>
  <c r="Y4" i="32" s="1"/>
  <c r="F8" i="32"/>
  <c r="F4" i="32" s="1"/>
  <c r="AD8" i="32"/>
  <c r="AD4" i="32" s="1"/>
  <c r="Q8" i="32"/>
  <c r="Q4" i="32" s="1"/>
  <c r="N8" i="32"/>
  <c r="N4" i="32" s="1"/>
  <c r="V8" i="32"/>
  <c r="V4" i="32" s="1"/>
  <c r="U8" i="32"/>
  <c r="U4" i="32" s="1"/>
  <c r="T8" i="32"/>
  <c r="T4" i="32" s="1"/>
  <c r="K8" i="32"/>
  <c r="K4" i="32" s="1"/>
  <c r="R8" i="32"/>
  <c r="R4" i="32" s="1"/>
  <c r="L8" i="32"/>
  <c r="L4" i="32" s="1"/>
  <c r="O25" i="33" l="1"/>
  <c r="O26" i="33"/>
  <c r="O20" i="33"/>
  <c r="O19" i="33"/>
  <c r="O31" i="33"/>
  <c r="O32" i="33"/>
  <c r="AG84" i="20"/>
  <c r="AI84" i="20"/>
  <c r="AK84" i="20"/>
  <c r="AG92" i="20"/>
  <c r="AI92" i="20"/>
  <c r="AK92" i="20"/>
  <c r="M231" i="41"/>
  <c r="M225" i="41"/>
  <c r="M236" i="41"/>
  <c r="K237" i="60"/>
  <c r="S230" i="60"/>
  <c r="I237" i="60"/>
  <c r="Q230" i="60"/>
  <c r="G237" i="60"/>
  <c r="O230" i="60"/>
  <c r="L237" i="60"/>
  <c r="T230" i="60"/>
  <c r="J237" i="60"/>
  <c r="R230" i="60"/>
  <c r="H237" i="60"/>
  <c r="P230" i="60"/>
  <c r="F237" i="60"/>
  <c r="N230" i="60"/>
  <c r="M224" i="41"/>
  <c r="M223" i="41"/>
  <c r="M237" i="41"/>
  <c r="M222" i="41"/>
  <c r="M226" i="41"/>
  <c r="M235" i="41"/>
  <c r="M233" i="41"/>
  <c r="M234" i="41"/>
  <c r="M232" i="41"/>
  <c r="M227" i="41"/>
  <c r="F71" i="41"/>
  <c r="F21" i="74" s="1"/>
  <c r="G50" i="71"/>
  <c r="G49" i="71"/>
  <c r="G51" i="71"/>
  <c r="G47" i="71"/>
  <c r="G46" i="71"/>
  <c r="G45" i="71"/>
  <c r="H72" i="33"/>
  <c r="L72" i="33" s="1"/>
  <c r="I72" i="33" s="1"/>
  <c r="H152" i="33"/>
  <c r="H118" i="33"/>
  <c r="L118" i="33" s="1"/>
  <c r="H81" i="33"/>
  <c r="L81" i="33" s="1"/>
  <c r="H144" i="33"/>
  <c r="L144" i="33" s="1"/>
  <c r="I144" i="33" s="1"/>
  <c r="M129" i="20" s="1"/>
  <c r="H136" i="33"/>
  <c r="L136" i="33" s="1"/>
  <c r="I136" i="33" s="1"/>
  <c r="M121" i="20" s="1"/>
  <c r="G55" i="71"/>
  <c r="G54" i="71"/>
  <c r="G53" i="71"/>
  <c r="M220" i="41"/>
  <c r="H109" i="33"/>
  <c r="L109" i="33" s="1"/>
  <c r="I109" i="33" s="1"/>
  <c r="M92" i="20" s="1"/>
  <c r="H101" i="33"/>
  <c r="L101" i="33" s="1"/>
  <c r="B245" i="60"/>
  <c r="M229" i="41"/>
  <c r="BB69" i="20"/>
  <c r="BK39" i="20"/>
  <c r="M71" i="41"/>
  <c r="M21" i="74" s="1"/>
  <c r="M70" i="41"/>
  <c r="M20" i="74" s="1"/>
  <c r="M72" i="41"/>
  <c r="M22" i="74" s="1"/>
  <c r="M228" i="41"/>
  <c r="M238" i="41"/>
  <c r="E24" i="62"/>
  <c r="E23" i="62"/>
  <c r="E18" i="62"/>
  <c r="E17" i="62"/>
  <c r="E21" i="62"/>
  <c r="E20" i="62"/>
  <c r="H76" i="41"/>
  <c r="J76" i="41"/>
  <c r="L76" i="41"/>
  <c r="N76" i="41"/>
  <c r="P76" i="41"/>
  <c r="H77" i="41"/>
  <c r="J77" i="41"/>
  <c r="L77" i="41"/>
  <c r="N77" i="41"/>
  <c r="P77" i="41"/>
  <c r="H78" i="41"/>
  <c r="J78" i="41"/>
  <c r="L78" i="41"/>
  <c r="N78" i="41"/>
  <c r="P78" i="41"/>
  <c r="F78" i="41"/>
  <c r="F69" i="74" s="1"/>
  <c r="G54" i="41"/>
  <c r="I54" i="41"/>
  <c r="K54" i="41"/>
  <c r="M54" i="41"/>
  <c r="O54" i="41"/>
  <c r="G55" i="41"/>
  <c r="I55" i="41"/>
  <c r="K55" i="41"/>
  <c r="M55" i="41"/>
  <c r="O55" i="41"/>
  <c r="F55" i="41"/>
  <c r="G76" i="41"/>
  <c r="I76" i="41"/>
  <c r="K76" i="41"/>
  <c r="M76" i="41"/>
  <c r="O76" i="41"/>
  <c r="G77" i="41"/>
  <c r="I77" i="41"/>
  <c r="K77" i="41"/>
  <c r="M77" i="41"/>
  <c r="O77" i="41"/>
  <c r="G78" i="41"/>
  <c r="I78" i="41"/>
  <c r="K78" i="41"/>
  <c r="M78" i="41"/>
  <c r="O78" i="41"/>
  <c r="F77" i="41"/>
  <c r="F68" i="74" s="1"/>
  <c r="F76" i="41"/>
  <c r="H54" i="41"/>
  <c r="J54" i="41"/>
  <c r="L54" i="41"/>
  <c r="N54" i="41"/>
  <c r="P54" i="41"/>
  <c r="H55" i="41"/>
  <c r="J55" i="41"/>
  <c r="L55" i="41"/>
  <c r="N55" i="41"/>
  <c r="P55" i="41"/>
  <c r="F54" i="41"/>
  <c r="M213" i="41"/>
  <c r="M52" i="41"/>
  <c r="M74" i="41"/>
  <c r="M53" i="41"/>
  <c r="M73" i="41"/>
  <c r="M75" i="41"/>
  <c r="G70" i="41"/>
  <c r="G20" i="74" s="1"/>
  <c r="F70" i="41"/>
  <c r="F20" i="74" s="1"/>
  <c r="K70" i="41"/>
  <c r="G71" i="41"/>
  <c r="G21" i="74" s="1"/>
  <c r="H71" i="41"/>
  <c r="H21" i="74" s="1"/>
  <c r="K71" i="41"/>
  <c r="K21" i="74" s="1"/>
  <c r="H70" i="41"/>
  <c r="H20" i="74" s="1"/>
  <c r="J72" i="41"/>
  <c r="J22" i="74" s="1"/>
  <c r="K72" i="41"/>
  <c r="K22" i="74" s="1"/>
  <c r="F72" i="41"/>
  <c r="F22" i="74" s="1"/>
  <c r="H72" i="41"/>
  <c r="H22" i="74" s="1"/>
  <c r="J70" i="41"/>
  <c r="J20" i="74" s="1"/>
  <c r="I70" i="41"/>
  <c r="I20" i="74" s="1"/>
  <c r="L70" i="41"/>
  <c r="L20" i="74" s="1"/>
  <c r="J71" i="41"/>
  <c r="J21" i="74" s="1"/>
  <c r="L71" i="41"/>
  <c r="L21" i="74" s="1"/>
  <c r="I71" i="41"/>
  <c r="I21" i="74" s="1"/>
  <c r="G72" i="41"/>
  <c r="G22" i="74" s="1"/>
  <c r="L72" i="41"/>
  <c r="L22" i="74" s="1"/>
  <c r="I72" i="41"/>
  <c r="I22" i="74" s="1"/>
  <c r="I73" i="41"/>
  <c r="K73" i="41"/>
  <c r="J74" i="41"/>
  <c r="I75" i="41"/>
  <c r="K75" i="41"/>
  <c r="O70" i="41"/>
  <c r="O71" i="41"/>
  <c r="O72" i="41"/>
  <c r="P70" i="41"/>
  <c r="P72" i="41"/>
  <c r="J73" i="41"/>
  <c r="K74" i="41"/>
  <c r="N70" i="41"/>
  <c r="P71" i="41"/>
  <c r="N72" i="41"/>
  <c r="I74" i="41"/>
  <c r="J75" i="41"/>
  <c r="N71" i="41"/>
  <c r="G53" i="41"/>
  <c r="I53" i="41"/>
  <c r="K53" i="41"/>
  <c r="O53" i="41"/>
  <c r="F53" i="41"/>
  <c r="H52" i="41"/>
  <c r="J52" i="41"/>
  <c r="L52" i="41"/>
  <c r="N52" i="41"/>
  <c r="P52" i="41"/>
  <c r="H53" i="41"/>
  <c r="J53" i="41"/>
  <c r="L53" i="41"/>
  <c r="N53" i="41"/>
  <c r="P53" i="41"/>
  <c r="G52" i="41"/>
  <c r="I52" i="41"/>
  <c r="K52" i="41"/>
  <c r="O52" i="41"/>
  <c r="F52" i="41"/>
  <c r="G30" i="71"/>
  <c r="G29" i="71"/>
  <c r="G31" i="71"/>
  <c r="G26" i="71"/>
  <c r="G25" i="71"/>
  <c r="G27" i="71"/>
  <c r="G34" i="71"/>
  <c r="G33" i="71"/>
  <c r="G35" i="71"/>
  <c r="A6" i="71"/>
  <c r="AC6" i="71"/>
  <c r="A15" i="24"/>
  <c r="I171" i="60"/>
  <c r="K98" i="33"/>
  <c r="C161" i="60"/>
  <c r="C60" i="60"/>
  <c r="C62" i="60" s="1"/>
  <c r="R133" i="60" a="1"/>
  <c r="R133" i="60" s="1"/>
  <c r="AP131" i="60" a="1"/>
  <c r="AP131" i="60" s="1"/>
  <c r="I237" i="41"/>
  <c r="F8" i="60"/>
  <c r="L132" i="60" a="1"/>
  <c r="L132" i="60" s="1"/>
  <c r="I233" i="41"/>
  <c r="E248" i="60"/>
  <c r="AB132" i="60" a="1"/>
  <c r="AB132" i="60" s="1"/>
  <c r="H244" i="60"/>
  <c r="J244" i="60"/>
  <c r="I244" i="60"/>
  <c r="F244" i="60"/>
  <c r="G161" i="60"/>
  <c r="X132" i="60" a="1"/>
  <c r="X132" i="60" s="1"/>
  <c r="D133" i="60" a="1"/>
  <c r="D133" i="60" s="1"/>
  <c r="X131" i="60" a="1"/>
  <c r="X131" i="60" s="1"/>
  <c r="AE132" i="60" a="1"/>
  <c r="AE132" i="60" s="1"/>
  <c r="H234" i="41"/>
  <c r="H232" i="41"/>
  <c r="H231" i="41"/>
  <c r="H233" i="41"/>
  <c r="AD30" i="60"/>
  <c r="D131" i="60" a="1"/>
  <c r="D131" i="60" s="1"/>
  <c r="R131" i="60" a="1"/>
  <c r="R131" i="60" s="1"/>
  <c r="K131" i="60" a="1"/>
  <c r="K131" i="60" s="1"/>
  <c r="BQ67" i="20"/>
  <c r="BQ59" i="20"/>
  <c r="P131" i="60" a="1"/>
  <c r="P131" i="60" s="1"/>
  <c r="P132" i="60" a="1"/>
  <c r="P132" i="60" s="1"/>
  <c r="P133" i="60" a="1"/>
  <c r="P133" i="60" s="1"/>
  <c r="AH131" i="60" a="1"/>
  <c r="AH131" i="60" s="1"/>
  <c r="AH133" i="60" a="1"/>
  <c r="AH133" i="60" s="1"/>
  <c r="F220" i="41"/>
  <c r="AB133" i="60" a="1"/>
  <c r="AB133" i="60" s="1"/>
  <c r="I131" i="60" a="1"/>
  <c r="I131" i="60" s="1"/>
  <c r="I132" i="60" a="1"/>
  <c r="I132" i="60" s="1"/>
  <c r="N133" i="60" a="1"/>
  <c r="N133" i="60" s="1"/>
  <c r="I231" i="41"/>
  <c r="I234" i="41"/>
  <c r="A12" i="24"/>
  <c r="K133" i="60" a="1"/>
  <c r="K133" i="60" s="1"/>
  <c r="E10" i="62"/>
  <c r="E13" i="62" s="1"/>
  <c r="A27" i="24"/>
  <c r="AP132" i="60" a="1"/>
  <c r="AP132" i="60" s="1"/>
  <c r="H237" i="41"/>
  <c r="A26" i="24"/>
  <c r="A24" i="24"/>
  <c r="H236" i="41"/>
  <c r="A16" i="24"/>
  <c r="H235" i="41"/>
  <c r="N131" i="60" a="1"/>
  <c r="N131" i="60" s="1"/>
  <c r="AE133" i="60" a="1"/>
  <c r="AE133" i="60" s="1"/>
  <c r="F36" i="60" a="1"/>
  <c r="F36" i="60" s="1"/>
  <c r="AR131" i="60" a="1"/>
  <c r="AR131" i="60" s="1"/>
  <c r="E161" i="60"/>
  <c r="B110" i="60"/>
  <c r="E170" i="60"/>
  <c r="F238" i="41"/>
  <c r="AO133" i="60" a="1"/>
  <c r="AO133" i="60" s="1"/>
  <c r="AO132" i="60" a="1"/>
  <c r="AO132" i="60" s="1"/>
  <c r="BQ77" i="20"/>
  <c r="E37" i="20"/>
  <c r="F37" i="20" s="1"/>
  <c r="T131" i="60" a="1"/>
  <c r="T131" i="60" s="1"/>
  <c r="J37" i="60" a="1"/>
  <c r="J37" i="60" s="1"/>
  <c r="L36" i="60" a="1"/>
  <c r="L36" i="60" s="1"/>
  <c r="P38" i="60" a="1"/>
  <c r="P38" i="60" s="1"/>
  <c r="T133" i="60" a="1"/>
  <c r="T133" i="60" s="1"/>
  <c r="AL132" i="60" a="1"/>
  <c r="AL132" i="60" s="1"/>
  <c r="AL133" i="60" a="1"/>
  <c r="AL133" i="60" s="1"/>
  <c r="AJ133" i="60" a="1"/>
  <c r="AJ133" i="60" s="1"/>
  <c r="AJ132" i="60" a="1"/>
  <c r="AJ132" i="60" s="1"/>
  <c r="AJ131" i="60" a="1"/>
  <c r="AJ131" i="60" s="1"/>
  <c r="D145" i="60"/>
  <c r="AR132" i="60" a="1"/>
  <c r="AR132" i="60" s="1"/>
  <c r="AR30" i="60"/>
  <c r="H132" i="60" a="1"/>
  <c r="H132" i="60" s="1"/>
  <c r="H133" i="60" a="1"/>
  <c r="H133" i="60" s="1"/>
  <c r="M133" i="60" a="1"/>
  <c r="M133" i="60" s="1"/>
  <c r="M132" i="60" a="1"/>
  <c r="M132" i="60" s="1"/>
  <c r="I232" i="41"/>
  <c r="Z133" i="60" a="1"/>
  <c r="Z133" i="60" s="1"/>
  <c r="Z132" i="60" a="1"/>
  <c r="Z132" i="60" s="1"/>
  <c r="G33" i="60" a="1"/>
  <c r="G33" i="60" s="1"/>
  <c r="Z68" i="20"/>
  <c r="BP42" i="20"/>
  <c r="BQ112" i="20"/>
  <c r="V132" i="60" a="1"/>
  <c r="V132" i="60" s="1"/>
  <c r="V131" i="60" a="1"/>
  <c r="V131" i="60" s="1"/>
  <c r="F64" i="60"/>
  <c r="C107" i="60"/>
  <c r="A117" i="60"/>
  <c r="B109" i="60"/>
  <c r="H220" i="41"/>
  <c r="AF131" i="60" a="1"/>
  <c r="AF131" i="60" s="1"/>
  <c r="AF133" i="60" a="1"/>
  <c r="AF133" i="60" s="1"/>
  <c r="AF132" i="60" a="1"/>
  <c r="AF132" i="60" s="1"/>
  <c r="E9" i="62"/>
  <c r="E12" i="62" s="1"/>
  <c r="C34" i="60" a="1"/>
  <c r="C34" i="60" s="1"/>
  <c r="L38" i="60" a="1"/>
  <c r="L38" i="60" s="1"/>
  <c r="J34" i="60" a="1"/>
  <c r="J34" i="60" s="1"/>
  <c r="D35" i="60" a="1"/>
  <c r="D35" i="60" s="1"/>
  <c r="F38" i="60" a="1"/>
  <c r="F38" i="60" s="1"/>
  <c r="J39" i="60" a="1"/>
  <c r="J39" i="60" s="1"/>
  <c r="K35" i="60" a="1"/>
  <c r="K35" i="60" s="1"/>
  <c r="F35" i="60" a="1"/>
  <c r="F35" i="60" s="1"/>
  <c r="AK133" i="60" a="1"/>
  <c r="AK133" i="60" s="1"/>
  <c r="AK131" i="60" a="1"/>
  <c r="AK131" i="60" s="1"/>
  <c r="AK132" i="60" a="1"/>
  <c r="AK132" i="60" s="1"/>
  <c r="G214" i="60"/>
  <c r="I214" i="60"/>
  <c r="K214" i="60"/>
  <c r="F214" i="60"/>
  <c r="C110" i="60"/>
  <c r="I220" i="41"/>
  <c r="J214" i="60"/>
  <c r="E240" i="41"/>
  <c r="I235" i="41"/>
  <c r="AM131" i="60" a="1"/>
  <c r="AM131" i="60" s="1"/>
  <c r="AM132" i="60" a="1"/>
  <c r="AM132" i="60" s="1"/>
  <c r="I170" i="60"/>
  <c r="H214" i="60"/>
  <c r="L214" i="60"/>
  <c r="AN132" i="60" a="1"/>
  <c r="AN132" i="60" s="1"/>
  <c r="AN133" i="60" a="1"/>
  <c r="AN133" i="60" s="1"/>
  <c r="Q132" i="60" a="1"/>
  <c r="Q132" i="60" s="1"/>
  <c r="Q133" i="60" a="1"/>
  <c r="Q133" i="60" s="1"/>
  <c r="AD131" i="60" a="1"/>
  <c r="AD131" i="60" s="1"/>
  <c r="AD133" i="60" a="1"/>
  <c r="AD133" i="60" s="1"/>
  <c r="J133" i="60" a="1"/>
  <c r="J133" i="60" s="1"/>
  <c r="J132" i="60" a="1"/>
  <c r="J132" i="60" s="1"/>
  <c r="J131" i="60" a="1"/>
  <c r="J131" i="60" s="1"/>
  <c r="W132" i="60" a="1"/>
  <c r="W132" i="60" s="1"/>
  <c r="W133" i="60" a="1"/>
  <c r="W133" i="60" s="1"/>
  <c r="Y132" i="60" a="1"/>
  <c r="Y132" i="60" s="1"/>
  <c r="G171" i="60"/>
  <c r="J62" i="60"/>
  <c r="J36" i="60" a="1"/>
  <c r="J36" i="60" s="1"/>
  <c r="J38" i="60" a="1"/>
  <c r="J38" i="60" s="1"/>
  <c r="Q37" i="60" a="1"/>
  <c r="Q37" i="60" s="1"/>
  <c r="B39" i="60" a="1"/>
  <c r="B39" i="60" s="1"/>
  <c r="P34" i="60" a="1"/>
  <c r="P34" i="60" s="1"/>
  <c r="R38" i="60" a="1"/>
  <c r="R38" i="60" s="1"/>
  <c r="K36" i="60" a="1"/>
  <c r="K36" i="60" s="1"/>
  <c r="F33" i="60" a="1"/>
  <c r="F33" i="60" s="1"/>
  <c r="F39" i="60" a="1"/>
  <c r="F39" i="60" s="1"/>
  <c r="R39" i="60" a="1"/>
  <c r="R39" i="60" s="1"/>
  <c r="G35" i="60" a="1"/>
  <c r="G35" i="60" s="1"/>
  <c r="D37" i="60" a="1"/>
  <c r="D37" i="60" s="1"/>
  <c r="K38" i="60" a="1"/>
  <c r="K38" i="60" s="1"/>
  <c r="D38" i="60" a="1"/>
  <c r="D38" i="60" s="1"/>
  <c r="G34" i="60" a="1"/>
  <c r="G34" i="60" s="1"/>
  <c r="G37" i="60" a="1"/>
  <c r="G37" i="60" s="1"/>
  <c r="Q36" i="60" a="1"/>
  <c r="Q36" i="60" s="1"/>
  <c r="B33" i="60" a="1"/>
  <c r="B33" i="60" s="1"/>
  <c r="Q40" i="60" a="1"/>
  <c r="Q40" i="60" s="1"/>
  <c r="L37" i="60" a="1"/>
  <c r="L37" i="60" s="1"/>
  <c r="H39" i="60" a="1"/>
  <c r="H39" i="60" s="1"/>
  <c r="Q39" i="60" a="1"/>
  <c r="Q39" i="60" s="1"/>
  <c r="C36" i="60" a="1"/>
  <c r="C36" i="60" s="1"/>
  <c r="K33" i="60" a="1"/>
  <c r="K33" i="60" s="1"/>
  <c r="R34" i="60" a="1"/>
  <c r="R34" i="60" s="1"/>
  <c r="B34" i="60" a="1"/>
  <c r="B34" i="60" s="1"/>
  <c r="P35" i="60" a="1"/>
  <c r="P35" i="60" s="1"/>
  <c r="G38" i="60" a="1"/>
  <c r="G38" i="60" s="1"/>
  <c r="R35" i="60" a="1"/>
  <c r="R35" i="60" s="1"/>
  <c r="D34" i="60" a="1"/>
  <c r="D34" i="60" s="1"/>
  <c r="C35" i="60" a="1"/>
  <c r="C35" i="60" s="1"/>
  <c r="D39" i="60" a="1"/>
  <c r="D39" i="60" s="1"/>
  <c r="R40" i="60" a="1"/>
  <c r="R40" i="60" s="1"/>
  <c r="H34" i="60" a="1"/>
  <c r="H34" i="60" s="1"/>
  <c r="L35" i="60" a="1"/>
  <c r="L35" i="60" s="1"/>
  <c r="B38" i="60" a="1"/>
  <c r="B38" i="60" s="1"/>
  <c r="K37" i="60" a="1"/>
  <c r="K37" i="60" s="1"/>
  <c r="P39" i="60" a="1"/>
  <c r="P39" i="60" s="1"/>
  <c r="H36" i="60" a="1"/>
  <c r="H36" i="60" s="1"/>
  <c r="C33" i="60" a="1"/>
  <c r="C33" i="60" s="1"/>
  <c r="L34" i="60" a="1"/>
  <c r="L34" i="60" s="1"/>
  <c r="D33" i="60" a="1"/>
  <c r="D33" i="60" s="1"/>
  <c r="K39" i="60" a="1"/>
  <c r="K39" i="60" s="1"/>
  <c r="Q34" i="60" a="1"/>
  <c r="Q34" i="60" s="1"/>
  <c r="G36" i="60" a="1"/>
  <c r="G36" i="60" s="1"/>
  <c r="P37" i="60" a="1"/>
  <c r="P37" i="60" s="1"/>
  <c r="B35" i="60" a="1"/>
  <c r="B35" i="60" s="1"/>
  <c r="Q38" i="60" a="1"/>
  <c r="Q38" i="60" s="1"/>
  <c r="C37" i="60" a="1"/>
  <c r="C37" i="60" s="1"/>
  <c r="H37" i="60" a="1"/>
  <c r="H37" i="60" s="1"/>
  <c r="C38" i="60" a="1"/>
  <c r="C38" i="60" s="1"/>
  <c r="F34" i="60" a="1"/>
  <c r="F34" i="60" s="1"/>
  <c r="L33" i="60" a="1"/>
  <c r="L33" i="60" s="1"/>
  <c r="L39" i="60" a="1"/>
  <c r="L39" i="60" s="1"/>
  <c r="R37" i="60" a="1"/>
  <c r="R37" i="60" s="1"/>
  <c r="Q35" i="60" a="1"/>
  <c r="Q35" i="60" s="1"/>
  <c r="J35" i="60" a="1"/>
  <c r="J35" i="60" s="1"/>
  <c r="J33" i="60" a="1"/>
  <c r="J33" i="60" s="1"/>
  <c r="B37" i="60" a="1"/>
  <c r="B37" i="60" s="1"/>
  <c r="D36" i="60" a="1"/>
  <c r="D36" i="60" s="1"/>
  <c r="AI131" i="60" a="1"/>
  <c r="AI131" i="60" s="1"/>
  <c r="AI132" i="60" a="1"/>
  <c r="AI132" i="60" s="1"/>
  <c r="AI133" i="60" a="1"/>
  <c r="AI133" i="60" s="1"/>
  <c r="F133" i="60" a="1"/>
  <c r="F133" i="60" s="1"/>
  <c r="F131" i="60" a="1"/>
  <c r="F131" i="60" s="1"/>
  <c r="F132" i="60" a="1"/>
  <c r="F132" i="60" s="1"/>
  <c r="A123" i="60"/>
  <c r="B111" i="60"/>
  <c r="B108" i="60"/>
  <c r="B107" i="60"/>
  <c r="C111" i="60"/>
  <c r="C108" i="60"/>
  <c r="C109" i="60"/>
  <c r="BQ108" i="20"/>
  <c r="U131" i="60" a="1"/>
  <c r="U131" i="60" s="1"/>
  <c r="U133" i="60" a="1"/>
  <c r="U133" i="60" s="1"/>
  <c r="U132" i="60" a="1"/>
  <c r="U132" i="60" s="1"/>
  <c r="F37" i="60" a="1"/>
  <c r="F37" i="60" s="1"/>
  <c r="G39" i="60" a="1"/>
  <c r="G39" i="60" s="1"/>
  <c r="H35" i="60" a="1"/>
  <c r="H35" i="60" s="1"/>
  <c r="H38" i="60" a="1"/>
  <c r="H38" i="60" s="1"/>
  <c r="P36" i="60" a="1"/>
  <c r="P36" i="60" s="1"/>
  <c r="C39" i="60" a="1"/>
  <c r="C39" i="60" s="1"/>
  <c r="H33" i="60" a="1"/>
  <c r="H33" i="60" s="1"/>
  <c r="P40" i="60" a="1"/>
  <c r="P40" i="60" s="1"/>
  <c r="B61" i="60"/>
  <c r="G60" i="60"/>
  <c r="J60" i="60"/>
  <c r="AG132" i="60" a="1"/>
  <c r="AG132" i="60" s="1"/>
  <c r="AG133" i="60" a="1"/>
  <c r="AG133" i="60" s="1"/>
  <c r="AG131" i="60" a="1"/>
  <c r="AG131" i="60" s="1"/>
  <c r="AC132" i="60" a="1"/>
  <c r="AC132" i="60" s="1"/>
  <c r="AC131" i="60" a="1"/>
  <c r="AC131" i="60" s="1"/>
  <c r="Y131" i="60" a="1"/>
  <c r="Y131" i="60" s="1"/>
  <c r="S132" i="60" a="1"/>
  <c r="S132" i="60" s="1"/>
  <c r="S133" i="60" a="1"/>
  <c r="S133" i="60" s="1"/>
  <c r="C133" i="60" a="1"/>
  <c r="C133" i="60" s="1"/>
  <c r="C131" i="60" a="1"/>
  <c r="C131" i="60" s="1"/>
  <c r="C132" i="60" a="1"/>
  <c r="C132" i="60" s="1"/>
  <c r="O131" i="60" a="1"/>
  <c r="O131" i="60" s="1"/>
  <c r="O132" i="60" a="1"/>
  <c r="O132" i="60" s="1"/>
  <c r="AA133" i="60" a="1"/>
  <c r="AA133" i="60" s="1"/>
  <c r="AA132" i="60" a="1"/>
  <c r="AA132" i="60" s="1"/>
  <c r="B36" i="60" a="1"/>
  <c r="B36" i="60" s="1"/>
  <c r="R36" i="60" a="1"/>
  <c r="R36" i="60" s="1"/>
  <c r="K34" i="60" a="1"/>
  <c r="K34" i="60" s="1"/>
  <c r="AQ131" i="60" a="1"/>
  <c r="AQ131" i="60" s="1"/>
  <c r="AQ133" i="60" a="1"/>
  <c r="AQ133" i="60" s="1"/>
  <c r="E132" i="60" a="1"/>
  <c r="E132" i="60" s="1"/>
  <c r="E131" i="60" a="1"/>
  <c r="E131" i="60" s="1"/>
  <c r="E133" i="60" a="1"/>
  <c r="E133" i="60" s="1"/>
  <c r="V133" i="60" a="1"/>
  <c r="V133" i="60" s="1"/>
  <c r="Z131" i="60" a="1"/>
  <c r="Z131" i="60" s="1"/>
  <c r="I161" i="60"/>
  <c r="G133" i="60" a="1"/>
  <c r="G133" i="60" s="1"/>
  <c r="G132" i="60" a="1"/>
  <c r="G132" i="60" s="1"/>
  <c r="G170" i="60"/>
  <c r="E171" i="60"/>
  <c r="L131" i="60" a="1"/>
  <c r="L131" i="60" s="1"/>
  <c r="F229" i="41"/>
  <c r="AK68" i="20"/>
  <c r="AI68" i="20"/>
  <c r="AG68" i="20"/>
  <c r="X68" i="20"/>
  <c r="AB68" i="20"/>
  <c r="F10" i="84" l="1"/>
  <c r="E10" i="84"/>
  <c r="G10" i="84"/>
  <c r="C27" i="24"/>
  <c r="B22" i="84" s="1"/>
  <c r="C16" i="24"/>
  <c r="B11" i="84" s="1"/>
  <c r="C12" i="24"/>
  <c r="B7" i="84" s="1"/>
  <c r="C24" i="24"/>
  <c r="B19" i="84" s="1"/>
  <c r="C26" i="24"/>
  <c r="B21" i="84" s="1"/>
  <c r="C15" i="24"/>
  <c r="B10" i="84" s="1"/>
  <c r="K32" i="33"/>
  <c r="K33" i="33"/>
  <c r="D15" i="24"/>
  <c r="C10" i="84" s="1"/>
  <c r="K18" i="33"/>
  <c r="K173" i="33" s="1"/>
  <c r="D16" i="24"/>
  <c r="C11" i="84" s="1"/>
  <c r="A35" i="24"/>
  <c r="C35" i="24" s="1"/>
  <c r="D27" i="24"/>
  <c r="C22" i="84" s="1"/>
  <c r="A13" i="24"/>
  <c r="K26" i="33"/>
  <c r="L152" i="33"/>
  <c r="I152" i="33" s="1"/>
  <c r="E11" i="62"/>
  <c r="M66" i="41"/>
  <c r="M63" i="41"/>
  <c r="M64" i="41"/>
  <c r="M65" i="41"/>
  <c r="P54" i="74"/>
  <c r="P69" i="74"/>
  <c r="P53" i="74"/>
  <c r="P68" i="74"/>
  <c r="P52" i="74"/>
  <c r="P67" i="74"/>
  <c r="O69" i="74"/>
  <c r="O54" i="74"/>
  <c r="O67" i="74"/>
  <c r="O52" i="74"/>
  <c r="I67" i="74"/>
  <c r="I52" i="74"/>
  <c r="L52" i="74"/>
  <c r="L67" i="74"/>
  <c r="M67" i="74"/>
  <c r="M52" i="74"/>
  <c r="G69" i="74"/>
  <c r="G54" i="74"/>
  <c r="M69" i="74"/>
  <c r="M54" i="74"/>
  <c r="G68" i="74"/>
  <c r="G53" i="74"/>
  <c r="J53" i="74"/>
  <c r="J68" i="74"/>
  <c r="S22" i="74"/>
  <c r="F67" i="74"/>
  <c r="J52" i="74"/>
  <c r="J67" i="74"/>
  <c r="K69" i="74"/>
  <c r="K54" i="74"/>
  <c r="I69" i="74"/>
  <c r="I54" i="74"/>
  <c r="K68" i="74"/>
  <c r="K53" i="74"/>
  <c r="K20" i="74"/>
  <c r="H23" i="74" s="1"/>
  <c r="N54" i="74"/>
  <c r="N69" i="74"/>
  <c r="N53" i="74"/>
  <c r="N68" i="74"/>
  <c r="N52" i="74"/>
  <c r="N67" i="74"/>
  <c r="O68" i="74"/>
  <c r="O53" i="74"/>
  <c r="L53" i="74"/>
  <c r="L68" i="74"/>
  <c r="K67" i="74"/>
  <c r="K52" i="74"/>
  <c r="L54" i="74"/>
  <c r="L69" i="74"/>
  <c r="H54" i="74"/>
  <c r="H69" i="74"/>
  <c r="H53" i="74"/>
  <c r="H68" i="74"/>
  <c r="I68" i="74"/>
  <c r="I53" i="74"/>
  <c r="S21" i="74"/>
  <c r="G67" i="74"/>
  <c r="G52" i="74"/>
  <c r="H52" i="74"/>
  <c r="H67" i="74"/>
  <c r="J54" i="74"/>
  <c r="J69" i="74"/>
  <c r="M68" i="74"/>
  <c r="M53" i="74"/>
  <c r="Q78" i="41"/>
  <c r="Q77" i="41"/>
  <c r="Q76" i="41"/>
  <c r="Q72" i="41"/>
  <c r="Q71" i="41"/>
  <c r="Q70" i="41"/>
  <c r="O63" i="41"/>
  <c r="P66" i="41"/>
  <c r="N65" i="41"/>
  <c r="P64" i="41"/>
  <c r="K63" i="41"/>
  <c r="G63" i="41"/>
  <c r="L66" i="41"/>
  <c r="H66" i="41"/>
  <c r="J65" i="41"/>
  <c r="L64" i="41"/>
  <c r="H64" i="41"/>
  <c r="N63" i="41"/>
  <c r="J63" i="41"/>
  <c r="F64" i="41"/>
  <c r="O66" i="41"/>
  <c r="K66" i="41"/>
  <c r="G66" i="41"/>
  <c r="I65" i="41"/>
  <c r="O64" i="41"/>
  <c r="K64" i="41"/>
  <c r="G64" i="41"/>
  <c r="F63" i="41"/>
  <c r="I63" i="41"/>
  <c r="F66" i="41"/>
  <c r="N66" i="41"/>
  <c r="J66" i="41"/>
  <c r="P65" i="41"/>
  <c r="L65" i="41"/>
  <c r="H65" i="41"/>
  <c r="N64" i="41"/>
  <c r="J64" i="41"/>
  <c r="P63" i="41"/>
  <c r="L63" i="41"/>
  <c r="H63" i="41"/>
  <c r="F65" i="41"/>
  <c r="I66" i="41"/>
  <c r="O65" i="41"/>
  <c r="K65" i="41"/>
  <c r="G65" i="41"/>
  <c r="I64" i="41"/>
  <c r="J233" i="41"/>
  <c r="H75" i="41" s="1"/>
  <c r="H39" i="74" s="1"/>
  <c r="C47" i="41"/>
  <c r="J226" i="41"/>
  <c r="L74" i="41" s="1"/>
  <c r="L38" i="74" s="1"/>
  <c r="Y25" i="71"/>
  <c r="V25" i="71"/>
  <c r="W25" i="71"/>
  <c r="X25" i="71"/>
  <c r="R134" i="60"/>
  <c r="X134" i="60"/>
  <c r="A33" i="24"/>
  <c r="AP134" i="60"/>
  <c r="P134" i="60"/>
  <c r="AB134" i="60"/>
  <c r="D109" i="60"/>
  <c r="D69" i="60" s="1"/>
  <c r="AE134" i="60"/>
  <c r="A23" i="24"/>
  <c r="AO134" i="60"/>
  <c r="D134" i="60"/>
  <c r="AH134" i="60"/>
  <c r="H238" i="41"/>
  <c r="K134" i="60"/>
  <c r="AR134" i="60"/>
  <c r="J231" i="41"/>
  <c r="F75" i="41" s="1"/>
  <c r="F39" i="74" s="1"/>
  <c r="AJ134" i="60"/>
  <c r="H134" i="60"/>
  <c r="D147" i="60"/>
  <c r="J218" i="41"/>
  <c r="O73" i="41" s="1"/>
  <c r="O37" i="74" s="1"/>
  <c r="A21" i="24"/>
  <c r="T134" i="60"/>
  <c r="D24" i="24"/>
  <c r="C19" i="84" s="1"/>
  <c r="AG134" i="60"/>
  <c r="G37" i="20"/>
  <c r="Q44" i="60"/>
  <c r="I134" i="60"/>
  <c r="A34" i="24"/>
  <c r="J215" i="41"/>
  <c r="H73" i="41" s="1"/>
  <c r="H37" i="74" s="1"/>
  <c r="J214" i="41"/>
  <c r="G73" i="41" s="1"/>
  <c r="G37" i="74" s="1"/>
  <c r="A28" i="24"/>
  <c r="A19" i="24"/>
  <c r="AL134" i="60"/>
  <c r="J216" i="41"/>
  <c r="N73" i="41" s="1"/>
  <c r="N37" i="74" s="1"/>
  <c r="A30" i="24"/>
  <c r="A20" i="24"/>
  <c r="A10" i="24"/>
  <c r="C10" i="24" s="1"/>
  <c r="M170" i="60"/>
  <c r="B170" i="60" s="1"/>
  <c r="C170" i="60" s="1"/>
  <c r="A6" i="24"/>
  <c r="C6" i="24" s="1"/>
  <c r="A9" i="24"/>
  <c r="C9" i="24" s="1"/>
  <c r="H44" i="60"/>
  <c r="A11" i="24"/>
  <c r="C11" i="24" s="1"/>
  <c r="A25" i="24"/>
  <c r="D26" i="24"/>
  <c r="C21" i="84" s="1"/>
  <c r="D107" i="60"/>
  <c r="B67" i="60" s="1"/>
  <c r="A8" i="24"/>
  <c r="C8" i="24" s="1"/>
  <c r="J237" i="41"/>
  <c r="P75" i="41" s="1"/>
  <c r="D12" i="24"/>
  <c r="C7" i="84" s="1"/>
  <c r="J219" i="41"/>
  <c r="P73" i="41" s="1"/>
  <c r="A14" i="24"/>
  <c r="J232" i="41"/>
  <c r="G75" i="41" s="1"/>
  <c r="G39" i="74" s="1"/>
  <c r="A17" i="24"/>
  <c r="J235" i="41"/>
  <c r="L75" i="41" s="1"/>
  <c r="L39" i="74" s="1"/>
  <c r="N134" i="60"/>
  <c r="J217" i="41"/>
  <c r="L73" i="41" s="1"/>
  <c r="L37" i="74" s="1"/>
  <c r="D110" i="60"/>
  <c r="C70" i="60" s="1"/>
  <c r="A31" i="24"/>
  <c r="A29" i="24"/>
  <c r="A22" i="24"/>
  <c r="E146" i="60"/>
  <c r="Q134" i="60"/>
  <c r="J234" i="41"/>
  <c r="N75" i="41" s="1"/>
  <c r="N39" i="74" s="1"/>
  <c r="J236" i="41"/>
  <c r="O75" i="41" s="1"/>
  <c r="O39" i="74" s="1"/>
  <c r="P47" i="60"/>
  <c r="J213" i="41"/>
  <c r="F73" i="41" s="1"/>
  <c r="F37" i="74" s="1"/>
  <c r="Z134" i="60"/>
  <c r="V134" i="60"/>
  <c r="E147" i="60"/>
  <c r="AN134" i="60"/>
  <c r="M134" i="60"/>
  <c r="W134" i="60"/>
  <c r="I238" i="41"/>
  <c r="R44" i="60"/>
  <c r="Q45" i="60"/>
  <c r="AD134" i="60"/>
  <c r="L44" i="60"/>
  <c r="G44" i="60"/>
  <c r="R45" i="60"/>
  <c r="D108" i="60"/>
  <c r="C68" i="60" s="1"/>
  <c r="R48" i="60"/>
  <c r="AM134" i="60"/>
  <c r="J64" i="60"/>
  <c r="K64" i="60" s="1"/>
  <c r="L64" i="60" s="1"/>
  <c r="G64" i="60"/>
  <c r="H64" i="60" s="1"/>
  <c r="R47" i="60"/>
  <c r="AK134" i="60"/>
  <c r="AF134" i="60"/>
  <c r="H48" i="60"/>
  <c r="Y134" i="60"/>
  <c r="K46" i="60"/>
  <c r="AI134" i="60"/>
  <c r="C49" i="60"/>
  <c r="J134" i="60"/>
  <c r="C255" i="60"/>
  <c r="F255" i="60" s="1"/>
  <c r="C254" i="60"/>
  <c r="F254" i="60" s="1"/>
  <c r="Q47" i="60"/>
  <c r="Q48" i="60"/>
  <c r="AQ134" i="60"/>
  <c r="D50" i="60"/>
  <c r="C146" i="60"/>
  <c r="J47" i="60"/>
  <c r="B44" i="60"/>
  <c r="J50" i="60"/>
  <c r="L48" i="60"/>
  <c r="G48" i="60"/>
  <c r="F50" i="60"/>
  <c r="J46" i="60"/>
  <c r="H47" i="60"/>
  <c r="G49" i="60"/>
  <c r="F48" i="60"/>
  <c r="L134" i="60"/>
  <c r="E145" i="60"/>
  <c r="C253" i="60"/>
  <c r="F253" i="60" s="1"/>
  <c r="B49" i="60"/>
  <c r="AC134" i="60"/>
  <c r="Q43" i="60"/>
  <c r="Q41" i="60"/>
  <c r="L50" i="60"/>
  <c r="F46" i="60"/>
  <c r="E6" i="62"/>
  <c r="K47" i="60"/>
  <c r="O134" i="60"/>
  <c r="P46" i="60"/>
  <c r="J48" i="60"/>
  <c r="R46" i="60"/>
  <c r="C48" i="60"/>
  <c r="K49" i="60"/>
  <c r="B50" i="60"/>
  <c r="D47" i="60"/>
  <c r="G50" i="60"/>
  <c r="D111" i="60"/>
  <c r="F134" i="60"/>
  <c r="C44" i="60"/>
  <c r="H49" i="60"/>
  <c r="P44" i="60"/>
  <c r="G47" i="60"/>
  <c r="Q46" i="60"/>
  <c r="L49" i="60"/>
  <c r="D49" i="60"/>
  <c r="B63" i="60"/>
  <c r="F61" i="60"/>
  <c r="U134" i="60"/>
  <c r="B46" i="60"/>
  <c r="O39" i="60"/>
  <c r="L46" i="60"/>
  <c r="H46" i="60"/>
  <c r="F47" i="60"/>
  <c r="M171" i="60"/>
  <c r="B171" i="60" s="1"/>
  <c r="J223" i="41"/>
  <c r="G74" i="41" s="1"/>
  <c r="G38" i="74" s="1"/>
  <c r="J225" i="41"/>
  <c r="N74" i="41" s="1"/>
  <c r="N38" i="74" s="1"/>
  <c r="J222" i="41"/>
  <c r="F74" i="41" s="1"/>
  <c r="F38" i="74" s="1"/>
  <c r="J229" i="41"/>
  <c r="J224" i="41"/>
  <c r="H74" i="41" s="1"/>
  <c r="H38" i="74" s="1"/>
  <c r="J228" i="41"/>
  <c r="P74" i="41" s="1"/>
  <c r="B159" i="60"/>
  <c r="J227" i="41"/>
  <c r="O74" i="41" s="1"/>
  <c r="O38" i="74" s="1"/>
  <c r="G8" i="41"/>
  <c r="G3" i="41" s="1"/>
  <c r="B158" i="60"/>
  <c r="B160" i="60"/>
  <c r="L238" i="41"/>
  <c r="L230" i="41"/>
  <c r="B162" i="60"/>
  <c r="L220" i="41"/>
  <c r="G134" i="60"/>
  <c r="D146" i="60"/>
  <c r="E134" i="60"/>
  <c r="P45" i="60"/>
  <c r="H50" i="60"/>
  <c r="P48" i="60"/>
  <c r="B47" i="60"/>
  <c r="D44" i="60"/>
  <c r="J44" i="60"/>
  <c r="F49" i="60"/>
  <c r="F44" i="60"/>
  <c r="H60" i="60"/>
  <c r="B48" i="60"/>
  <c r="D46" i="60"/>
  <c r="D48" i="60"/>
  <c r="L47" i="60"/>
  <c r="P43" i="60"/>
  <c r="P41" i="60"/>
  <c r="C134" i="60"/>
  <c r="C145" i="60"/>
  <c r="C46" i="60"/>
  <c r="C47" i="60"/>
  <c r="K48" i="60"/>
  <c r="G46" i="60"/>
  <c r="C147" i="60"/>
  <c r="AA134" i="60"/>
  <c r="S134" i="60"/>
  <c r="K60" i="60"/>
  <c r="C50" i="60"/>
  <c r="K50" i="60"/>
  <c r="R43" i="60"/>
  <c r="R41" i="60"/>
  <c r="K44" i="60"/>
  <c r="J49" i="60"/>
  <c r="K62" i="60"/>
  <c r="C21" i="24" l="1"/>
  <c r="B16" i="84" s="1"/>
  <c r="E11" i="84"/>
  <c r="F11" i="84"/>
  <c r="G11" i="84"/>
  <c r="F8" i="84"/>
  <c r="G8" i="84"/>
  <c r="E8" i="84"/>
  <c r="C25" i="24"/>
  <c r="B20" i="84" s="1"/>
  <c r="C30" i="24"/>
  <c r="A25" i="84"/>
  <c r="G21" i="84"/>
  <c r="F21" i="84"/>
  <c r="E21" i="84"/>
  <c r="G22" i="84"/>
  <c r="E22" i="84"/>
  <c r="F22" i="84"/>
  <c r="C29" i="24"/>
  <c r="A24" i="84"/>
  <c r="C14" i="24"/>
  <c r="B9" i="84" s="1"/>
  <c r="C22" i="24"/>
  <c r="B17" i="84" s="1"/>
  <c r="C31" i="24"/>
  <c r="A26" i="84"/>
  <c r="C23" i="24"/>
  <c r="B18" i="84" s="1"/>
  <c r="E19" i="84"/>
  <c r="F19" i="84"/>
  <c r="G19" i="84"/>
  <c r="C17" i="24"/>
  <c r="B12" i="84" s="1"/>
  <c r="C20" i="24"/>
  <c r="B15" i="84" s="1"/>
  <c r="C19" i="24"/>
  <c r="B14" i="84" s="1"/>
  <c r="C28" i="24"/>
  <c r="B23" i="84" s="1"/>
  <c r="E7" i="84"/>
  <c r="F7" i="84"/>
  <c r="G7" i="84"/>
  <c r="C13" i="24"/>
  <c r="B8" i="84" s="1"/>
  <c r="Q63" i="41"/>
  <c r="Q66" i="41"/>
  <c r="Q64" i="41"/>
  <c r="Q65" i="41"/>
  <c r="K50" i="33"/>
  <c r="J13" i="20"/>
  <c r="E39" i="20"/>
  <c r="BM39" i="20" s="1"/>
  <c r="BN39" i="20"/>
  <c r="P39" i="20" s="1"/>
  <c r="K43" i="33"/>
  <c r="E35" i="24"/>
  <c r="D35" i="24"/>
  <c r="D13" i="24"/>
  <c r="C8" i="84" s="1"/>
  <c r="D9" i="24"/>
  <c r="C34" i="24"/>
  <c r="I40" i="74"/>
  <c r="I43" i="74" s="1"/>
  <c r="K44" i="33"/>
  <c r="K174" i="33"/>
  <c r="D3" i="41"/>
  <c r="D4" i="41"/>
  <c r="D5" i="41"/>
  <c r="J53" i="71"/>
  <c r="J33" i="71"/>
  <c r="K34" i="33"/>
  <c r="B168" i="60"/>
  <c r="BO39" i="20"/>
  <c r="BQ39" i="20"/>
  <c r="BP39" i="20"/>
  <c r="L159" i="33"/>
  <c r="J49" i="71"/>
  <c r="J45" i="71"/>
  <c r="J25" i="71"/>
  <c r="J29" i="71"/>
  <c r="K42" i="33"/>
  <c r="H34" i="62"/>
  <c r="H33" i="62"/>
  <c r="H31" i="62"/>
  <c r="H32" i="62"/>
  <c r="G6" i="41"/>
  <c r="M40" i="74"/>
  <c r="M42" i="74" s="1"/>
  <c r="J40" i="74"/>
  <c r="J42" i="74" s="1"/>
  <c r="S20" i="74"/>
  <c r="M23" i="74"/>
  <c r="M25" i="74" s="1"/>
  <c r="S69" i="74"/>
  <c r="H24" i="74"/>
  <c r="H25" i="74"/>
  <c r="H26" i="74"/>
  <c r="K40" i="74"/>
  <c r="K43" i="74" s="1"/>
  <c r="F23" i="74"/>
  <c r="P40" i="74"/>
  <c r="P42" i="74" s="1"/>
  <c r="I23" i="74"/>
  <c r="I26" i="74" s="1"/>
  <c r="N70" i="74"/>
  <c r="G23" i="74"/>
  <c r="G26" i="74" s="1"/>
  <c r="S38" i="74"/>
  <c r="F41" i="74"/>
  <c r="F40" i="74"/>
  <c r="F42" i="74" s="1"/>
  <c r="S37" i="74"/>
  <c r="N41" i="74"/>
  <c r="N40" i="74"/>
  <c r="N42" i="74" s="1"/>
  <c r="G41" i="74"/>
  <c r="G40" i="74"/>
  <c r="G42" i="74" s="1"/>
  <c r="F70" i="74"/>
  <c r="F71" i="74" s="1"/>
  <c r="H70" i="74"/>
  <c r="H71" i="74" s="1"/>
  <c r="G55" i="74"/>
  <c r="G56" i="74" s="1"/>
  <c r="K70" i="74"/>
  <c r="K71" i="74" s="1"/>
  <c r="K23" i="74"/>
  <c r="K24" i="74" s="1"/>
  <c r="J55" i="74"/>
  <c r="J56" i="74" s="1"/>
  <c r="J23" i="74"/>
  <c r="L23" i="74"/>
  <c r="M70" i="74"/>
  <c r="M73" i="74" s="1"/>
  <c r="L55" i="74"/>
  <c r="L56" i="74" s="1"/>
  <c r="I70" i="74"/>
  <c r="I71" i="74" s="1"/>
  <c r="P70" i="74"/>
  <c r="L41" i="74"/>
  <c r="L40" i="74"/>
  <c r="L43" i="74" s="1"/>
  <c r="H41" i="74"/>
  <c r="H40" i="74"/>
  <c r="H42" i="74" s="1"/>
  <c r="O41" i="74"/>
  <c r="O40" i="74"/>
  <c r="O43" i="74" s="1"/>
  <c r="S39" i="74"/>
  <c r="H55" i="74"/>
  <c r="H56" i="74" s="1"/>
  <c r="G70" i="74"/>
  <c r="G72" i="74" s="1"/>
  <c r="S68" i="74"/>
  <c r="K55" i="74"/>
  <c r="K57" i="74" s="1"/>
  <c r="J70" i="74"/>
  <c r="J73" i="74" s="1"/>
  <c r="S67" i="74"/>
  <c r="M55" i="74"/>
  <c r="M57" i="74" s="1"/>
  <c r="L70" i="74"/>
  <c r="L73" i="74" s="1"/>
  <c r="I55" i="74"/>
  <c r="I57" i="74" s="1"/>
  <c r="O70" i="74"/>
  <c r="Q73" i="41"/>
  <c r="Q74" i="41"/>
  <c r="Q75" i="41"/>
  <c r="G5" i="41"/>
  <c r="G4" i="41"/>
  <c r="E33" i="24"/>
  <c r="D33" i="24"/>
  <c r="G69" i="60"/>
  <c r="B69" i="60"/>
  <c r="C33" i="24"/>
  <c r="B68" i="60"/>
  <c r="D23" i="24"/>
  <c r="C18" i="84" s="1"/>
  <c r="F69" i="60"/>
  <c r="D148" i="60"/>
  <c r="D149" i="60" s="1"/>
  <c r="E31" i="24"/>
  <c r="J67" i="60"/>
  <c r="D22" i="24"/>
  <c r="C17" i="84" s="1"/>
  <c r="J69" i="60"/>
  <c r="C69" i="60"/>
  <c r="F67" i="60"/>
  <c r="H69" i="60"/>
  <c r="D28" i="24"/>
  <c r="C23" i="84" s="1"/>
  <c r="D31" i="24"/>
  <c r="J238" i="41"/>
  <c r="H37" i="20"/>
  <c r="D20" i="24"/>
  <c r="C15" i="84" s="1"/>
  <c r="D19" i="24"/>
  <c r="C14" i="84" s="1"/>
  <c r="D8" i="24"/>
  <c r="D68" i="60"/>
  <c r="D6" i="24"/>
  <c r="D21" i="24"/>
  <c r="C16" i="84" s="1"/>
  <c r="E29" i="24"/>
  <c r="D10" i="24"/>
  <c r="J220" i="41"/>
  <c r="D70" i="60"/>
  <c r="D17" i="24"/>
  <c r="C12" i="84" s="1"/>
  <c r="D14" i="24"/>
  <c r="C9" i="84" s="1"/>
  <c r="D25" i="24"/>
  <c r="C20" i="84" s="1"/>
  <c r="D29" i="24"/>
  <c r="D30" i="24"/>
  <c r="E30" i="24"/>
  <c r="C67" i="60"/>
  <c r="D34" i="24"/>
  <c r="E34" i="24"/>
  <c r="E148" i="60"/>
  <c r="E149" i="60" s="1"/>
  <c r="D67" i="60"/>
  <c r="G67" i="60"/>
  <c r="D11" i="24"/>
  <c r="H67" i="60"/>
  <c r="C148" i="60"/>
  <c r="C149" i="60" s="1"/>
  <c r="B167" i="60"/>
  <c r="B174" i="60" s="1"/>
  <c r="F63" i="60"/>
  <c r="B70" i="60"/>
  <c r="C71" i="60"/>
  <c r="B71" i="60"/>
  <c r="D71" i="60"/>
  <c r="H71" i="60"/>
  <c r="G71" i="60"/>
  <c r="K71" i="60"/>
  <c r="F71" i="60"/>
  <c r="J71" i="60"/>
  <c r="L71" i="60"/>
  <c r="E8" i="62"/>
  <c r="E7" i="62"/>
  <c r="C171" i="60"/>
  <c r="J61" i="60"/>
  <c r="G61" i="60"/>
  <c r="F68" i="60"/>
  <c r="K69" i="60"/>
  <c r="L62" i="60"/>
  <c r="L69" i="60" s="1"/>
  <c r="L60" i="60"/>
  <c r="L67" i="60" s="1"/>
  <c r="K67" i="60"/>
  <c r="B166" i="60"/>
  <c r="B173" i="60" s="1"/>
  <c r="C162" i="60"/>
  <c r="C168" i="60" s="1"/>
  <c r="N46" i="60"/>
  <c r="G17" i="84" l="1"/>
  <c r="F17" i="84"/>
  <c r="E17" i="84"/>
  <c r="E23" i="84"/>
  <c r="F23" i="84"/>
  <c r="G23" i="84"/>
  <c r="E9" i="84"/>
  <c r="F9" i="84"/>
  <c r="G9" i="84"/>
  <c r="E14" i="84"/>
  <c r="F14" i="84"/>
  <c r="G14" i="84"/>
  <c r="G18" i="84"/>
  <c r="F18" i="84"/>
  <c r="E18" i="84"/>
  <c r="E15" i="84"/>
  <c r="G15" i="84"/>
  <c r="F15" i="84"/>
  <c r="F20" i="84"/>
  <c r="G20" i="84"/>
  <c r="E20" i="84"/>
  <c r="F16" i="84"/>
  <c r="G16" i="84"/>
  <c r="E16" i="84"/>
  <c r="F12" i="84"/>
  <c r="G12" i="84"/>
  <c r="E12" i="84"/>
  <c r="H73" i="74"/>
  <c r="I42" i="74"/>
  <c r="K42" i="74"/>
  <c r="K38" i="33"/>
  <c r="C13" i="20" s="1"/>
  <c r="K175" i="33"/>
  <c r="K176" i="33" s="1"/>
  <c r="J43" i="74"/>
  <c r="N43" i="74"/>
  <c r="G7" i="41"/>
  <c r="K45" i="33"/>
  <c r="I25" i="74"/>
  <c r="M26" i="74"/>
  <c r="M24" i="74"/>
  <c r="I24" i="74"/>
  <c r="G24" i="74"/>
  <c r="G25" i="74"/>
  <c r="L57" i="74"/>
  <c r="M43" i="74"/>
  <c r="M82" i="41"/>
  <c r="K73" i="74"/>
  <c r="H57" i="74"/>
  <c r="J58" i="74"/>
  <c r="K72" i="74"/>
  <c r="L58" i="74"/>
  <c r="F43" i="74"/>
  <c r="G57" i="74"/>
  <c r="I72" i="74"/>
  <c r="P43" i="74"/>
  <c r="G58" i="74"/>
  <c r="I73" i="74"/>
  <c r="M72" i="74"/>
  <c r="J57" i="74"/>
  <c r="I56" i="74"/>
  <c r="L71" i="74"/>
  <c r="M56" i="74"/>
  <c r="K56" i="74"/>
  <c r="M71" i="74"/>
  <c r="F26" i="74"/>
  <c r="F25" i="74"/>
  <c r="F24" i="74"/>
  <c r="M58" i="74"/>
  <c r="J72" i="74"/>
  <c r="J71" i="74"/>
  <c r="H58" i="74"/>
  <c r="G71" i="74"/>
  <c r="L42" i="74"/>
  <c r="J24" i="74"/>
  <c r="J26" i="74"/>
  <c r="J25" i="74"/>
  <c r="I58" i="74"/>
  <c r="L72" i="74"/>
  <c r="H72" i="74"/>
  <c r="F72" i="74"/>
  <c r="F73" i="74"/>
  <c r="H43" i="74"/>
  <c r="S41" i="74"/>
  <c r="H44" i="74" s="1"/>
  <c r="O42" i="74"/>
  <c r="G73" i="74"/>
  <c r="L26" i="74"/>
  <c r="L25" i="74"/>
  <c r="L24" i="74"/>
  <c r="K58" i="74"/>
  <c r="K25" i="74"/>
  <c r="K26" i="74"/>
  <c r="G43" i="74"/>
  <c r="J82" i="41"/>
  <c r="H82" i="41"/>
  <c r="O82" i="41"/>
  <c r="F82" i="41"/>
  <c r="K82" i="41"/>
  <c r="N82" i="41"/>
  <c r="G82" i="41"/>
  <c r="L82" i="41"/>
  <c r="I82" i="41"/>
  <c r="I37" i="20"/>
  <c r="K61" i="60"/>
  <c r="J68" i="60"/>
  <c r="G63" i="60"/>
  <c r="F70" i="60"/>
  <c r="J63" i="60"/>
  <c r="H61" i="60"/>
  <c r="H68" i="60" s="1"/>
  <c r="G68" i="60"/>
  <c r="D162" i="60"/>
  <c r="D168" i="60" s="1"/>
  <c r="C167" i="60"/>
  <c r="C174" i="60" s="1"/>
  <c r="C166" i="60"/>
  <c r="C173" i="60" s="1"/>
  <c r="E212" i="60" s="1"/>
  <c r="G10" i="41" l="1"/>
  <c r="S24" i="74"/>
  <c r="F27" i="74" s="1"/>
  <c r="S25" i="74"/>
  <c r="M28" i="74" s="1"/>
  <c r="S71" i="74"/>
  <c r="H74" i="74" s="1"/>
  <c r="F44" i="74"/>
  <c r="N44" i="74"/>
  <c r="S73" i="74"/>
  <c r="F76" i="74" s="1"/>
  <c r="S26" i="74"/>
  <c r="L29" i="74" s="1"/>
  <c r="P44" i="74"/>
  <c r="K44" i="74"/>
  <c r="M44" i="74"/>
  <c r="I44" i="74"/>
  <c r="J44" i="74"/>
  <c r="G44" i="74"/>
  <c r="S43" i="74"/>
  <c r="G46" i="74" s="1"/>
  <c r="S72" i="74"/>
  <c r="H75" i="74" s="1"/>
  <c r="L44" i="74"/>
  <c r="O44" i="74"/>
  <c r="S42" i="74"/>
  <c r="AQ31" i="71"/>
  <c r="AR31" i="71"/>
  <c r="AP31" i="71"/>
  <c r="AO31" i="71"/>
  <c r="AM30" i="71"/>
  <c r="AM31" i="71"/>
  <c r="AP30" i="71"/>
  <c r="AO30" i="71"/>
  <c r="AQ30" i="71"/>
  <c r="AR30" i="71"/>
  <c r="AH27" i="71"/>
  <c r="AE27" i="71"/>
  <c r="AE26" i="71"/>
  <c r="AJ27" i="71"/>
  <c r="AH26" i="71"/>
  <c r="AJ26" i="71"/>
  <c r="H63" i="60"/>
  <c r="H70" i="60" s="1"/>
  <c r="G70" i="60"/>
  <c r="E162" i="60"/>
  <c r="E168" i="60" s="1"/>
  <c r="D167" i="60"/>
  <c r="D174" i="60" s="1"/>
  <c r="D166" i="60"/>
  <c r="D173" i="60" s="1"/>
  <c r="K63" i="60"/>
  <c r="J70" i="60"/>
  <c r="B77" i="60" s="1"/>
  <c r="L61" i="60"/>
  <c r="L68" i="60" s="1"/>
  <c r="D76" i="60" s="1"/>
  <c r="K68" i="60"/>
  <c r="C76" i="60" s="1"/>
  <c r="Q47" i="20" l="1"/>
  <c r="N22" i="83"/>
  <c r="BO140" i="20" s="1"/>
  <c r="O22" i="83"/>
  <c r="M22" i="83"/>
  <c r="BN140" i="20" s="1"/>
  <c r="O9" i="83"/>
  <c r="M9" i="83"/>
  <c r="BN71" i="20" s="1"/>
  <c r="N9" i="83"/>
  <c r="BO71" i="20" s="1"/>
  <c r="O21" i="83"/>
  <c r="N21" i="83"/>
  <c r="BO143" i="20" s="1"/>
  <c r="M21" i="83"/>
  <c r="BN143" i="20" s="1"/>
  <c r="N16" i="83"/>
  <c r="BO107" i="20" s="1"/>
  <c r="O16" i="83"/>
  <c r="M16" i="83"/>
  <c r="BN107" i="20" s="1"/>
  <c r="M17" i="83"/>
  <c r="BN87" i="20" s="1"/>
  <c r="N17" i="83"/>
  <c r="BO87" i="20" s="1"/>
  <c r="O17" i="83"/>
  <c r="O15" i="83"/>
  <c r="M15" i="83"/>
  <c r="BN110" i="20" s="1"/>
  <c r="N15" i="83"/>
  <c r="BO110" i="20" s="1"/>
  <c r="O10" i="83"/>
  <c r="N10" i="83"/>
  <c r="BO68" i="20" s="1"/>
  <c r="M10" i="83"/>
  <c r="BN68" i="20" s="1"/>
  <c r="Q44" i="20"/>
  <c r="Q61" i="20"/>
  <c r="O74" i="74"/>
  <c r="H28" i="74"/>
  <c r="F48" i="74"/>
  <c r="J27" i="74"/>
  <c r="L74" i="74"/>
  <c r="I27" i="74"/>
  <c r="L27" i="74"/>
  <c r="I28" i="74"/>
  <c r="L28" i="74"/>
  <c r="K27" i="74"/>
  <c r="J74" i="74"/>
  <c r="G74" i="74"/>
  <c r="G27" i="74"/>
  <c r="P74" i="74"/>
  <c r="N74" i="74"/>
  <c r="M27" i="74"/>
  <c r="H27" i="74"/>
  <c r="M74" i="74"/>
  <c r="I74" i="74"/>
  <c r="K74" i="74"/>
  <c r="F74" i="74"/>
  <c r="J28" i="74"/>
  <c r="G76" i="74"/>
  <c r="K28" i="74"/>
  <c r="G28" i="74"/>
  <c r="F28" i="74"/>
  <c r="F53" i="74" s="1"/>
  <c r="S53" i="74" s="1"/>
  <c r="J29" i="74"/>
  <c r="H46" i="74"/>
  <c r="G45" i="74"/>
  <c r="J45" i="74"/>
  <c r="K45" i="74"/>
  <c r="I45" i="74"/>
  <c r="N45" i="74"/>
  <c r="H45" i="74"/>
  <c r="F45" i="74"/>
  <c r="M45" i="74"/>
  <c r="P45" i="74"/>
  <c r="L48" i="74"/>
  <c r="K75" i="74"/>
  <c r="O75" i="74"/>
  <c r="P75" i="74"/>
  <c r="N75" i="74"/>
  <c r="I75" i="74"/>
  <c r="G75" i="74"/>
  <c r="M75" i="74"/>
  <c r="G48" i="74"/>
  <c r="I48" i="74"/>
  <c r="K48" i="74"/>
  <c r="O45" i="74"/>
  <c r="L45" i="74"/>
  <c r="L75" i="74"/>
  <c r="O48" i="74"/>
  <c r="F75" i="74"/>
  <c r="O46" i="74"/>
  <c r="L46" i="74"/>
  <c r="I46" i="74"/>
  <c r="J46" i="74"/>
  <c r="N46" i="74"/>
  <c r="K46" i="74"/>
  <c r="M46" i="74"/>
  <c r="P46" i="74"/>
  <c r="F46" i="74"/>
  <c r="J48" i="74"/>
  <c r="M48" i="74"/>
  <c r="J75" i="74"/>
  <c r="H48" i="74"/>
  <c r="F29" i="74"/>
  <c r="G29" i="74"/>
  <c r="H29" i="74"/>
  <c r="I29" i="74"/>
  <c r="M29" i="74"/>
  <c r="P76" i="74"/>
  <c r="N76" i="74"/>
  <c r="O76" i="74"/>
  <c r="J76" i="74"/>
  <c r="I76" i="74"/>
  <c r="L76" i="74"/>
  <c r="M76" i="74"/>
  <c r="K76" i="74"/>
  <c r="H76" i="74"/>
  <c r="N48" i="74"/>
  <c r="S44" i="74"/>
  <c r="K29" i="74"/>
  <c r="F52" i="74"/>
  <c r="AM34" i="71"/>
  <c r="AQ35" i="71"/>
  <c r="AR35" i="71"/>
  <c r="AM35" i="71"/>
  <c r="AQ34" i="71"/>
  <c r="AR34" i="71"/>
  <c r="AP34" i="71"/>
  <c r="AO34" i="71"/>
  <c r="AO35" i="71"/>
  <c r="AP35" i="71"/>
  <c r="AO27" i="71"/>
  <c r="AP27" i="71"/>
  <c r="AM27" i="71"/>
  <c r="AM26" i="71"/>
  <c r="AR27" i="71"/>
  <c r="AQ27" i="71"/>
  <c r="AR26" i="71"/>
  <c r="AQ26" i="71"/>
  <c r="AO26" i="71"/>
  <c r="AP26" i="71"/>
  <c r="B176" i="60"/>
  <c r="K70" i="60"/>
  <c r="C77" i="60" s="1"/>
  <c r="L63" i="60"/>
  <c r="L70" i="60" s="1"/>
  <c r="D77" i="60" s="1"/>
  <c r="F162" i="60"/>
  <c r="F168" i="60" s="1"/>
  <c r="E167" i="60"/>
  <c r="E174" i="60" s="1"/>
  <c r="E166" i="60"/>
  <c r="E173" i="60" s="1"/>
  <c r="P21" i="83" l="1"/>
  <c r="BQ143" i="20" s="1"/>
  <c r="BP143" i="20"/>
  <c r="P9" i="83"/>
  <c r="BQ71" i="20" s="1"/>
  <c r="BP71" i="20"/>
  <c r="P16" i="83"/>
  <c r="BQ107" i="20" s="1"/>
  <c r="BP107" i="20"/>
  <c r="P22" i="83"/>
  <c r="BQ140" i="20" s="1"/>
  <c r="BP140" i="20"/>
  <c r="P17" i="83"/>
  <c r="BQ87" i="20" s="1"/>
  <c r="BP87" i="20"/>
  <c r="P10" i="83"/>
  <c r="BQ68" i="20" s="1"/>
  <c r="BP68" i="20"/>
  <c r="P15" i="83"/>
  <c r="BQ110" i="20" s="1"/>
  <c r="BP110" i="20"/>
  <c r="Q107" i="20"/>
  <c r="Q110" i="20"/>
  <c r="O23" i="83"/>
  <c r="M23" i="83"/>
  <c r="BN124" i="20" s="1"/>
  <c r="N23" i="83"/>
  <c r="BO124" i="20" s="1"/>
  <c r="P83" i="20"/>
  <c r="P140" i="20"/>
  <c r="P52" i="20"/>
  <c r="P87" i="20"/>
  <c r="Q45" i="20"/>
  <c r="Q71" i="20"/>
  <c r="P120" i="20"/>
  <c r="Q52" i="20"/>
  <c r="P44" i="20"/>
  <c r="P61" i="20"/>
  <c r="P47" i="20"/>
  <c r="Q83" i="20"/>
  <c r="K31" i="74"/>
  <c r="F31" i="74"/>
  <c r="G31" i="74"/>
  <c r="M50" i="74"/>
  <c r="I50" i="74"/>
  <c r="M49" i="74"/>
  <c r="I49" i="74"/>
  <c r="J49" i="74"/>
  <c r="K50" i="74"/>
  <c r="J50" i="74"/>
  <c r="K49" i="74"/>
  <c r="L78" i="74"/>
  <c r="I32" i="74"/>
  <c r="I31" i="74"/>
  <c r="L31" i="74"/>
  <c r="H31" i="74"/>
  <c r="M31" i="74"/>
  <c r="S27" i="74"/>
  <c r="J31" i="74"/>
  <c r="H32" i="74"/>
  <c r="J78" i="74"/>
  <c r="S49" i="74"/>
  <c r="S48" i="74"/>
  <c r="M78" i="74"/>
  <c r="K32" i="74"/>
  <c r="F78" i="74"/>
  <c r="F32" i="74"/>
  <c r="G32" i="74"/>
  <c r="K78" i="74"/>
  <c r="I78" i="74"/>
  <c r="S28" i="74"/>
  <c r="S74" i="74"/>
  <c r="H78" i="74"/>
  <c r="G78" i="74"/>
  <c r="J32" i="74"/>
  <c r="L32" i="74"/>
  <c r="I30" i="74"/>
  <c r="L30" i="74"/>
  <c r="M32" i="74"/>
  <c r="F30" i="74"/>
  <c r="K80" i="74"/>
  <c r="L77" i="74"/>
  <c r="M33" i="74"/>
  <c r="J79" i="74"/>
  <c r="J33" i="74"/>
  <c r="K47" i="74"/>
  <c r="H79" i="74"/>
  <c r="L49" i="74"/>
  <c r="S52" i="74"/>
  <c r="K33" i="74"/>
  <c r="H80" i="74"/>
  <c r="M80" i="74"/>
  <c r="I80" i="74"/>
  <c r="I33" i="74"/>
  <c r="G33" i="74"/>
  <c r="H77" i="74"/>
  <c r="M47" i="74"/>
  <c r="F50" i="74"/>
  <c r="S46" i="74"/>
  <c r="N50" i="74"/>
  <c r="O50" i="74"/>
  <c r="G30" i="74"/>
  <c r="J77" i="74"/>
  <c r="H50" i="74"/>
  <c r="S76" i="74"/>
  <c r="G50" i="74"/>
  <c r="O49" i="74"/>
  <c r="G79" i="74"/>
  <c r="L47" i="74"/>
  <c r="H49" i="74"/>
  <c r="H47" i="74"/>
  <c r="L80" i="74"/>
  <c r="J80" i="74"/>
  <c r="H33" i="74"/>
  <c r="F54" i="74"/>
  <c r="F33" i="74"/>
  <c r="S29" i="74"/>
  <c r="G80" i="74"/>
  <c r="J47" i="74"/>
  <c r="L50" i="74"/>
  <c r="F79" i="74"/>
  <c r="S75" i="74"/>
  <c r="F77" i="74"/>
  <c r="J30" i="74"/>
  <c r="K30" i="74"/>
  <c r="H30" i="74"/>
  <c r="L33" i="74"/>
  <c r="F80" i="74"/>
  <c r="L79" i="74"/>
  <c r="M30" i="74"/>
  <c r="I47" i="74"/>
  <c r="G47" i="74"/>
  <c r="M79" i="74"/>
  <c r="M77" i="74"/>
  <c r="I79" i="74"/>
  <c r="I77" i="74"/>
  <c r="K79" i="74"/>
  <c r="K77" i="74"/>
  <c r="G77" i="74"/>
  <c r="S45" i="74"/>
  <c r="F49" i="74"/>
  <c r="F47" i="74"/>
  <c r="N49" i="74"/>
  <c r="G49" i="74"/>
  <c r="Q87" i="20"/>
  <c r="G162" i="60"/>
  <c r="G168" i="60" s="1"/>
  <c r="F167" i="60"/>
  <c r="F174" i="60" s="1"/>
  <c r="F166" i="60"/>
  <c r="F173" i="60" s="1"/>
  <c r="N176" i="60"/>
  <c r="B177" i="60"/>
  <c r="P23" i="83" l="1"/>
  <c r="BQ124" i="20" s="1"/>
  <c r="BP124" i="20"/>
  <c r="Q124" i="20"/>
  <c r="P124" i="20"/>
  <c r="P68" i="20"/>
  <c r="P45" i="20"/>
  <c r="P71" i="20"/>
  <c r="Q120" i="20"/>
  <c r="P143" i="20"/>
  <c r="P107" i="20"/>
  <c r="P110" i="20"/>
  <c r="N238" i="41"/>
  <c r="O238" i="41" s="1"/>
  <c r="N213" i="41"/>
  <c r="N217" i="41"/>
  <c r="N222" i="41"/>
  <c r="N226" i="41"/>
  <c r="N231" i="41"/>
  <c r="O231" i="41" s="1"/>
  <c r="N235" i="41"/>
  <c r="O235" i="41" s="1"/>
  <c r="N220" i="41"/>
  <c r="N216" i="41"/>
  <c r="N223" i="41"/>
  <c r="N227" i="41"/>
  <c r="N232" i="41"/>
  <c r="O232" i="41" s="1"/>
  <c r="N236" i="41"/>
  <c r="O236" i="41" s="1"/>
  <c r="N219" i="41"/>
  <c r="N215" i="41"/>
  <c r="N224" i="41"/>
  <c r="N228" i="41"/>
  <c r="N233" i="41"/>
  <c r="O233" i="41" s="1"/>
  <c r="N237" i="41"/>
  <c r="O237" i="41" s="1"/>
  <c r="N218" i="41"/>
  <c r="N214" i="41"/>
  <c r="N225" i="41"/>
  <c r="N229" i="41"/>
  <c r="N234" i="41"/>
  <c r="O234" i="41" s="1"/>
  <c r="N168" i="41"/>
  <c r="O168" i="41" s="1"/>
  <c r="N166" i="41"/>
  <c r="O166" i="41" s="1"/>
  <c r="N164" i="41"/>
  <c r="O164" i="41" s="1"/>
  <c r="N162" i="41"/>
  <c r="O162" i="41" s="1"/>
  <c r="N158" i="41"/>
  <c r="N156" i="41"/>
  <c r="N154" i="41"/>
  <c r="N152" i="41"/>
  <c r="N144" i="41"/>
  <c r="N146" i="41"/>
  <c r="N148" i="41"/>
  <c r="N142" i="41"/>
  <c r="N169" i="41"/>
  <c r="O169" i="41" s="1"/>
  <c r="N167" i="41"/>
  <c r="O167" i="41" s="1"/>
  <c r="N165" i="41"/>
  <c r="O165" i="41" s="1"/>
  <c r="N163" i="41"/>
  <c r="O163" i="41" s="1"/>
  <c r="N159" i="41"/>
  <c r="N157" i="41"/>
  <c r="N155" i="41"/>
  <c r="N153" i="41"/>
  <c r="N143" i="41"/>
  <c r="N145" i="41"/>
  <c r="N147" i="41"/>
  <c r="N149" i="41"/>
  <c r="N138" i="41"/>
  <c r="O138" i="41" s="1"/>
  <c r="N117" i="41"/>
  <c r="N123" i="41"/>
  <c r="N133" i="41"/>
  <c r="O133" i="41" s="1"/>
  <c r="N111" i="41"/>
  <c r="N121" i="41"/>
  <c r="N131" i="41"/>
  <c r="O131" i="41" s="1"/>
  <c r="N118" i="41"/>
  <c r="N114" i="41"/>
  <c r="N122" i="41"/>
  <c r="N126" i="41"/>
  <c r="N132" i="41"/>
  <c r="O132" i="41" s="1"/>
  <c r="N136" i="41"/>
  <c r="O136" i="41" s="1"/>
  <c r="N113" i="41"/>
  <c r="N127" i="41"/>
  <c r="N137" i="41"/>
  <c r="O137" i="41" s="1"/>
  <c r="N115" i="41"/>
  <c r="N125" i="41"/>
  <c r="N135" i="41"/>
  <c r="O135" i="41" s="1"/>
  <c r="N116" i="41"/>
  <c r="N112" i="41"/>
  <c r="N124" i="41"/>
  <c r="N128" i="41"/>
  <c r="N134" i="41"/>
  <c r="O134" i="41" s="1"/>
  <c r="H134" i="33" s="1"/>
  <c r="L134" i="33" s="1"/>
  <c r="S32" i="74"/>
  <c r="S31" i="74"/>
  <c r="S33" i="74"/>
  <c r="S50" i="74"/>
  <c r="S80" i="74"/>
  <c r="S79" i="74"/>
  <c r="S78" i="74"/>
  <c r="S54" i="74"/>
  <c r="F55" i="74"/>
  <c r="F58" i="74" s="1"/>
  <c r="I176" i="60"/>
  <c r="H176" i="60"/>
  <c r="J176" i="60"/>
  <c r="D176" i="60"/>
  <c r="D177" i="60" s="1"/>
  <c r="F176" i="60"/>
  <c r="F177" i="60" s="1"/>
  <c r="E176" i="60"/>
  <c r="E177" i="60" s="1"/>
  <c r="C176" i="60"/>
  <c r="C177" i="60" s="1"/>
  <c r="G176" i="60"/>
  <c r="G166" i="60"/>
  <c r="G173" i="60" s="1"/>
  <c r="G167" i="60"/>
  <c r="G174" i="60" s="1"/>
  <c r="H162" i="60"/>
  <c r="H168" i="60" s="1"/>
  <c r="H142" i="33" l="1"/>
  <c r="L142" i="33" s="1"/>
  <c r="L165" i="41"/>
  <c r="Q143" i="20"/>
  <c r="Q229" i="41"/>
  <c r="R229" i="41"/>
  <c r="P229" i="41"/>
  <c r="R228" i="41"/>
  <c r="P228" i="41"/>
  <c r="Q228" i="41"/>
  <c r="Q227" i="41"/>
  <c r="R227" i="41"/>
  <c r="P227" i="41"/>
  <c r="R226" i="41"/>
  <c r="P226" i="41"/>
  <c r="Q226" i="41"/>
  <c r="Q225" i="41"/>
  <c r="R225" i="41"/>
  <c r="P225" i="41"/>
  <c r="R224" i="41"/>
  <c r="P224" i="41"/>
  <c r="Q224" i="41"/>
  <c r="Q223" i="41"/>
  <c r="R223" i="41"/>
  <c r="P223" i="41"/>
  <c r="O222" i="41"/>
  <c r="R222" i="41"/>
  <c r="P222" i="41"/>
  <c r="Q222" i="41"/>
  <c r="O128" i="41"/>
  <c r="R128" i="41"/>
  <c r="P128" i="41"/>
  <c r="S128" i="41"/>
  <c r="Q128" i="41"/>
  <c r="Q112" i="41"/>
  <c r="S112" i="41"/>
  <c r="R112" i="41"/>
  <c r="P112" i="41"/>
  <c r="R115" i="41"/>
  <c r="P115" i="41"/>
  <c r="Q115" i="41"/>
  <c r="S115" i="41"/>
  <c r="O127" i="41"/>
  <c r="R127" i="41"/>
  <c r="P127" i="41"/>
  <c r="S127" i="41"/>
  <c r="Q127" i="41"/>
  <c r="O126" i="41"/>
  <c r="R126" i="41"/>
  <c r="P126" i="41"/>
  <c r="S126" i="41"/>
  <c r="Q126" i="41"/>
  <c r="Q114" i="41"/>
  <c r="S114" i="41"/>
  <c r="R114" i="41"/>
  <c r="P114" i="41"/>
  <c r="R111" i="41"/>
  <c r="P111" i="41"/>
  <c r="B17" i="41"/>
  <c r="S111" i="41"/>
  <c r="Q111" i="41"/>
  <c r="O123" i="41"/>
  <c r="H97" i="33" s="1"/>
  <c r="L97" i="33" s="1"/>
  <c r="R123" i="41"/>
  <c r="P123" i="41"/>
  <c r="S123" i="41"/>
  <c r="Q123" i="41"/>
  <c r="O147" i="41"/>
  <c r="S147" i="41"/>
  <c r="R147" i="41"/>
  <c r="P147" i="41"/>
  <c r="Q147" i="41"/>
  <c r="O143" i="41"/>
  <c r="H69" i="33" s="1"/>
  <c r="L69" i="33" s="1"/>
  <c r="R143" i="41"/>
  <c r="P143" i="41"/>
  <c r="S143" i="41"/>
  <c r="Q143" i="41"/>
  <c r="O155" i="41"/>
  <c r="S155" i="41"/>
  <c r="Q155" i="41"/>
  <c r="R155" i="41"/>
  <c r="P155" i="41"/>
  <c r="O159" i="41"/>
  <c r="S159" i="41"/>
  <c r="Q159" i="41"/>
  <c r="R159" i="41"/>
  <c r="P159" i="41"/>
  <c r="O148" i="41"/>
  <c r="S148" i="41"/>
  <c r="Q148" i="41"/>
  <c r="R148" i="41"/>
  <c r="P148" i="41"/>
  <c r="O144" i="41"/>
  <c r="H68" i="33" s="1"/>
  <c r="L68" i="33" s="1"/>
  <c r="R144" i="41"/>
  <c r="P144" i="41"/>
  <c r="S144" i="41"/>
  <c r="Q144" i="41"/>
  <c r="O154" i="41"/>
  <c r="H105" i="33" s="1"/>
  <c r="L105" i="33" s="1"/>
  <c r="S154" i="41"/>
  <c r="Q154" i="41"/>
  <c r="R154" i="41"/>
  <c r="P154" i="41"/>
  <c r="O158" i="41"/>
  <c r="S158" i="41"/>
  <c r="Q158" i="41"/>
  <c r="R158" i="41"/>
  <c r="P158" i="41"/>
  <c r="O229" i="41"/>
  <c r="O214" i="41"/>
  <c r="S214" i="41"/>
  <c r="Q214" i="41"/>
  <c r="R214" i="41"/>
  <c r="P214" i="41"/>
  <c r="O228" i="41"/>
  <c r="O215" i="41"/>
  <c r="H56" i="33" s="1"/>
  <c r="L56" i="33" s="1"/>
  <c r="S215" i="41"/>
  <c r="Q215" i="41"/>
  <c r="R215" i="41"/>
  <c r="P215" i="41"/>
  <c r="O227" i="41"/>
  <c r="O216" i="41"/>
  <c r="S216" i="41"/>
  <c r="Q216" i="41"/>
  <c r="R216" i="41"/>
  <c r="P216" i="41"/>
  <c r="O226" i="41"/>
  <c r="O217" i="41"/>
  <c r="S217" i="41"/>
  <c r="Q217" i="41"/>
  <c r="R217" i="41"/>
  <c r="P217" i="41"/>
  <c r="O124" i="41"/>
  <c r="H99" i="33" s="1"/>
  <c r="L99" i="33" s="1"/>
  <c r="R124" i="41"/>
  <c r="P124" i="41"/>
  <c r="S124" i="41"/>
  <c r="Q124" i="41"/>
  <c r="Q116" i="41"/>
  <c r="S116" i="41"/>
  <c r="R116" i="41"/>
  <c r="P116" i="41"/>
  <c r="O125" i="41"/>
  <c r="H100" i="33" s="1"/>
  <c r="L100" i="33" s="1"/>
  <c r="R125" i="41"/>
  <c r="P125" i="41"/>
  <c r="S125" i="41"/>
  <c r="Q125" i="41"/>
  <c r="R113" i="41"/>
  <c r="P113" i="41"/>
  <c r="Q113" i="41"/>
  <c r="S113" i="41"/>
  <c r="O122" i="41"/>
  <c r="H98" i="33" s="1"/>
  <c r="L98" i="33" s="1"/>
  <c r="R122" i="41"/>
  <c r="P122" i="41"/>
  <c r="S122" i="41"/>
  <c r="Q122" i="41"/>
  <c r="Q118" i="41"/>
  <c r="S118" i="41"/>
  <c r="R118" i="41"/>
  <c r="P118" i="41"/>
  <c r="O121" i="41"/>
  <c r="R121" i="41"/>
  <c r="P121" i="41"/>
  <c r="S121" i="41"/>
  <c r="Q121" i="41"/>
  <c r="R117" i="41"/>
  <c r="P117" i="41"/>
  <c r="S117" i="41"/>
  <c r="Q117" i="41"/>
  <c r="O149" i="41"/>
  <c r="S149" i="41"/>
  <c r="Q149" i="41"/>
  <c r="R149" i="41"/>
  <c r="P149" i="41"/>
  <c r="O145" i="41"/>
  <c r="R145" i="41"/>
  <c r="P145" i="41"/>
  <c r="S145" i="41"/>
  <c r="Q145" i="41"/>
  <c r="O153" i="41"/>
  <c r="H106" i="33" s="1"/>
  <c r="L106" i="33" s="1"/>
  <c r="S153" i="41"/>
  <c r="Q153" i="41"/>
  <c r="R153" i="41"/>
  <c r="P153" i="41"/>
  <c r="O157" i="41"/>
  <c r="S157" i="41"/>
  <c r="Q157" i="41"/>
  <c r="R157" i="41"/>
  <c r="P157" i="41"/>
  <c r="O142" i="41"/>
  <c r="H67" i="33" s="1"/>
  <c r="R142" i="41"/>
  <c r="P142" i="41"/>
  <c r="S142" i="41"/>
  <c r="Q142" i="41"/>
  <c r="O146" i="41"/>
  <c r="H71" i="33" s="1"/>
  <c r="L71" i="33" s="1"/>
  <c r="R146" i="41"/>
  <c r="P146" i="41"/>
  <c r="S146" i="41"/>
  <c r="Q146" i="41"/>
  <c r="O152" i="41"/>
  <c r="S152" i="41"/>
  <c r="Q152" i="41"/>
  <c r="R152" i="41"/>
  <c r="P152" i="41"/>
  <c r="O156" i="41"/>
  <c r="H108" i="33" s="1"/>
  <c r="L108" i="33" s="1"/>
  <c r="S156" i="41"/>
  <c r="Q156" i="41"/>
  <c r="R156" i="41"/>
  <c r="P156" i="41"/>
  <c r="O225" i="41"/>
  <c r="O218" i="41"/>
  <c r="S218" i="41"/>
  <c r="Q218" i="41"/>
  <c r="R218" i="41"/>
  <c r="P218" i="41"/>
  <c r="O224" i="41"/>
  <c r="H93" i="33" s="1"/>
  <c r="L93" i="33" s="1"/>
  <c r="O219" i="41"/>
  <c r="S219" i="41"/>
  <c r="Q219" i="41"/>
  <c r="R219" i="41"/>
  <c r="P219" i="41"/>
  <c r="O223" i="41"/>
  <c r="O220" i="41"/>
  <c r="S220" i="41"/>
  <c r="Q220" i="41"/>
  <c r="R220" i="41"/>
  <c r="P220" i="41"/>
  <c r="O213" i="41"/>
  <c r="S213" i="41"/>
  <c r="Q213" i="41"/>
  <c r="R213" i="41"/>
  <c r="P213" i="41"/>
  <c r="O112" i="41"/>
  <c r="H61" i="33" s="1"/>
  <c r="L61" i="33" s="1"/>
  <c r="O115" i="41"/>
  <c r="H63" i="33" s="1"/>
  <c r="L63" i="33" s="1"/>
  <c r="O114" i="41"/>
  <c r="H62" i="33" s="1"/>
  <c r="L62" i="33" s="1"/>
  <c r="O116" i="41"/>
  <c r="O113" i="41"/>
  <c r="H60" i="33" s="1"/>
  <c r="L60" i="33" s="1"/>
  <c r="O118" i="41"/>
  <c r="O117" i="41"/>
  <c r="O111" i="41"/>
  <c r="H133" i="33"/>
  <c r="L133" i="33" s="1"/>
  <c r="H132" i="33"/>
  <c r="L132" i="33" s="1"/>
  <c r="H141" i="33"/>
  <c r="L141" i="33" s="1"/>
  <c r="H143" i="33"/>
  <c r="L143" i="33" s="1"/>
  <c r="H129" i="33"/>
  <c r="H135" i="33"/>
  <c r="L135" i="33" s="1"/>
  <c r="H140" i="33"/>
  <c r="L140" i="33" s="1"/>
  <c r="M81" i="41"/>
  <c r="G81" i="41"/>
  <c r="O81" i="41"/>
  <c r="F81" i="41"/>
  <c r="I81" i="41"/>
  <c r="H81" i="41"/>
  <c r="N81" i="41"/>
  <c r="K81" i="41"/>
  <c r="L81" i="41"/>
  <c r="J81" i="41"/>
  <c r="S58" i="74"/>
  <c r="F61" i="74" s="1"/>
  <c r="F57" i="74"/>
  <c r="F56" i="74"/>
  <c r="G177" i="60"/>
  <c r="H167" i="60"/>
  <c r="H174" i="60" s="1"/>
  <c r="H177" i="60" s="1"/>
  <c r="H166" i="60"/>
  <c r="H173" i="60" s="1"/>
  <c r="I162" i="60"/>
  <c r="I168" i="60" s="1"/>
  <c r="K149" i="33" l="1"/>
  <c r="H70" i="33"/>
  <c r="L70" i="33" s="1"/>
  <c r="L145" i="41"/>
  <c r="H107" i="33"/>
  <c r="L107" i="33" s="1"/>
  <c r="L155" i="41"/>
  <c r="O150" i="41"/>
  <c r="H94" i="33"/>
  <c r="P119" i="41"/>
  <c r="P221" i="41"/>
  <c r="Q221" i="41"/>
  <c r="P160" i="41"/>
  <c r="Q160" i="41"/>
  <c r="S129" i="41"/>
  <c r="R129" i="41"/>
  <c r="Q150" i="41"/>
  <c r="P150" i="41"/>
  <c r="P230" i="41"/>
  <c r="Q230" i="41"/>
  <c r="R230" i="41"/>
  <c r="H65" i="33"/>
  <c r="R221" i="41"/>
  <c r="S221" i="41"/>
  <c r="R160" i="41"/>
  <c r="S160" i="41"/>
  <c r="S150" i="41"/>
  <c r="R150" i="41"/>
  <c r="Q129" i="41"/>
  <c r="P129" i="41"/>
  <c r="Q119" i="41"/>
  <c r="R119" i="41"/>
  <c r="S119" i="41"/>
  <c r="O119" i="41"/>
  <c r="H137" i="33"/>
  <c r="H160" i="33"/>
  <c r="H145" i="33"/>
  <c r="H102" i="33"/>
  <c r="S56" i="74"/>
  <c r="F59" i="74" s="1"/>
  <c r="S57" i="74"/>
  <c r="F60" i="74" s="1"/>
  <c r="G61" i="74"/>
  <c r="J61" i="74"/>
  <c r="L61" i="74"/>
  <c r="I61" i="74"/>
  <c r="M61" i="74"/>
  <c r="K61" i="74"/>
  <c r="H61" i="74"/>
  <c r="J162" i="60"/>
  <c r="J168" i="60" s="1"/>
  <c r="I167" i="60"/>
  <c r="I174" i="60" s="1"/>
  <c r="I177" i="60" s="1"/>
  <c r="I166" i="60"/>
  <c r="I173" i="60" s="1"/>
  <c r="H110" i="33" l="1"/>
  <c r="H57" i="33"/>
  <c r="CG25" i="71"/>
  <c r="CQ25" i="71"/>
  <c r="CF25" i="71"/>
  <c r="CP25" i="71"/>
  <c r="CO25" i="71"/>
  <c r="CE25" i="71"/>
  <c r="H65" i="74"/>
  <c r="F65" i="74"/>
  <c r="F62" i="74"/>
  <c r="K65" i="74"/>
  <c r="I65" i="74"/>
  <c r="J65" i="74"/>
  <c r="M65" i="74"/>
  <c r="L65" i="74"/>
  <c r="G65" i="74"/>
  <c r="I60" i="74"/>
  <c r="M60" i="74"/>
  <c r="H60" i="74"/>
  <c r="K60" i="74"/>
  <c r="J60" i="74"/>
  <c r="G60" i="74"/>
  <c r="L60" i="74"/>
  <c r="S61" i="74"/>
  <c r="H59" i="74"/>
  <c r="K59" i="74"/>
  <c r="L59" i="74"/>
  <c r="J59" i="74"/>
  <c r="G59" i="74"/>
  <c r="I59" i="74"/>
  <c r="M59" i="74"/>
  <c r="J167" i="60"/>
  <c r="J174" i="60" s="1"/>
  <c r="J177" i="60" s="1"/>
  <c r="J166" i="60"/>
  <c r="J173" i="60" s="1"/>
  <c r="O183" i="60"/>
  <c r="O181" i="60"/>
  <c r="O182" i="60"/>
  <c r="O196" i="60"/>
  <c r="O194" i="60"/>
  <c r="O195" i="60"/>
  <c r="CO29" i="71" l="1"/>
  <c r="CE29" i="71"/>
  <c r="CY29" i="71" s="1"/>
  <c r="CF29" i="71"/>
  <c r="CZ29" i="71" s="1"/>
  <c r="CP29" i="71"/>
  <c r="CQ29" i="71"/>
  <c r="CG29" i="71"/>
  <c r="DA29" i="71" s="1"/>
  <c r="CU25" i="71"/>
  <c r="CK25" i="71"/>
  <c r="BQ25" i="71"/>
  <c r="CT25" i="71"/>
  <c r="CJ25" i="71"/>
  <c r="BP25" i="71"/>
  <c r="CL25" i="71"/>
  <c r="CV25" i="71"/>
  <c r="BR25" i="71"/>
  <c r="G64" i="74"/>
  <c r="M62" i="74"/>
  <c r="M63" i="74"/>
  <c r="G63" i="74"/>
  <c r="G62" i="74"/>
  <c r="L62" i="74"/>
  <c r="L63" i="74"/>
  <c r="H63" i="74"/>
  <c r="H62" i="74"/>
  <c r="L64" i="74"/>
  <c r="J64" i="74"/>
  <c r="H64" i="74"/>
  <c r="I64" i="74"/>
  <c r="S60" i="74"/>
  <c r="I63" i="74"/>
  <c r="I62" i="74"/>
  <c r="J63" i="74"/>
  <c r="J62" i="74"/>
  <c r="K62" i="74"/>
  <c r="K63" i="74"/>
  <c r="K64" i="74"/>
  <c r="M64" i="74"/>
  <c r="S59" i="74"/>
  <c r="F63" i="74"/>
  <c r="F64" i="74"/>
  <c r="H195" i="60"/>
  <c r="J195" i="60"/>
  <c r="K195" i="60"/>
  <c r="I195" i="60"/>
  <c r="F195" i="60"/>
  <c r="L195" i="60"/>
  <c r="G195" i="60"/>
  <c r="H194" i="60"/>
  <c r="G194" i="60"/>
  <c r="L194" i="60"/>
  <c r="K194" i="60"/>
  <c r="I194" i="60"/>
  <c r="J194" i="60"/>
  <c r="F194" i="60"/>
  <c r="H196" i="60"/>
  <c r="J196" i="60"/>
  <c r="G196" i="60"/>
  <c r="I196" i="60"/>
  <c r="L196" i="60"/>
  <c r="K196" i="60"/>
  <c r="F196" i="60"/>
  <c r="J182" i="60"/>
  <c r="J204" i="60" s="1"/>
  <c r="L182" i="60"/>
  <c r="L204" i="60" s="1"/>
  <c r="E182" i="60"/>
  <c r="E204" i="60" s="1"/>
  <c r="F182" i="60"/>
  <c r="F204" i="60" s="1"/>
  <c r="K182" i="60"/>
  <c r="K204" i="60" s="1"/>
  <c r="D182" i="60"/>
  <c r="D204" i="60" s="1"/>
  <c r="G182" i="60"/>
  <c r="G204" i="60" s="1"/>
  <c r="H182" i="60"/>
  <c r="H204" i="60" s="1"/>
  <c r="I182" i="60"/>
  <c r="I204" i="60" s="1"/>
  <c r="F216" i="60"/>
  <c r="K216" i="60" s="1"/>
  <c r="J181" i="60"/>
  <c r="J203" i="60" s="1"/>
  <c r="K181" i="60"/>
  <c r="K203" i="60" s="1"/>
  <c r="E181" i="60"/>
  <c r="E203" i="60" s="1"/>
  <c r="G181" i="60"/>
  <c r="G203" i="60" s="1"/>
  <c r="I181" i="60"/>
  <c r="I203" i="60" s="1"/>
  <c r="D181" i="60"/>
  <c r="L181" i="60"/>
  <c r="L203" i="60" s="1"/>
  <c r="F181" i="60"/>
  <c r="F203" i="60" s="1"/>
  <c r="F231" i="60" s="1"/>
  <c r="H181" i="60"/>
  <c r="H203" i="60" s="1"/>
  <c r="O185" i="60"/>
  <c r="O184" i="60"/>
  <c r="O186" i="60"/>
  <c r="H183" i="60"/>
  <c r="D183" i="60"/>
  <c r="J183" i="60"/>
  <c r="E183" i="60"/>
  <c r="K183" i="60"/>
  <c r="G183" i="60"/>
  <c r="I183" i="60"/>
  <c r="L183" i="60"/>
  <c r="F183" i="60"/>
  <c r="F205" i="60" l="1"/>
  <c r="F232" i="60" s="1"/>
  <c r="N231" i="60" s="1"/>
  <c r="J205" i="60"/>
  <c r="L205" i="60"/>
  <c r="G205" i="60"/>
  <c r="E205" i="60"/>
  <c r="E232" i="60" s="1"/>
  <c r="D205" i="60"/>
  <c r="D232" i="60" s="1"/>
  <c r="I205" i="60"/>
  <c r="K205" i="60"/>
  <c r="H205" i="60"/>
  <c r="T168" i="60"/>
  <c r="D203" i="60"/>
  <c r="D231" i="60" s="1"/>
  <c r="CB25" i="71"/>
  <c r="DF25" i="71"/>
  <c r="DE25" i="71"/>
  <c r="CA25" i="71"/>
  <c r="BZ25" i="71"/>
  <c r="DD25" i="71"/>
  <c r="CT29" i="71"/>
  <c r="CJ29" i="71"/>
  <c r="CK29" i="71"/>
  <c r="CU29" i="71"/>
  <c r="CL29" i="71"/>
  <c r="CV29" i="71"/>
  <c r="N201" i="41"/>
  <c r="O201" i="41" s="1"/>
  <c r="N199" i="41"/>
  <c r="O199" i="41" s="1"/>
  <c r="N197" i="41"/>
  <c r="O197" i="41" s="1"/>
  <c r="H148" i="33" s="1"/>
  <c r="N195" i="41"/>
  <c r="O195" i="41" s="1"/>
  <c r="N191" i="41"/>
  <c r="N189" i="41"/>
  <c r="N187" i="41"/>
  <c r="N185" i="41"/>
  <c r="N177" i="41"/>
  <c r="N179" i="41"/>
  <c r="N181" i="41"/>
  <c r="N175" i="41"/>
  <c r="N202" i="41"/>
  <c r="O202" i="41" s="1"/>
  <c r="N200" i="41"/>
  <c r="O200" i="41" s="1"/>
  <c r="N198" i="41"/>
  <c r="O198" i="41" s="1"/>
  <c r="N196" i="41"/>
  <c r="O196" i="41" s="1"/>
  <c r="H149" i="33" s="1"/>
  <c r="L149" i="33" s="1"/>
  <c r="N192" i="41"/>
  <c r="N190" i="41"/>
  <c r="N188" i="41"/>
  <c r="N186" i="41"/>
  <c r="N176" i="41"/>
  <c r="N178" i="41"/>
  <c r="N180" i="41"/>
  <c r="N182" i="41"/>
  <c r="S63" i="74"/>
  <c r="S64" i="74"/>
  <c r="S65" i="74"/>
  <c r="G216" i="60"/>
  <c r="G222" i="60" s="1"/>
  <c r="G233" i="60" s="1"/>
  <c r="G234" i="60" s="1"/>
  <c r="K222" i="60"/>
  <c r="K233" i="60" s="1"/>
  <c r="K234" i="60" s="1"/>
  <c r="H197" i="60"/>
  <c r="J198" i="60"/>
  <c r="J197" i="60"/>
  <c r="J216" i="60"/>
  <c r="J212" i="60"/>
  <c r="J220" i="60"/>
  <c r="F197" i="60"/>
  <c r="L216" i="60"/>
  <c r="I212" i="60"/>
  <c r="I220" i="60"/>
  <c r="L197" i="60"/>
  <c r="I198" i="60"/>
  <c r="K212" i="60"/>
  <c r="K220" i="60"/>
  <c r="D216" i="60"/>
  <c r="H198" i="60"/>
  <c r="L220" i="60"/>
  <c r="L212" i="60"/>
  <c r="I197" i="60"/>
  <c r="G198" i="60"/>
  <c r="G212" i="60"/>
  <c r="G220" i="60"/>
  <c r="G197" i="60"/>
  <c r="H212" i="60"/>
  <c r="H220" i="60"/>
  <c r="L184" i="60"/>
  <c r="F217" i="60"/>
  <c r="I217" i="60" s="1"/>
  <c r="D184" i="60"/>
  <c r="I184" i="60"/>
  <c r="K184" i="60"/>
  <c r="E184" i="60"/>
  <c r="F184" i="60"/>
  <c r="F200" i="60" s="1"/>
  <c r="H184" i="60"/>
  <c r="J184" i="60"/>
  <c r="G184" i="60"/>
  <c r="K197" i="60"/>
  <c r="E185" i="60"/>
  <c r="L185" i="60"/>
  <c r="H185" i="60"/>
  <c r="K185" i="60"/>
  <c r="I185" i="60"/>
  <c r="J185" i="60"/>
  <c r="F185" i="60"/>
  <c r="G185" i="60"/>
  <c r="D185" i="60"/>
  <c r="F212" i="60"/>
  <c r="F220" i="60"/>
  <c r="E197" i="60"/>
  <c r="E216" i="60"/>
  <c r="E231" i="60"/>
  <c r="K198" i="60"/>
  <c r="I216" i="60"/>
  <c r="F198" i="60"/>
  <c r="E198" i="60"/>
  <c r="F222" i="60"/>
  <c r="F233" i="60" s="1"/>
  <c r="F234" i="60" s="1"/>
  <c r="H186" i="60"/>
  <c r="K186" i="60"/>
  <c r="F186" i="60"/>
  <c r="G186" i="60"/>
  <c r="D186" i="60"/>
  <c r="L186" i="60"/>
  <c r="I186" i="60"/>
  <c r="E186" i="60"/>
  <c r="J186" i="60"/>
  <c r="H216" i="60"/>
  <c r="L198" i="60"/>
  <c r="H150" i="33" l="1"/>
  <c r="L150" i="33" s="1"/>
  <c r="L198" i="41"/>
  <c r="H232" i="60"/>
  <c r="H231" i="60"/>
  <c r="I232" i="60"/>
  <c r="I231" i="60"/>
  <c r="L232" i="60"/>
  <c r="L231" i="60"/>
  <c r="F236" i="60"/>
  <c r="F239" i="60" s="1"/>
  <c r="F235" i="60"/>
  <c r="F238" i="60" s="1"/>
  <c r="K232" i="60"/>
  <c r="K231" i="60"/>
  <c r="G232" i="60"/>
  <c r="G231" i="60"/>
  <c r="J232" i="60"/>
  <c r="J231" i="60"/>
  <c r="O182" i="41"/>
  <c r="S182" i="41"/>
  <c r="Q182" i="41"/>
  <c r="R182" i="41"/>
  <c r="P182" i="41"/>
  <c r="O178" i="41"/>
  <c r="S178" i="41"/>
  <c r="Q178" i="41"/>
  <c r="R178" i="41"/>
  <c r="P178" i="41"/>
  <c r="O186" i="41"/>
  <c r="H115" i="33" s="1"/>
  <c r="S186" i="41"/>
  <c r="Q186" i="41"/>
  <c r="R186" i="41"/>
  <c r="P186" i="41"/>
  <c r="O190" i="41"/>
  <c r="S190" i="41"/>
  <c r="Q190" i="41"/>
  <c r="R190" i="41"/>
  <c r="P190" i="41"/>
  <c r="O175" i="41"/>
  <c r="S175" i="41"/>
  <c r="Q175" i="41"/>
  <c r="R175" i="41"/>
  <c r="P175" i="41"/>
  <c r="O179" i="41"/>
  <c r="H80" i="33" s="1"/>
  <c r="L80" i="33" s="1"/>
  <c r="S179" i="41"/>
  <c r="Q179" i="41"/>
  <c r="R179" i="41"/>
  <c r="P179" i="41"/>
  <c r="O185" i="41"/>
  <c r="S185" i="41"/>
  <c r="Q185" i="41"/>
  <c r="R185" i="41"/>
  <c r="P185" i="41"/>
  <c r="O189" i="41"/>
  <c r="H117" i="33" s="1"/>
  <c r="L117" i="33" s="1"/>
  <c r="S189" i="41"/>
  <c r="Q189" i="41"/>
  <c r="R189" i="41"/>
  <c r="P189" i="41"/>
  <c r="O180" i="41"/>
  <c r="S180" i="41"/>
  <c r="Q180" i="41"/>
  <c r="R180" i="41"/>
  <c r="P180" i="41"/>
  <c r="O176" i="41"/>
  <c r="H78" i="33" s="1"/>
  <c r="L78" i="33" s="1"/>
  <c r="S176" i="41"/>
  <c r="Q176" i="41"/>
  <c r="R176" i="41"/>
  <c r="P176" i="41"/>
  <c r="O188" i="41"/>
  <c r="S188" i="41"/>
  <c r="Q188" i="41"/>
  <c r="R188" i="41"/>
  <c r="P188" i="41"/>
  <c r="O192" i="41"/>
  <c r="S192" i="41"/>
  <c r="Q192" i="41"/>
  <c r="R192" i="41"/>
  <c r="P192" i="41"/>
  <c r="O181" i="41"/>
  <c r="S181" i="41"/>
  <c r="Q181" i="41"/>
  <c r="R181" i="41"/>
  <c r="P181" i="41"/>
  <c r="O177" i="41"/>
  <c r="H77" i="33" s="1"/>
  <c r="S177" i="41"/>
  <c r="Q177" i="41"/>
  <c r="R177" i="41"/>
  <c r="P177" i="41"/>
  <c r="O187" i="41"/>
  <c r="H114" i="33" s="1"/>
  <c r="S187" i="41"/>
  <c r="Q187" i="41"/>
  <c r="R187" i="41"/>
  <c r="P187" i="41"/>
  <c r="O191" i="41"/>
  <c r="S191" i="41"/>
  <c r="Q191" i="41"/>
  <c r="R191" i="41"/>
  <c r="P191" i="41"/>
  <c r="H151" i="33"/>
  <c r="L151" i="33" s="1"/>
  <c r="CK33" i="71"/>
  <c r="CU33" i="71"/>
  <c r="CL33" i="71"/>
  <c r="CV33" i="71"/>
  <c r="CT33" i="71"/>
  <c r="CJ33" i="71"/>
  <c r="J191" i="60"/>
  <c r="J206" i="60"/>
  <c r="J188" i="60"/>
  <c r="J209" i="60"/>
  <c r="I241" i="60" s="1"/>
  <c r="F218" i="60"/>
  <c r="F224" i="60" s="1"/>
  <c r="G245" i="60" s="1"/>
  <c r="F219" i="60"/>
  <c r="F223" i="60" s="1"/>
  <c r="G247" i="60" s="1"/>
  <c r="I192" i="60"/>
  <c r="I210" i="60"/>
  <c r="I207" i="60"/>
  <c r="I189" i="60"/>
  <c r="H188" i="60"/>
  <c r="H209" i="60"/>
  <c r="H241" i="60" s="1"/>
  <c r="H206" i="60"/>
  <c r="H191" i="60"/>
  <c r="L206" i="60"/>
  <c r="L188" i="60"/>
  <c r="L209" i="60"/>
  <c r="J241" i="60" s="1"/>
  <c r="L191" i="60"/>
  <c r="K210" i="60"/>
  <c r="K192" i="60"/>
  <c r="K207" i="60"/>
  <c r="K189" i="60"/>
  <c r="F191" i="60"/>
  <c r="F209" i="60"/>
  <c r="G241" i="60" s="1"/>
  <c r="F206" i="60"/>
  <c r="F188" i="60"/>
  <c r="E190" i="60"/>
  <c r="E211" i="60"/>
  <c r="E208" i="60"/>
  <c r="E193" i="60"/>
  <c r="H192" i="60"/>
  <c r="H189" i="60"/>
  <c r="H210" i="60"/>
  <c r="H207" i="60"/>
  <c r="G217" i="60"/>
  <c r="J210" i="60"/>
  <c r="J189" i="60"/>
  <c r="J207" i="60"/>
  <c r="J192" i="60"/>
  <c r="H222" i="60"/>
  <c r="H233" i="60" s="1"/>
  <c r="H234" i="60" s="1"/>
  <c r="J222" i="60"/>
  <c r="J233" i="60" s="1"/>
  <c r="J234" i="60" s="1"/>
  <c r="J208" i="60"/>
  <c r="J190" i="60"/>
  <c r="J193" i="60"/>
  <c r="J211" i="60"/>
  <c r="I242" i="60" s="1"/>
  <c r="I190" i="60"/>
  <c r="I193" i="60"/>
  <c r="I208" i="60"/>
  <c r="I211" i="60"/>
  <c r="E222" i="60"/>
  <c r="E233" i="60" s="1"/>
  <c r="L207" i="60"/>
  <c r="L192" i="60"/>
  <c r="L189" i="60"/>
  <c r="L210" i="60"/>
  <c r="E209" i="60"/>
  <c r="E188" i="60"/>
  <c r="E191" i="60"/>
  <c r="E217" i="60" s="1"/>
  <c r="E206" i="60"/>
  <c r="F210" i="60"/>
  <c r="F192" i="60"/>
  <c r="F189" i="60"/>
  <c r="F207" i="60"/>
  <c r="I219" i="60"/>
  <c r="I223" i="60" s="1"/>
  <c r="I218" i="60"/>
  <c r="I224" i="60" s="1"/>
  <c r="I222" i="60"/>
  <c r="I233" i="60" s="1"/>
  <c r="I234" i="60" s="1"/>
  <c r="E207" i="60"/>
  <c r="E189" i="60"/>
  <c r="E192" i="60"/>
  <c r="E210" i="60"/>
  <c r="K188" i="60"/>
  <c r="K206" i="60"/>
  <c r="K209" i="60"/>
  <c r="K191" i="60"/>
  <c r="D190" i="60"/>
  <c r="D211" i="60"/>
  <c r="F242" i="60" s="1"/>
  <c r="D208" i="60"/>
  <c r="D193" i="60"/>
  <c r="D206" i="60"/>
  <c r="D188" i="60"/>
  <c r="D209" i="60"/>
  <c r="F241" i="60" s="1"/>
  <c r="D191" i="60"/>
  <c r="D222" i="60"/>
  <c r="D233" i="60" s="1"/>
  <c r="L222" i="60"/>
  <c r="L233" i="60" s="1"/>
  <c r="L234" i="60" s="1"/>
  <c r="G206" i="60"/>
  <c r="G209" i="60"/>
  <c r="G188" i="60"/>
  <c r="G191" i="60"/>
  <c r="L211" i="60"/>
  <c r="J242" i="60" s="1"/>
  <c r="L190" i="60"/>
  <c r="L208" i="60"/>
  <c r="L193" i="60"/>
  <c r="G190" i="60"/>
  <c r="G208" i="60"/>
  <c r="G211" i="60"/>
  <c r="G193" i="60"/>
  <c r="K217" i="60"/>
  <c r="F208" i="60"/>
  <c r="F190" i="60"/>
  <c r="F211" i="60"/>
  <c r="G242" i="60" s="1"/>
  <c r="F193" i="60"/>
  <c r="K211" i="60"/>
  <c r="K193" i="60"/>
  <c r="K190" i="60"/>
  <c r="K208" i="60"/>
  <c r="D210" i="60"/>
  <c r="D207" i="60"/>
  <c r="D189" i="60"/>
  <c r="D192" i="60"/>
  <c r="J217" i="60"/>
  <c r="I206" i="60"/>
  <c r="I209" i="60"/>
  <c r="I188" i="60"/>
  <c r="I191" i="60"/>
  <c r="H208" i="60"/>
  <c r="H193" i="60"/>
  <c r="H211" i="60"/>
  <c r="H242" i="60" s="1"/>
  <c r="H190" i="60"/>
  <c r="G192" i="60"/>
  <c r="G207" i="60"/>
  <c r="G189" i="60"/>
  <c r="G210" i="60"/>
  <c r="L217" i="60"/>
  <c r="H217" i="60"/>
  <c r="H116" i="33" l="1"/>
  <c r="L116" i="33" s="1"/>
  <c r="L188" i="41"/>
  <c r="H79" i="33"/>
  <c r="L79" i="33" s="1"/>
  <c r="L178" i="41"/>
  <c r="T231" i="60"/>
  <c r="S231" i="60"/>
  <c r="Q231" i="60"/>
  <c r="R231" i="60"/>
  <c r="P231" i="60"/>
  <c r="O231" i="60"/>
  <c r="J235" i="60"/>
  <c r="J238" i="60" s="1"/>
  <c r="G235" i="60"/>
  <c r="G238" i="60" s="1"/>
  <c r="K235" i="60"/>
  <c r="K238" i="60" s="1"/>
  <c r="L238" i="60"/>
  <c r="L235" i="60"/>
  <c r="I235" i="60"/>
  <c r="I238" i="60" s="1"/>
  <c r="H235" i="60"/>
  <c r="H238" i="60" s="1"/>
  <c r="D234" i="60"/>
  <c r="D236" i="60" s="1"/>
  <c r="D239" i="60" s="1"/>
  <c r="D235" i="60"/>
  <c r="D238" i="60" s="1"/>
  <c r="E234" i="60"/>
  <c r="E236" i="60" s="1"/>
  <c r="E239" i="60" s="1"/>
  <c r="E235" i="60"/>
  <c r="E238" i="60" s="1"/>
  <c r="J236" i="60"/>
  <c r="J239" i="60" s="1"/>
  <c r="G236" i="60"/>
  <c r="G239" i="60" s="1"/>
  <c r="K236" i="60"/>
  <c r="K239" i="60" s="1"/>
  <c r="L236" i="60"/>
  <c r="L239" i="60" s="1"/>
  <c r="I236" i="60"/>
  <c r="I239" i="60" s="1"/>
  <c r="H236" i="60"/>
  <c r="H239" i="60" s="1"/>
  <c r="H153" i="33"/>
  <c r="R193" i="41"/>
  <c r="S193" i="41"/>
  <c r="R183" i="41"/>
  <c r="S183" i="41"/>
  <c r="P193" i="41"/>
  <c r="Q193" i="41"/>
  <c r="P183" i="41"/>
  <c r="Q183" i="41"/>
  <c r="J42" i="33"/>
  <c r="J48" i="33" s="1"/>
  <c r="I143" i="33" s="1"/>
  <c r="M127" i="20" s="1"/>
  <c r="I221" i="60"/>
  <c r="G246" i="60"/>
  <c r="BB96" i="20"/>
  <c r="H219" i="60"/>
  <c r="H223" i="60" s="1"/>
  <c r="H247" i="60" s="1"/>
  <c r="H218" i="60"/>
  <c r="H224" i="60" s="1"/>
  <c r="H245" i="60" s="1"/>
  <c r="L219" i="60"/>
  <c r="L223" i="60" s="1"/>
  <c r="J247" i="60" s="1"/>
  <c r="L218" i="60"/>
  <c r="L224" i="60" s="1"/>
  <c r="J245" i="60" s="1"/>
  <c r="J218" i="60"/>
  <c r="J224" i="60" s="1"/>
  <c r="I245" i="60" s="1"/>
  <c r="J219" i="60"/>
  <c r="J223" i="60" s="1"/>
  <c r="I247" i="60" s="1"/>
  <c r="E218" i="60"/>
  <c r="E224" i="60" s="1"/>
  <c r="E219" i="60"/>
  <c r="E223" i="60" s="1"/>
  <c r="D217" i="60"/>
  <c r="F221" i="60"/>
  <c r="K218" i="60"/>
  <c r="K224" i="60" s="1"/>
  <c r="K219" i="60"/>
  <c r="K223" i="60" s="1"/>
  <c r="G219" i="60"/>
  <c r="G223" i="60" s="1"/>
  <c r="G218" i="60"/>
  <c r="G224" i="60" s="1"/>
  <c r="G248" i="60"/>
  <c r="H82" i="33" l="1"/>
  <c r="I42" i="33"/>
  <c r="I48" i="33" s="1"/>
  <c r="I134" i="33" s="1"/>
  <c r="J33" i="33"/>
  <c r="I100" i="33"/>
  <c r="M82" i="20" s="1"/>
  <c r="I117" i="33"/>
  <c r="M102" i="20" s="1"/>
  <c r="I63" i="33"/>
  <c r="M46" i="20" s="1"/>
  <c r="I135" i="33"/>
  <c r="I151" i="33"/>
  <c r="I108" i="33"/>
  <c r="M90" i="20" s="1"/>
  <c r="I71" i="33"/>
  <c r="M53" i="20" s="1"/>
  <c r="I80" i="33"/>
  <c r="M64" i="20" s="1"/>
  <c r="K221" i="60"/>
  <c r="L221" i="60"/>
  <c r="H221" i="60"/>
  <c r="D218" i="60"/>
  <c r="D224" i="60" s="1"/>
  <c r="F245" i="60" s="1"/>
  <c r="D219" i="60"/>
  <c r="D223" i="60" s="1"/>
  <c r="F247" i="60" s="1"/>
  <c r="BE96" i="20"/>
  <c r="J246" i="60"/>
  <c r="J248" i="60"/>
  <c r="H248" i="60"/>
  <c r="BD96" i="20"/>
  <c r="I246" i="60"/>
  <c r="I248" i="60"/>
  <c r="J221" i="60"/>
  <c r="H246" i="60"/>
  <c r="BC96" i="20"/>
  <c r="G221" i="60"/>
  <c r="E221" i="60"/>
  <c r="I32" i="33" l="1"/>
  <c r="M119" i="20"/>
  <c r="N84" i="20"/>
  <c r="H84" i="20" s="1"/>
  <c r="I107" i="33"/>
  <c r="I142" i="33"/>
  <c r="I70" i="33"/>
  <c r="M52" i="20" s="1"/>
  <c r="I99" i="33"/>
  <c r="I150" i="33"/>
  <c r="I34" i="33" s="1"/>
  <c r="I62" i="33"/>
  <c r="I79" i="33"/>
  <c r="I116" i="33"/>
  <c r="M101" i="20" s="1"/>
  <c r="J34" i="33"/>
  <c r="J25" i="33"/>
  <c r="J26" i="33"/>
  <c r="J27" i="33"/>
  <c r="J19" i="33"/>
  <c r="J32" i="33"/>
  <c r="J17" i="33"/>
  <c r="J18" i="33"/>
  <c r="J50" i="33"/>
  <c r="K10" i="20" s="1"/>
  <c r="BJ96" i="20"/>
  <c r="BH96" i="20"/>
  <c r="R140" i="20"/>
  <c r="R110" i="20"/>
  <c r="R107" i="20"/>
  <c r="S71" i="20"/>
  <c r="R71" i="20"/>
  <c r="D221" i="60"/>
  <c r="K115" i="33"/>
  <c r="L115" i="33" s="1"/>
  <c r="F248" i="60"/>
  <c r="F246" i="60"/>
  <c r="I25" i="33" l="1"/>
  <c r="M81" i="20"/>
  <c r="I33" i="33"/>
  <c r="I175" i="33" s="1"/>
  <c r="M126" i="20"/>
  <c r="I26" i="33"/>
  <c r="M89" i="20"/>
  <c r="N89" i="20" s="1"/>
  <c r="H89" i="20" s="1"/>
  <c r="I19" i="33"/>
  <c r="M63" i="20"/>
  <c r="I17" i="33"/>
  <c r="M45" i="20"/>
  <c r="O11" i="83"/>
  <c r="N104" i="20"/>
  <c r="H104" i="20" s="1"/>
  <c r="P104" i="20"/>
  <c r="Q84" i="20"/>
  <c r="P84" i="20"/>
  <c r="N92" i="20"/>
  <c r="H92" i="20" s="1"/>
  <c r="N129" i="20"/>
  <c r="H129" i="20" s="1"/>
  <c r="N121" i="20"/>
  <c r="H121" i="20" s="1"/>
  <c r="J10" i="20"/>
  <c r="N101" i="20"/>
  <c r="H101" i="20" s="1"/>
  <c r="I27" i="33"/>
  <c r="I18" i="33"/>
  <c r="Q132" i="20"/>
  <c r="P132" i="20"/>
  <c r="J45" i="33"/>
  <c r="J173" i="33"/>
  <c r="J174" i="33"/>
  <c r="J44" i="33"/>
  <c r="J175" i="33"/>
  <c r="H42" i="33"/>
  <c r="H48" i="33" s="1"/>
  <c r="I115" i="33" s="1"/>
  <c r="M103" i="20" s="1"/>
  <c r="J38" i="33"/>
  <c r="C12" i="20" s="1"/>
  <c r="J43" i="33"/>
  <c r="S90" i="20"/>
  <c r="S88" i="20"/>
  <c r="S53" i="20"/>
  <c r="S101" i="20"/>
  <c r="S102" i="20"/>
  <c r="N111" i="20"/>
  <c r="N64" i="20"/>
  <c r="H64" i="20" s="1"/>
  <c r="AP57" i="20"/>
  <c r="R143" i="20"/>
  <c r="P76" i="20"/>
  <c r="Q76" i="20" s="1"/>
  <c r="R76" i="20" s="1"/>
  <c r="S76" i="20" s="1"/>
  <c r="P75" i="20"/>
  <c r="P114" i="20"/>
  <c r="R68" i="20"/>
  <c r="S124" i="20"/>
  <c r="R120" i="20"/>
  <c r="R75" i="20"/>
  <c r="R124" i="20"/>
  <c r="R87" i="20"/>
  <c r="S120" i="20"/>
  <c r="R114" i="20"/>
  <c r="R61" i="20"/>
  <c r="R52" i="20"/>
  <c r="R83" i="20"/>
  <c r="S61" i="20"/>
  <c r="S114" i="20"/>
  <c r="N137" i="20"/>
  <c r="H137" i="20" s="1"/>
  <c r="N102" i="20"/>
  <c r="H102" i="20" s="1"/>
  <c r="N82" i="20"/>
  <c r="H82" i="20" s="1"/>
  <c r="N46" i="20"/>
  <c r="H46" i="20" s="1"/>
  <c r="N53" i="20"/>
  <c r="H53" i="20" s="1"/>
  <c r="N127" i="20"/>
  <c r="H127" i="20" s="1"/>
  <c r="S140" i="20"/>
  <c r="S107" i="20"/>
  <c r="N72" i="20"/>
  <c r="H72" i="20" s="1"/>
  <c r="S110" i="20"/>
  <c r="N90" i="20"/>
  <c r="H90" i="20" s="1"/>
  <c r="AU111" i="20" l="1"/>
  <c r="AE111" i="20" s="1"/>
  <c r="H111" i="20"/>
  <c r="I174" i="33"/>
  <c r="I43" i="33"/>
  <c r="I45" i="33"/>
  <c r="P11" i="83"/>
  <c r="BQ50" i="20" s="1"/>
  <c r="BP50" i="20"/>
  <c r="N11" i="83"/>
  <c r="BO50" i="20" s="1"/>
  <c r="M11" i="83"/>
  <c r="BN50" i="20" s="1"/>
  <c r="O14" i="83"/>
  <c r="N14" i="83"/>
  <c r="BO79" i="20" s="1"/>
  <c r="M14" i="83"/>
  <c r="BN79" i="20" s="1"/>
  <c r="M13" i="83"/>
  <c r="N13" i="83"/>
  <c r="BO57" i="20" s="1"/>
  <c r="O13" i="83"/>
  <c r="Q129" i="20"/>
  <c r="O20" i="83"/>
  <c r="M20" i="83"/>
  <c r="BN117" i="20" s="1"/>
  <c r="N20" i="83"/>
  <c r="BO117" i="20" s="1"/>
  <c r="O19" i="83"/>
  <c r="P19" i="83" s="1"/>
  <c r="N19" i="83"/>
  <c r="M19" i="83"/>
  <c r="Q104" i="20"/>
  <c r="R104" i="20"/>
  <c r="R84" i="20"/>
  <c r="S84" i="20"/>
  <c r="P92" i="20"/>
  <c r="Q92" i="20"/>
  <c r="P129" i="20"/>
  <c r="S104" i="20"/>
  <c r="S129" i="20"/>
  <c r="R129" i="20"/>
  <c r="I44" i="33"/>
  <c r="R118" i="20"/>
  <c r="I38" i="33"/>
  <c r="C11" i="20" s="1"/>
  <c r="I173" i="33"/>
  <c r="R128" i="20"/>
  <c r="R125" i="20"/>
  <c r="S132" i="20"/>
  <c r="R132" i="20"/>
  <c r="R72" i="20"/>
  <c r="J176" i="33"/>
  <c r="I141" i="33"/>
  <c r="M128" i="20" s="1"/>
  <c r="I78" i="33"/>
  <c r="M65" i="20" s="1"/>
  <c r="I98" i="33"/>
  <c r="M80" i="20" s="1"/>
  <c r="I61" i="33"/>
  <c r="M44" i="20" s="1"/>
  <c r="I149" i="33"/>
  <c r="I106" i="33"/>
  <c r="M91" i="20" s="1"/>
  <c r="I69" i="33"/>
  <c r="M54" i="20" s="1"/>
  <c r="I133" i="33"/>
  <c r="M118" i="20" s="1"/>
  <c r="H27" i="33"/>
  <c r="N103" i="20"/>
  <c r="H103" i="20" s="1"/>
  <c r="R102" i="20"/>
  <c r="R53" i="20"/>
  <c r="R88" i="20"/>
  <c r="S72" i="20"/>
  <c r="R137" i="20"/>
  <c r="R90" i="20"/>
  <c r="S91" i="20"/>
  <c r="S99" i="20"/>
  <c r="P133" i="20"/>
  <c r="R126" i="20"/>
  <c r="R127" i="20"/>
  <c r="R91" i="20"/>
  <c r="R136" i="20"/>
  <c r="S127" i="20"/>
  <c r="S135" i="20"/>
  <c r="S118" i="20"/>
  <c r="S128" i="20"/>
  <c r="S126" i="20"/>
  <c r="S136" i="20"/>
  <c r="S125" i="20"/>
  <c r="S137" i="20"/>
  <c r="R63" i="20"/>
  <c r="S63" i="20"/>
  <c r="Q89" i="20"/>
  <c r="S119" i="20"/>
  <c r="R135" i="20"/>
  <c r="R101" i="20"/>
  <c r="R99" i="20"/>
  <c r="Q103" i="20"/>
  <c r="AO111" i="20"/>
  <c r="V111" i="20" s="1"/>
  <c r="S89" i="20"/>
  <c r="S54" i="20"/>
  <c r="S100" i="20"/>
  <c r="S103" i="20"/>
  <c r="S111" i="20"/>
  <c r="S51" i="20"/>
  <c r="S64" i="20"/>
  <c r="Q126" i="20"/>
  <c r="P91" i="20"/>
  <c r="S143" i="20"/>
  <c r="Q114" i="20"/>
  <c r="Q75" i="20"/>
  <c r="R45" i="20"/>
  <c r="R39" i="20"/>
  <c r="R44" i="20"/>
  <c r="R47" i="20"/>
  <c r="S44" i="20"/>
  <c r="S47" i="20"/>
  <c r="S83" i="20"/>
  <c r="S52" i="20"/>
  <c r="Q91" i="20"/>
  <c r="S75" i="20"/>
  <c r="S87" i="20"/>
  <c r="AV111" i="20" l="1"/>
  <c r="AF111" i="20" s="1"/>
  <c r="I176" i="33"/>
  <c r="P14" i="83"/>
  <c r="BQ79" i="20" s="1"/>
  <c r="S79" i="20" s="1"/>
  <c r="BP79" i="20"/>
  <c r="E95" i="20"/>
  <c r="BN57" i="20"/>
  <c r="AQ57" i="20" s="1"/>
  <c r="P13" i="83"/>
  <c r="BQ57" i="20" s="1"/>
  <c r="BP57" i="20"/>
  <c r="P20" i="83"/>
  <c r="BQ117" i="20" s="1"/>
  <c r="S117" i="20" s="1"/>
  <c r="BP117" i="20"/>
  <c r="S50" i="20"/>
  <c r="R50" i="20"/>
  <c r="R92" i="20"/>
  <c r="S92" i="20"/>
  <c r="P121" i="20"/>
  <c r="Q121" i="20"/>
  <c r="S81" i="20"/>
  <c r="Q81" i="20"/>
  <c r="S133" i="20"/>
  <c r="P128" i="20"/>
  <c r="P125" i="20"/>
  <c r="P88" i="20"/>
  <c r="P53" i="20"/>
  <c r="Q82" i="20"/>
  <c r="H32" i="33"/>
  <c r="N118" i="20"/>
  <c r="H118" i="20" s="1"/>
  <c r="H50" i="33"/>
  <c r="K12" i="20" s="1"/>
  <c r="H17" i="33"/>
  <c r="H18" i="33"/>
  <c r="N54" i="20"/>
  <c r="H54" i="20" s="1"/>
  <c r="H25" i="33"/>
  <c r="N80" i="20"/>
  <c r="H80" i="20" s="1"/>
  <c r="H26" i="33"/>
  <c r="N91" i="20"/>
  <c r="H91" i="20" s="1"/>
  <c r="H19" i="33"/>
  <c r="N65" i="20"/>
  <c r="H65" i="20" s="1"/>
  <c r="N136" i="20"/>
  <c r="H136" i="20" s="1"/>
  <c r="H34" i="33"/>
  <c r="H33" i="33"/>
  <c r="N128" i="20"/>
  <c r="H128" i="20" s="1"/>
  <c r="P89" i="20"/>
  <c r="R54" i="20"/>
  <c r="Q133" i="20"/>
  <c r="P81" i="20"/>
  <c r="R111" i="20"/>
  <c r="R89" i="20"/>
  <c r="S80" i="20"/>
  <c r="R100" i="20"/>
  <c r="R80" i="20"/>
  <c r="R103" i="20"/>
  <c r="S65" i="20"/>
  <c r="R64" i="20"/>
  <c r="R65" i="20"/>
  <c r="R51" i="20"/>
  <c r="P127" i="20"/>
  <c r="P90" i="20"/>
  <c r="P126" i="20"/>
  <c r="P54" i="20"/>
  <c r="P64" i="20"/>
  <c r="P80" i="20"/>
  <c r="P100" i="20"/>
  <c r="P82" i="20"/>
  <c r="Q137" i="20"/>
  <c r="Q128" i="20"/>
  <c r="Q88" i="20"/>
  <c r="S82" i="20"/>
  <c r="AP111" i="20"/>
  <c r="AQ111" i="20" s="1"/>
  <c r="P119" i="20"/>
  <c r="AR57" i="20"/>
  <c r="Q80" i="20"/>
  <c r="Q134" i="20"/>
  <c r="P65" i="20"/>
  <c r="Q54" i="20"/>
  <c r="Q111" i="20"/>
  <c r="Q102" i="20"/>
  <c r="Q125" i="20"/>
  <c r="Q119" i="20"/>
  <c r="R119" i="20"/>
  <c r="P51" i="20"/>
  <c r="Q63" i="20"/>
  <c r="Q127" i="20"/>
  <c r="Q72" i="20"/>
  <c r="Q64" i="20"/>
  <c r="Q46" i="20"/>
  <c r="Q39" i="20"/>
  <c r="S134" i="20"/>
  <c r="P46" i="20"/>
  <c r="Q53" i="20"/>
  <c r="Q90" i="20"/>
  <c r="Q135" i="20"/>
  <c r="Q99" i="20"/>
  <c r="Q101" i="20"/>
  <c r="Q136" i="20"/>
  <c r="Q51" i="20"/>
  <c r="Q118" i="20"/>
  <c r="P102" i="20"/>
  <c r="Q100" i="20"/>
  <c r="P101" i="20"/>
  <c r="P136" i="20"/>
  <c r="P72" i="20"/>
  <c r="P103" i="20"/>
  <c r="P137" i="20"/>
  <c r="P118" i="20"/>
  <c r="P135" i="20"/>
  <c r="Q65" i="20"/>
  <c r="P63" i="20"/>
  <c r="P99" i="20"/>
  <c r="P111" i="20"/>
  <c r="AW111" i="20"/>
  <c r="V72" i="20"/>
  <c r="AE72" i="20"/>
  <c r="S45" i="20"/>
  <c r="S39" i="20"/>
  <c r="L75" i="33"/>
  <c r="BN95" i="20" l="1"/>
  <c r="P95" i="20" s="1"/>
  <c r="BM95" i="20"/>
  <c r="BQ95" i="20" s="1"/>
  <c r="Q79" i="20"/>
  <c r="R79" i="20"/>
  <c r="Q50" i="20"/>
  <c r="P50" i="20"/>
  <c r="S121" i="20"/>
  <c r="R121" i="20"/>
  <c r="R81" i="20"/>
  <c r="H45" i="33"/>
  <c r="R133" i="20"/>
  <c r="H174" i="33"/>
  <c r="H44" i="33"/>
  <c r="H38" i="33"/>
  <c r="C10" i="20" s="1"/>
  <c r="H173" i="33"/>
  <c r="H43" i="33"/>
  <c r="H175" i="33"/>
  <c r="P79" i="20"/>
  <c r="P117" i="20"/>
  <c r="P134" i="20"/>
  <c r="R134" i="20"/>
  <c r="R82" i="20"/>
  <c r="R117" i="20"/>
  <c r="R46" i="20"/>
  <c r="S46" i="20"/>
  <c r="BB111" i="20"/>
  <c r="W111" i="20" s="1"/>
  <c r="Q117" i="20"/>
  <c r="AF72" i="20"/>
  <c r="AR111" i="20"/>
  <c r="BC111" i="20"/>
  <c r="Y111" i="20" s="1"/>
  <c r="AX111" i="20"/>
  <c r="BH111" i="20"/>
  <c r="AH111" i="20" s="1"/>
  <c r="BO95" i="20" l="1"/>
  <c r="Q95" i="20" s="1"/>
  <c r="BP95" i="20"/>
  <c r="R95" i="20" s="1"/>
  <c r="S95" i="20"/>
  <c r="N44" i="20"/>
  <c r="H44" i="20" s="1"/>
  <c r="J12" i="20"/>
  <c r="H176" i="33"/>
  <c r="AG111" i="20"/>
  <c r="AY111" i="20"/>
  <c r="BJ111" i="20" s="1"/>
  <c r="AL111" i="20" s="1"/>
  <c r="BI111" i="20"/>
  <c r="AJ111" i="20" s="1"/>
  <c r="AS111" i="20"/>
  <c r="BE111" i="20" s="1"/>
  <c r="AC111" i="20" s="1"/>
  <c r="BD111" i="20"/>
  <c r="AA111" i="20" s="1"/>
  <c r="X111" i="20"/>
  <c r="BH72" i="20"/>
  <c r="AH72" i="20" s="1"/>
  <c r="AG72" i="20" s="1"/>
  <c r="L77" i="33"/>
  <c r="R62" i="20"/>
  <c r="BB72" i="20"/>
  <c r="W72" i="20" s="1"/>
  <c r="Q62" i="20" l="1"/>
  <c r="P62" i="20"/>
  <c r="AB111" i="20"/>
  <c r="AK111" i="20"/>
  <c r="BJ72" i="20"/>
  <c r="AL72" i="20" s="1"/>
  <c r="BI72" i="20"/>
  <c r="AJ72" i="20" s="1"/>
  <c r="AI72" i="20" s="1"/>
  <c r="Z111" i="20"/>
  <c r="AI111" i="20"/>
  <c r="S62" i="20"/>
  <c r="BC72" i="20"/>
  <c r="Y72" i="20" s="1"/>
  <c r="X72" i="20" s="1"/>
  <c r="AK72" i="20" l="1"/>
  <c r="L114" i="33"/>
  <c r="BD72" i="20"/>
  <c r="AA72" i="20" s="1"/>
  <c r="Z72" i="20" s="1"/>
  <c r="L46" i="71" l="1"/>
  <c r="L47" i="71"/>
  <c r="L148" i="33"/>
  <c r="G42" i="33" s="1"/>
  <c r="G48" i="33" s="1"/>
  <c r="I75" i="33"/>
  <c r="BE72" i="20"/>
  <c r="AC72" i="20" s="1"/>
  <c r="AB72" i="20" s="1"/>
  <c r="I56" i="33" l="1"/>
  <c r="M40" i="20" s="1"/>
  <c r="N40" i="20" s="1"/>
  <c r="E9" i="85" s="1"/>
  <c r="I93" i="33"/>
  <c r="M76" i="20" s="1"/>
  <c r="I140" i="33"/>
  <c r="M125" i="20" s="1"/>
  <c r="I105" i="33"/>
  <c r="M88" i="20" s="1"/>
  <c r="I132" i="33"/>
  <c r="M120" i="20" s="1"/>
  <c r="I68" i="33"/>
  <c r="M51" i="20" s="1"/>
  <c r="I97" i="33"/>
  <c r="M83" i="20" s="1"/>
  <c r="I60" i="33"/>
  <c r="M47" i="20" s="1"/>
  <c r="I77" i="33"/>
  <c r="M61" i="20" s="1"/>
  <c r="I148" i="33"/>
  <c r="I114" i="33"/>
  <c r="M100" i="20" s="1"/>
  <c r="H40" i="20" l="1"/>
  <c r="AO40" i="20"/>
  <c r="G24" i="33"/>
  <c r="G33" i="33"/>
  <c r="G16" i="33"/>
  <c r="G18" i="33"/>
  <c r="N51" i="20"/>
  <c r="H51" i="20" s="1"/>
  <c r="G19" i="33"/>
  <c r="G25" i="33"/>
  <c r="G32" i="33"/>
  <c r="G17" i="33"/>
  <c r="G27" i="33"/>
  <c r="G34" i="33"/>
  <c r="N88" i="20"/>
  <c r="H88" i="20" s="1"/>
  <c r="G26" i="33"/>
  <c r="M46" i="71"/>
  <c r="AD46" i="71" s="1"/>
  <c r="M47" i="71"/>
  <c r="AD47" i="71" s="1"/>
  <c r="N81" i="20"/>
  <c r="H81" i="20" s="1"/>
  <c r="N119" i="20"/>
  <c r="H119" i="20" s="1"/>
  <c r="N63" i="20"/>
  <c r="H63" i="20" s="1"/>
  <c r="N126" i="20"/>
  <c r="H126" i="20" s="1"/>
  <c r="I50" i="33"/>
  <c r="K11" i="20" s="1"/>
  <c r="G45" i="33" l="1"/>
  <c r="G43" i="33"/>
  <c r="G174" i="33"/>
  <c r="G175" i="33"/>
  <c r="G173" i="33"/>
  <c r="AV40" i="20"/>
  <c r="AS57" i="20"/>
  <c r="G44" i="33"/>
  <c r="N100" i="20"/>
  <c r="H100" i="20" s="1"/>
  <c r="G38" i="33"/>
  <c r="C9" i="20" s="1"/>
  <c r="AY47" i="71"/>
  <c r="BJ47" i="71"/>
  <c r="CX47" i="71" s="1"/>
  <c r="AL47" i="71"/>
  <c r="AW47" i="71"/>
  <c r="AX47" i="71"/>
  <c r="AZ47" i="71"/>
  <c r="AU47" i="71"/>
  <c r="AT47" i="71"/>
  <c r="AX46" i="71"/>
  <c r="AT46" i="71"/>
  <c r="AW46" i="71"/>
  <c r="AU46" i="71"/>
  <c r="AL46" i="71"/>
  <c r="AZ46" i="71"/>
  <c r="BJ46" i="71"/>
  <c r="CX46" i="71" s="1"/>
  <c r="AY46" i="71"/>
  <c r="N125" i="20"/>
  <c r="H125" i="20" s="1"/>
  <c r="N76" i="20"/>
  <c r="G50" i="33"/>
  <c r="K9" i="20" s="1"/>
  <c r="AF40" i="20" l="1"/>
  <c r="BG40" i="20"/>
  <c r="H76" i="20"/>
  <c r="E20" i="85"/>
  <c r="N45" i="20"/>
  <c r="H45" i="20" s="1"/>
  <c r="J11" i="20"/>
  <c r="AX40" i="20"/>
  <c r="AY40" i="20"/>
  <c r="V40" i="20"/>
  <c r="AW40" i="20"/>
  <c r="AU40" i="20"/>
  <c r="AE40" i="20" s="1"/>
  <c r="G176" i="33"/>
  <c r="AU76" i="20"/>
  <c r="CQ46" i="71"/>
  <c r="CG46" i="71"/>
  <c r="CE46" i="71"/>
  <c r="CO46" i="71"/>
  <c r="CN46" i="71"/>
  <c r="CD46" i="71"/>
  <c r="CD47" i="71"/>
  <c r="CN47" i="71"/>
  <c r="CQ47" i="71"/>
  <c r="CG47" i="71"/>
  <c r="BY46" i="71"/>
  <c r="BH46" i="71"/>
  <c r="BT46" i="71"/>
  <c r="BU46" i="71" s="1"/>
  <c r="BG46" i="71"/>
  <c r="BO46" i="71"/>
  <c r="DC46" i="71" s="1"/>
  <c r="BB46" i="71"/>
  <c r="BC46" i="71"/>
  <c r="BE46" i="71"/>
  <c r="BF46" i="71"/>
  <c r="CP46" i="71"/>
  <c r="CF46" i="71"/>
  <c r="CO47" i="71"/>
  <c r="CE47" i="71"/>
  <c r="CF47" i="71"/>
  <c r="CP47" i="71"/>
  <c r="BG47" i="71"/>
  <c r="BC47" i="71"/>
  <c r="BE47" i="71"/>
  <c r="BY47" i="71"/>
  <c r="BF47" i="71"/>
  <c r="BH47" i="71"/>
  <c r="BO47" i="71"/>
  <c r="DC47" i="71" s="1"/>
  <c r="BT47" i="71"/>
  <c r="BU47" i="71" s="1"/>
  <c r="BB47" i="71"/>
  <c r="AO76" i="20"/>
  <c r="N52" i="20"/>
  <c r="H52" i="20" s="1"/>
  <c r="AL40" i="20" l="1"/>
  <c r="BJ40" i="20"/>
  <c r="AJ40" i="20"/>
  <c r="BI40" i="20"/>
  <c r="AH40" i="20"/>
  <c r="AG40" i="20" s="1"/>
  <c r="BH40" i="20"/>
  <c r="AP40" i="20"/>
  <c r="AE76" i="20"/>
  <c r="AV76" i="20"/>
  <c r="V76" i="20"/>
  <c r="AP76" i="20"/>
  <c r="AE41" i="20"/>
  <c r="CV47" i="71"/>
  <c r="BR47" i="71"/>
  <c r="CL47" i="71"/>
  <c r="CT47" i="71"/>
  <c r="BP47" i="71"/>
  <c r="CJ47" i="71"/>
  <c r="CS46" i="71"/>
  <c r="CI46" i="71"/>
  <c r="CV46" i="71"/>
  <c r="CL46" i="71"/>
  <c r="BR46" i="71"/>
  <c r="CI47" i="71"/>
  <c r="CS47" i="71"/>
  <c r="CU47" i="71"/>
  <c r="BQ47" i="71"/>
  <c r="CK47" i="71"/>
  <c r="CU46" i="71"/>
  <c r="CK46" i="71"/>
  <c r="BQ46" i="71"/>
  <c r="BP46" i="71"/>
  <c r="CT46" i="71"/>
  <c r="CJ46" i="71"/>
  <c r="N61" i="20"/>
  <c r="N83" i="20"/>
  <c r="H83" i="20" s="1"/>
  <c r="N120" i="20"/>
  <c r="H120" i="20" s="1"/>
  <c r="M48" i="20"/>
  <c r="N47" i="20"/>
  <c r="H47" i="20" s="1"/>
  <c r="AK40" i="20" l="1"/>
  <c r="AI40" i="20"/>
  <c r="W40" i="20"/>
  <c r="BB40" i="20"/>
  <c r="H61" i="20"/>
  <c r="AQ40" i="20"/>
  <c r="AQ76" i="20"/>
  <c r="W76" i="20"/>
  <c r="AW76" i="20"/>
  <c r="AX76" i="20" s="1"/>
  <c r="AF76" i="20"/>
  <c r="BH137" i="20"/>
  <c r="BZ46" i="71"/>
  <c r="DD46" i="71"/>
  <c r="DF46" i="71"/>
  <c r="CB46" i="71"/>
  <c r="DD47" i="71"/>
  <c r="BZ47" i="71"/>
  <c r="DE46" i="71"/>
  <c r="CA46" i="71"/>
  <c r="DE47" i="71"/>
  <c r="CA47" i="71"/>
  <c r="DF47" i="71"/>
  <c r="CB47" i="71"/>
  <c r="BB76" i="20"/>
  <c r="Y40" i="20" l="1"/>
  <c r="X40" i="20" s="1"/>
  <c r="BC40" i="20"/>
  <c r="AR40" i="20"/>
  <c r="AJ76" i="20"/>
  <c r="AH76" i="20"/>
  <c r="AG76" i="20" s="1"/>
  <c r="BH76" i="20"/>
  <c r="AR76" i="20"/>
  <c r="Y76" i="20"/>
  <c r="X76" i="20" s="1"/>
  <c r="AY76" i="20"/>
  <c r="BI76" i="20"/>
  <c r="BE99" i="20"/>
  <c r="AC99" i="20" s="1"/>
  <c r="BD99" i="20"/>
  <c r="AA99" i="20" s="1"/>
  <c r="BJ137" i="20"/>
  <c r="BI137" i="20"/>
  <c r="BJ100" i="20"/>
  <c r="AL100" i="20" s="1"/>
  <c r="BI100" i="20"/>
  <c r="AJ100" i="20" s="1"/>
  <c r="BJ102" i="20"/>
  <c r="AL102" i="20" s="1"/>
  <c r="BI102" i="20"/>
  <c r="AJ102" i="20" s="1"/>
  <c r="BJ103" i="20"/>
  <c r="AL103" i="20" s="1"/>
  <c r="BI103" i="20"/>
  <c r="AJ103" i="20" s="1"/>
  <c r="BJ88" i="20"/>
  <c r="AL88" i="20" s="1"/>
  <c r="BI88" i="20"/>
  <c r="AJ88" i="20" s="1"/>
  <c r="BJ91" i="20"/>
  <c r="AL91" i="20" s="1"/>
  <c r="BI91" i="20"/>
  <c r="AJ91" i="20" s="1"/>
  <c r="BJ90" i="20"/>
  <c r="AL90" i="20" s="1"/>
  <c r="BI90" i="20"/>
  <c r="AJ90" i="20" s="1"/>
  <c r="BD87" i="20"/>
  <c r="AA87" i="20" s="1"/>
  <c r="AW54" i="20"/>
  <c r="AF54" i="20"/>
  <c r="BC76" i="20"/>
  <c r="AA40" i="20" l="1"/>
  <c r="Z40" i="20" s="1"/>
  <c r="BD40" i="20"/>
  <c r="AS40" i="20"/>
  <c r="BE87" i="20"/>
  <c r="AC87" i="20" s="1"/>
  <c r="AB87" i="20" s="1"/>
  <c r="AI76" i="20"/>
  <c r="BC57" i="20"/>
  <c r="Y57" i="20" s="1"/>
  <c r="BJ76" i="20"/>
  <c r="AL76" i="20"/>
  <c r="AK76" i="20" s="1"/>
  <c r="AS76" i="20"/>
  <c r="AC76" i="20" s="1"/>
  <c r="AA76" i="20"/>
  <c r="AK90" i="20"/>
  <c r="AK91" i="20"/>
  <c r="AK88" i="20"/>
  <c r="AK103" i="20"/>
  <c r="AK102" i="20"/>
  <c r="AK100" i="20"/>
  <c r="AB99" i="20"/>
  <c r="BE50" i="20"/>
  <c r="BD50" i="20"/>
  <c r="AX54" i="20"/>
  <c r="BH54" i="20"/>
  <c r="AH54" i="20" s="1"/>
  <c r="BD57" i="20"/>
  <c r="AA57" i="20" s="1"/>
  <c r="BJ128" i="20"/>
  <c r="AL128" i="20" s="1"/>
  <c r="BI128" i="20"/>
  <c r="AJ128" i="20" s="1"/>
  <c r="BJ127" i="20"/>
  <c r="AL127" i="20" s="1"/>
  <c r="BI127" i="20"/>
  <c r="AJ127" i="20" s="1"/>
  <c r="BE124" i="20"/>
  <c r="AC124" i="20" s="1"/>
  <c r="BD124" i="20"/>
  <c r="AA124" i="20" s="1"/>
  <c r="BD62" i="20"/>
  <c r="AA62" i="20" s="1"/>
  <c r="BB57" i="20"/>
  <c r="W57" i="20" s="1"/>
  <c r="BD76" i="20"/>
  <c r="AC40" i="20" l="1"/>
  <c r="AB40" i="20" s="1"/>
  <c r="BE40" i="20"/>
  <c r="BE62" i="20"/>
  <c r="AC62" i="20" s="1"/>
  <c r="AB76" i="20"/>
  <c r="Z76" i="20"/>
  <c r="AB124" i="20"/>
  <c r="AK127" i="20"/>
  <c r="AK128" i="20"/>
  <c r="BE57" i="20"/>
  <c r="AC57" i="20" s="1"/>
  <c r="AB57" i="20" s="1"/>
  <c r="AY54" i="20"/>
  <c r="BJ54" i="20" s="1"/>
  <c r="AL54" i="20" s="1"/>
  <c r="BI54" i="20"/>
  <c r="AJ54" i="20" s="1"/>
  <c r="AI54" i="20" s="1"/>
  <c r="Z57" i="20"/>
  <c r="BJ53" i="20"/>
  <c r="AL53" i="20" s="1"/>
  <c r="BI53" i="20"/>
  <c r="AJ53" i="20" s="1"/>
  <c r="BJ51" i="20"/>
  <c r="AL51" i="20" s="1"/>
  <c r="BI51" i="20"/>
  <c r="AJ51" i="20" s="1"/>
  <c r="AG54" i="20"/>
  <c r="X57" i="20"/>
  <c r="BE76" i="20"/>
  <c r="AB62" i="20" l="1"/>
  <c r="AK51" i="20"/>
  <c r="AK53" i="20"/>
  <c r="BE79" i="20"/>
  <c r="AC79" i="20" s="1"/>
  <c r="BD79" i="20"/>
  <c r="AA79" i="20" s="1"/>
  <c r="BJ64" i="20"/>
  <c r="AL64" i="20" s="1"/>
  <c r="BI64" i="20"/>
  <c r="AJ64" i="20" s="1"/>
  <c r="BJ65" i="20"/>
  <c r="AL65" i="20" s="1"/>
  <c r="BI65" i="20"/>
  <c r="AJ65" i="20" s="1"/>
  <c r="BE117" i="20"/>
  <c r="AC117" i="20" s="1"/>
  <c r="BD117" i="20"/>
  <c r="AA117" i="20" s="1"/>
  <c r="AK54" i="20"/>
  <c r="BJ118" i="20"/>
  <c r="AL118" i="20" s="1"/>
  <c r="BI118" i="20"/>
  <c r="AJ118" i="20" s="1"/>
  <c r="BJ83" i="20"/>
  <c r="AL83" i="20" s="1"/>
  <c r="BI83" i="20"/>
  <c r="AJ83" i="20" s="1"/>
  <c r="BJ80" i="20"/>
  <c r="AL80" i="20" s="1"/>
  <c r="BJ82" i="20"/>
  <c r="AL82" i="20" s="1"/>
  <c r="BI82" i="20"/>
  <c r="AJ82" i="20" s="1"/>
  <c r="BI61" i="20"/>
  <c r="AJ61" i="20" s="1"/>
  <c r="BJ47" i="20"/>
  <c r="AL47" i="20" s="1"/>
  <c r="BI47" i="20"/>
  <c r="AJ47" i="20" s="1"/>
  <c r="BJ44" i="20"/>
  <c r="AL44" i="20" s="1"/>
  <c r="BI44" i="20"/>
  <c r="AJ44" i="20" s="1"/>
  <c r="BJ45" i="20"/>
  <c r="AL45" i="20" s="1"/>
  <c r="BJ46" i="20"/>
  <c r="AL46" i="20" s="1"/>
  <c r="BI46" i="20"/>
  <c r="AJ46" i="20" s="1"/>
  <c r="BD43" i="20"/>
  <c r="AA43" i="20" s="1"/>
  <c r="BJ61" i="20" l="1"/>
  <c r="AL61" i="20" s="1"/>
  <c r="AK61" i="20" s="1"/>
  <c r="AB79" i="20"/>
  <c r="AK82" i="20"/>
  <c r="AK83" i="20"/>
  <c r="AK118" i="20"/>
  <c r="AB117" i="20"/>
  <c r="AK65" i="20"/>
  <c r="AK64" i="20"/>
  <c r="AK46" i="20"/>
  <c r="AK44" i="20"/>
  <c r="AK47" i="20"/>
  <c r="BE43" i="20"/>
  <c r="AC43" i="20" s="1"/>
  <c r="AB43" i="20" l="1"/>
  <c r="Q140" i="20" l="1"/>
  <c r="BB41" i="20" l="1"/>
  <c r="BC41" i="20" l="1"/>
  <c r="BD41" i="20" l="1"/>
  <c r="BE41" i="20" l="1"/>
  <c r="N135" i="20" l="1"/>
  <c r="AU136" i="20" s="1"/>
  <c r="J9" i="20"/>
  <c r="AO136" i="20"/>
  <c r="AO135" i="20"/>
  <c r="AO137" i="20" l="1"/>
  <c r="AU135" i="20"/>
  <c r="AV135" i="20" s="1"/>
  <c r="H135" i="20"/>
  <c r="N138" i="20"/>
  <c r="AU138" i="20" s="1"/>
  <c r="AE138" i="20" s="1"/>
  <c r="AP137" i="20"/>
  <c r="AV136" i="20"/>
  <c r="AP135" i="20"/>
  <c r="AP136" i="20"/>
  <c r="AW135" i="20" l="1"/>
  <c r="AQ136" i="20"/>
  <c r="BB136" i="20"/>
  <c r="AQ135" i="20"/>
  <c r="BB135" i="20"/>
  <c r="AW136" i="20"/>
  <c r="AQ137" i="20"/>
  <c r="BB137" i="20"/>
  <c r="BH136" i="20" l="1"/>
  <c r="AR137" i="20"/>
  <c r="BC137" i="20"/>
  <c r="AR135" i="20"/>
  <c r="BC135" i="20"/>
  <c r="AR136" i="20"/>
  <c r="BC136" i="20"/>
  <c r="BH135" i="20"/>
  <c r="BD137" i="20" l="1"/>
  <c r="AS137" i="20"/>
  <c r="BI135" i="20"/>
  <c r="AS136" i="20"/>
  <c r="BD136" i="20"/>
  <c r="AS135" i="20"/>
  <c r="BD135" i="20"/>
  <c r="BI136" i="20"/>
  <c r="BE136" i="20" l="1"/>
  <c r="BJ136" i="20"/>
  <c r="BE135" i="20"/>
  <c r="BJ135" i="20"/>
  <c r="BE137" i="20"/>
  <c r="L76" i="33" l="1"/>
  <c r="I76" i="33" s="1"/>
  <c r="M62" i="20" s="1"/>
  <c r="L147" i="33" l="1"/>
  <c r="I147" i="33" s="1"/>
  <c r="F19" i="33"/>
  <c r="N62" i="20" l="1"/>
  <c r="M66" i="20"/>
  <c r="M133" i="20"/>
  <c r="N133" i="20" s="1"/>
  <c r="H133" i="20" s="1"/>
  <c r="M134" i="20"/>
  <c r="N134" i="20" s="1"/>
  <c r="H134" i="20" s="1"/>
  <c r="F35" i="33"/>
  <c r="M34" i="33" s="1"/>
  <c r="M132" i="20"/>
  <c r="H62" i="20" l="1"/>
  <c r="E13" i="85"/>
  <c r="N132" i="20"/>
  <c r="M138" i="20"/>
  <c r="AO58" i="20"/>
  <c r="AO57" i="20"/>
  <c r="AU57" i="20"/>
  <c r="AU58" i="20"/>
  <c r="AE58" i="20" s="1"/>
  <c r="AU65" i="20"/>
  <c r="AE65" i="20" s="1"/>
  <c r="AU61" i="20"/>
  <c r="AE61" i="20" s="1"/>
  <c r="AU62" i="20"/>
  <c r="AE62" i="20" s="1"/>
  <c r="AO65" i="20"/>
  <c r="N66" i="20"/>
  <c r="AU63" i="20"/>
  <c r="AE63" i="20" s="1"/>
  <c r="AO64" i="20"/>
  <c r="V64" i="20" s="1"/>
  <c r="AO63" i="20"/>
  <c r="AO62" i="20"/>
  <c r="V62" i="20" s="1"/>
  <c r="AO61" i="20"/>
  <c r="AP63" i="20" l="1"/>
  <c r="V63" i="20"/>
  <c r="AP65" i="20"/>
  <c r="BB65" i="20" s="1"/>
  <c r="W65" i="20" s="1"/>
  <c r="V65" i="20"/>
  <c r="AP61" i="20"/>
  <c r="V61" i="20"/>
  <c r="E33" i="85"/>
  <c r="E34" i="85"/>
  <c r="AP64" i="20"/>
  <c r="AQ64" i="20" s="1"/>
  <c r="AU64" i="20"/>
  <c r="AE64" i="20" s="1"/>
  <c r="AU133" i="20"/>
  <c r="H132" i="20"/>
  <c r="AO134" i="20"/>
  <c r="AU134" i="20"/>
  <c r="AO133" i="20"/>
  <c r="AE57" i="20"/>
  <c r="AU59" i="20"/>
  <c r="AV63" i="20" s="1"/>
  <c r="AF63" i="20" s="1"/>
  <c r="AO59" i="20"/>
  <c r="V57" i="20"/>
  <c r="AQ61" i="20"/>
  <c r="BB61" i="20"/>
  <c r="W61" i="20" s="1"/>
  <c r="AR58" i="20"/>
  <c r="AP58" i="20"/>
  <c r="AQ58" i="20"/>
  <c r="V58" i="20"/>
  <c r="AS58" i="20"/>
  <c r="AX62" i="20"/>
  <c r="BI62" i="20" s="1"/>
  <c r="AJ62" i="20" s="1"/>
  <c r="AY62" i="20"/>
  <c r="BJ62" i="20" s="1"/>
  <c r="AL62" i="20" s="1"/>
  <c r="AV62" i="20"/>
  <c r="AF62" i="20" s="1"/>
  <c r="AQ62" i="20"/>
  <c r="BC62" i="20" s="1"/>
  <c r="Y62" i="20" s="1"/>
  <c r="AP62" i="20"/>
  <c r="BB62" i="20" s="1"/>
  <c r="W62" i="20" s="1"/>
  <c r="AW62" i="20"/>
  <c r="BH62" i="20" s="1"/>
  <c r="AH62" i="20" s="1"/>
  <c r="AQ63" i="20"/>
  <c r="BB63" i="20"/>
  <c r="W63" i="20"/>
  <c r="AU132" i="20"/>
  <c r="AO132" i="20"/>
  <c r="V132" i="20" s="1"/>
  <c r="AQ65" i="20" l="1"/>
  <c r="AV134" i="20"/>
  <c r="AE134" i="20"/>
  <c r="AP133" i="20"/>
  <c r="V133" i="20"/>
  <c r="AV133" i="20"/>
  <c r="AE133" i="20"/>
  <c r="AV132" i="20"/>
  <c r="AE132" i="20"/>
  <c r="AP134" i="20"/>
  <c r="BB134" i="20" s="1"/>
  <c r="V134" i="20"/>
  <c r="BB64" i="20"/>
  <c r="W64" i="20" s="1"/>
  <c r="AW64" i="20"/>
  <c r="BH64" i="20" s="1"/>
  <c r="AH64" i="20" s="1"/>
  <c r="AI64" i="20" s="1"/>
  <c r="AW65" i="20"/>
  <c r="BH65" i="20" s="1"/>
  <c r="AH65" i="20" s="1"/>
  <c r="AI65" i="20" s="1"/>
  <c r="AV65" i="20"/>
  <c r="AF65" i="20" s="1"/>
  <c r="AV64" i="20"/>
  <c r="AF64" i="20" s="1"/>
  <c r="AV61" i="20"/>
  <c r="AF61" i="20" s="1"/>
  <c r="AY63" i="20"/>
  <c r="BJ63" i="20" s="1"/>
  <c r="AL63" i="20" s="1"/>
  <c r="AW61" i="20"/>
  <c r="BH61" i="20" s="1"/>
  <c r="AH61" i="20" s="1"/>
  <c r="AY59" i="20"/>
  <c r="BJ57" i="20"/>
  <c r="AL57" i="20" s="1"/>
  <c r="AX59" i="20"/>
  <c r="BI57" i="20"/>
  <c r="AJ57" i="20" s="1"/>
  <c r="AU66" i="20"/>
  <c r="AE66" i="20" s="1"/>
  <c r="AE59" i="20"/>
  <c r="X62" i="20"/>
  <c r="AK62" i="20"/>
  <c r="BI58" i="20"/>
  <c r="AJ58" i="20" s="1"/>
  <c r="AG58" i="20"/>
  <c r="AH58" i="20"/>
  <c r="BJ58" i="20"/>
  <c r="AL58" i="20" s="1"/>
  <c r="Z62" i="20"/>
  <c r="AR59" i="20"/>
  <c r="BD58" i="20"/>
  <c r="AA58" i="20" s="1"/>
  <c r="AR61" i="20"/>
  <c r="BC61" i="20"/>
  <c r="Y61" i="20" s="1"/>
  <c r="AF57" i="20"/>
  <c r="AV59" i="20"/>
  <c r="BH57" i="20"/>
  <c r="AH57" i="20" s="1"/>
  <c r="AW59" i="20"/>
  <c r="AW63" i="20"/>
  <c r="BH63" i="20" s="1"/>
  <c r="AH63" i="20" s="1"/>
  <c r="AR65" i="20"/>
  <c r="BC65" i="20"/>
  <c r="Y65" i="20" s="1"/>
  <c r="X65" i="20" s="1"/>
  <c r="AR63" i="20"/>
  <c r="BC63" i="20"/>
  <c r="Y63" i="20" s="1"/>
  <c r="AG62" i="20"/>
  <c r="BC58" i="20"/>
  <c r="Y58" i="20" s="1"/>
  <c r="AQ59" i="20"/>
  <c r="BH58" i="20"/>
  <c r="AF58" i="20"/>
  <c r="AP132" i="20"/>
  <c r="W132" i="20" s="1"/>
  <c r="AO138" i="20"/>
  <c r="V138" i="20" s="1"/>
  <c r="AI62" i="20"/>
  <c r="AS59" i="20"/>
  <c r="BE58" i="20"/>
  <c r="AC58" i="20" s="1"/>
  <c r="BB58" i="20"/>
  <c r="W58" i="20" s="1"/>
  <c r="AP59" i="20"/>
  <c r="AO66" i="20"/>
  <c r="V66" i="20" s="1"/>
  <c r="V59" i="20"/>
  <c r="AX63" i="20"/>
  <c r="BI63" i="20" s="1"/>
  <c r="AJ63" i="20" s="1"/>
  <c r="AR64" i="20"/>
  <c r="BC64" i="20"/>
  <c r="Y64" i="20" s="1"/>
  <c r="AW132" i="20" l="1"/>
  <c r="AF132" i="20"/>
  <c r="AQ133" i="20"/>
  <c r="W133" i="20"/>
  <c r="BB133" i="20"/>
  <c r="AQ134" i="20"/>
  <c r="W134" i="20"/>
  <c r="AW133" i="20"/>
  <c r="AF133" i="20"/>
  <c r="AW134" i="20"/>
  <c r="AF134" i="20"/>
  <c r="AG61" i="20"/>
  <c r="AG65" i="20"/>
  <c r="AG64" i="20"/>
  <c r="AI57" i="20"/>
  <c r="AI61" i="20"/>
  <c r="Z58" i="20"/>
  <c r="AV66" i="20"/>
  <c r="AK58" i="20"/>
  <c r="X58" i="20"/>
  <c r="AG57" i="20"/>
  <c r="AK57" i="20"/>
  <c r="AG63" i="20"/>
  <c r="BJ59" i="20"/>
  <c r="AY66" i="20"/>
  <c r="BJ66" i="20" s="1"/>
  <c r="AI63" i="20"/>
  <c r="AK63" i="20"/>
  <c r="BC59" i="20"/>
  <c r="AQ66" i="20"/>
  <c r="BC66" i="20" s="1"/>
  <c r="X63" i="20"/>
  <c r="BH59" i="20"/>
  <c r="AW66" i="20"/>
  <c r="BH66" i="20" s="1"/>
  <c r="X61" i="20"/>
  <c r="AB58" i="20"/>
  <c r="AP66" i="20"/>
  <c r="BB66" i="20" s="1"/>
  <c r="BB59" i="20"/>
  <c r="X64" i="20"/>
  <c r="AS64" i="20"/>
  <c r="BE64" i="20" s="1"/>
  <c r="AC64" i="20" s="1"/>
  <c r="BD64" i="20"/>
  <c r="AA64" i="20" s="1"/>
  <c r="BE59" i="20"/>
  <c r="AS63" i="20"/>
  <c r="BE63" i="20" s="1"/>
  <c r="AC63" i="20" s="1"/>
  <c r="BD63" i="20"/>
  <c r="AA63" i="20" s="1"/>
  <c r="AS61" i="20"/>
  <c r="BE61" i="20" s="1"/>
  <c r="AC61" i="20" s="1"/>
  <c r="BD61" i="20"/>
  <c r="AA61" i="20" s="1"/>
  <c r="BD59" i="20"/>
  <c r="AR66" i="20"/>
  <c r="BD66" i="20" s="1"/>
  <c r="BI59" i="20"/>
  <c r="AX66" i="20"/>
  <c r="BI66" i="20" s="1"/>
  <c r="BB132" i="20"/>
  <c r="AQ132" i="20"/>
  <c r="Y132" i="20" s="1"/>
  <c r="AP138" i="20"/>
  <c r="BB138" i="20" s="1"/>
  <c r="AS65" i="20"/>
  <c r="BE65" i="20" s="1"/>
  <c r="AC65" i="20" s="1"/>
  <c r="BD65" i="20"/>
  <c r="AA65" i="20" s="1"/>
  <c r="Y133" i="20" l="1"/>
  <c r="BC133" i="20"/>
  <c r="AR133" i="20"/>
  <c r="AX134" i="20"/>
  <c r="AH134" i="20"/>
  <c r="AG134" i="20" s="1"/>
  <c r="BH134" i="20"/>
  <c r="Y134" i="20"/>
  <c r="AR134" i="20"/>
  <c r="BC134" i="20"/>
  <c r="AH132" i="20"/>
  <c r="BH132" i="20"/>
  <c r="AX132" i="20"/>
  <c r="BH133" i="20"/>
  <c r="AH133" i="20"/>
  <c r="AG133" i="20" s="1"/>
  <c r="AX133" i="20"/>
  <c r="X132" i="20"/>
  <c r="AB65" i="20"/>
  <c r="Z61" i="20"/>
  <c r="AB61" i="20"/>
  <c r="AS66" i="20"/>
  <c r="BE66" i="20" s="1"/>
  <c r="AR132" i="20"/>
  <c r="AA132" i="20" s="1"/>
  <c r="Z132" i="20" s="1"/>
  <c r="BC132" i="20"/>
  <c r="AQ138" i="20"/>
  <c r="BC138" i="20" s="1"/>
  <c r="Z64" i="20"/>
  <c r="AB64" i="20"/>
  <c r="Z65" i="20"/>
  <c r="Z63" i="20"/>
  <c r="AB63" i="20"/>
  <c r="AA134" i="20" l="1"/>
  <c r="BD134" i="20"/>
  <c r="AS134" i="20"/>
  <c r="AJ134" i="20"/>
  <c r="AI134" i="20" s="1"/>
  <c r="BI134" i="20"/>
  <c r="AY134" i="20"/>
  <c r="AG132" i="20"/>
  <c r="BI133" i="20"/>
  <c r="AJ133" i="20"/>
  <c r="AI133" i="20" s="1"/>
  <c r="AY133" i="20"/>
  <c r="Z134" i="20"/>
  <c r="X134" i="20"/>
  <c r="X133" i="20"/>
  <c r="AJ132" i="20"/>
  <c r="AY132" i="20"/>
  <c r="BI132" i="20"/>
  <c r="AA133" i="20"/>
  <c r="Z133" i="20" s="1"/>
  <c r="AS133" i="20"/>
  <c r="BD133" i="20"/>
  <c r="BD132" i="20"/>
  <c r="AS132" i="20"/>
  <c r="AC132" i="20" s="1"/>
  <c r="AB132" i="20" s="1"/>
  <c r="AR138" i="20"/>
  <c r="BD138" i="20" s="1"/>
  <c r="BE133" i="20" l="1"/>
  <c r="AC133" i="20"/>
  <c r="BJ133" i="20"/>
  <c r="AL133" i="20"/>
  <c r="AK133" i="20" s="1"/>
  <c r="BJ134" i="20"/>
  <c r="AL134" i="20"/>
  <c r="AK134" i="20" s="1"/>
  <c r="BJ132" i="20"/>
  <c r="AL132" i="20"/>
  <c r="AK132" i="20" s="1"/>
  <c r="BE134" i="20"/>
  <c r="AC134" i="20"/>
  <c r="AB134" i="20" s="1"/>
  <c r="AB133" i="20"/>
  <c r="AI132" i="20"/>
  <c r="BE132" i="20"/>
  <c r="AS138" i="20"/>
  <c r="BE138" i="20" s="1"/>
  <c r="H113" i="33" l="1"/>
  <c r="H119" i="33" s="1"/>
  <c r="L112" i="33"/>
  <c r="L67" i="33"/>
  <c r="I67" i="33" s="1"/>
  <c r="M50" i="20" s="1"/>
  <c r="L139" i="33"/>
  <c r="I139" i="33" s="1"/>
  <c r="M124" i="20" s="1"/>
  <c r="L104" i="33"/>
  <c r="I104" i="33" s="1"/>
  <c r="M87" i="20" s="1"/>
  <c r="L113" i="33" l="1"/>
  <c r="I113" i="33" s="1"/>
  <c r="M99" i="20" s="1"/>
  <c r="L84" i="33"/>
  <c r="I84" i="33" s="1"/>
  <c r="M68" i="20" s="1"/>
  <c r="L96" i="33"/>
  <c r="I96" i="33" s="1"/>
  <c r="M79" i="20" s="1"/>
  <c r="F18" i="33"/>
  <c r="L124" i="33"/>
  <c r="I124" i="33" s="1"/>
  <c r="M110" i="20" s="1"/>
  <c r="L59" i="33"/>
  <c r="I59" i="33" s="1"/>
  <c r="M43" i="20" s="1"/>
  <c r="F33" i="33"/>
  <c r="I112" i="33"/>
  <c r="L158" i="33"/>
  <c r="I158" i="33" s="1"/>
  <c r="M143" i="20" s="1"/>
  <c r="L88" i="33"/>
  <c r="I88" i="33" s="1"/>
  <c r="M71" i="20" s="1"/>
  <c r="L131" i="33"/>
  <c r="I131" i="33" s="1"/>
  <c r="M117" i="20" s="1"/>
  <c r="L155" i="33"/>
  <c r="I155" i="33" s="1"/>
  <c r="M140" i="20" s="1"/>
  <c r="F26" i="33"/>
  <c r="L121" i="33"/>
  <c r="I121" i="33" s="1"/>
  <c r="M107" i="20" s="1"/>
  <c r="M96" i="20" l="1"/>
  <c r="M95" i="20"/>
  <c r="M112" i="33"/>
  <c r="F27" i="33"/>
  <c r="F21" i="33"/>
  <c r="F32" i="33"/>
  <c r="F29" i="33"/>
  <c r="F22" i="33"/>
  <c r="F30" i="33"/>
  <c r="F37" i="33"/>
  <c r="F17" i="33"/>
  <c r="F36" i="33"/>
  <c r="F28" i="33"/>
  <c r="N99" i="20"/>
  <c r="M105" i="20"/>
  <c r="F25" i="33"/>
  <c r="H99" i="20" l="1"/>
  <c r="AU104" i="20"/>
  <c r="AO104" i="20"/>
  <c r="N87" i="20"/>
  <c r="M93" i="20"/>
  <c r="N79" i="20"/>
  <c r="M85" i="20"/>
  <c r="N95" i="20"/>
  <c r="M97" i="20"/>
  <c r="N124" i="20"/>
  <c r="M130" i="20"/>
  <c r="N117" i="20"/>
  <c r="M122" i="20"/>
  <c r="AO103" i="20"/>
  <c r="AO99" i="20"/>
  <c r="V99" i="20" s="1"/>
  <c r="N105" i="20"/>
  <c r="AU105" i="20" s="1"/>
  <c r="AO102" i="20"/>
  <c r="AU103" i="20"/>
  <c r="AO101" i="20"/>
  <c r="AU99" i="20"/>
  <c r="AU102" i="20"/>
  <c r="AU100" i="20"/>
  <c r="AO100" i="20"/>
  <c r="AU101" i="20"/>
  <c r="N50" i="20"/>
  <c r="M55" i="20"/>
  <c r="AV101" i="20" l="1"/>
  <c r="AE101" i="20"/>
  <c r="AV99" i="20"/>
  <c r="AE99" i="20"/>
  <c r="AP104" i="20"/>
  <c r="V104" i="20"/>
  <c r="AV100" i="20"/>
  <c r="AE100" i="20"/>
  <c r="AP103" i="20"/>
  <c r="V103" i="20"/>
  <c r="AV104" i="20"/>
  <c r="AF104" i="20" s="1"/>
  <c r="AE104" i="20"/>
  <c r="AP100" i="20"/>
  <c r="V100" i="20"/>
  <c r="AP101" i="20"/>
  <c r="V101" i="20"/>
  <c r="AV103" i="20"/>
  <c r="AE103" i="20"/>
  <c r="AV102" i="20"/>
  <c r="AE102" i="20"/>
  <c r="AP102" i="20"/>
  <c r="V102" i="20"/>
  <c r="H117" i="20"/>
  <c r="E31" i="85"/>
  <c r="H87" i="20"/>
  <c r="E22" i="85"/>
  <c r="H79" i="20"/>
  <c r="E21" i="85"/>
  <c r="H124" i="20"/>
  <c r="AN129" i="20" s="1"/>
  <c r="E32" i="85"/>
  <c r="H50" i="20"/>
  <c r="E11" i="85"/>
  <c r="H95" i="20"/>
  <c r="AO84" i="20"/>
  <c r="V84" i="20" s="1"/>
  <c r="AU84" i="20"/>
  <c r="AE84" i="20" s="1"/>
  <c r="AU92" i="20"/>
  <c r="AE92" i="20" s="1"/>
  <c r="AO92" i="20"/>
  <c r="V92" i="20" s="1"/>
  <c r="W104" i="20"/>
  <c r="AQ104" i="20"/>
  <c r="BB104" i="20"/>
  <c r="AW104" i="20"/>
  <c r="AO121" i="20"/>
  <c r="AU121" i="20"/>
  <c r="AU129" i="20"/>
  <c r="AO129" i="20"/>
  <c r="M69" i="20"/>
  <c r="N68" i="20"/>
  <c r="AQ100" i="20"/>
  <c r="BB100" i="20"/>
  <c r="W100" i="20" s="1"/>
  <c r="AW99" i="20"/>
  <c r="AF99" i="20"/>
  <c r="AQ102" i="20"/>
  <c r="BB102" i="20"/>
  <c r="W102" i="20" s="1"/>
  <c r="AU89" i="20"/>
  <c r="AE89" i="20" s="1"/>
  <c r="AU90" i="20"/>
  <c r="AE90" i="20" s="1"/>
  <c r="AU88" i="20"/>
  <c r="AE88" i="20" s="1"/>
  <c r="AU91" i="20"/>
  <c r="AE91" i="20" s="1"/>
  <c r="AU87" i="20"/>
  <c r="AE87" i="20" s="1"/>
  <c r="AO90" i="20"/>
  <c r="N93" i="20"/>
  <c r="AO91" i="20"/>
  <c r="V91" i="20" s="1"/>
  <c r="AO89" i="20"/>
  <c r="AO87" i="20"/>
  <c r="V87" i="20" s="1"/>
  <c r="AO88" i="20"/>
  <c r="V88" i="20" s="1"/>
  <c r="N71" i="20"/>
  <c r="M73" i="20"/>
  <c r="AU51" i="20"/>
  <c r="AO53" i="20"/>
  <c r="AO51" i="20"/>
  <c r="AU52" i="20"/>
  <c r="AU54" i="20"/>
  <c r="AE54" i="20" s="1"/>
  <c r="AU53" i="20"/>
  <c r="AU50" i="20"/>
  <c r="AE50" i="20" s="1"/>
  <c r="AO52" i="20"/>
  <c r="N55" i="20"/>
  <c r="AO50" i="20"/>
  <c r="V50" i="20" s="1"/>
  <c r="AO54" i="20"/>
  <c r="AQ101" i="20"/>
  <c r="BB101" i="20"/>
  <c r="W101" i="20" s="1"/>
  <c r="AU80" i="20"/>
  <c r="AE80" i="20" s="1"/>
  <c r="AU79" i="20"/>
  <c r="AE79" i="20" s="1"/>
  <c r="AO80" i="20"/>
  <c r="V80" i="20" s="1"/>
  <c r="AO82" i="20"/>
  <c r="V82" i="20" s="1"/>
  <c r="AO81" i="20"/>
  <c r="V81" i="20" s="1"/>
  <c r="N85" i="20"/>
  <c r="AU81" i="20"/>
  <c r="AE81" i="20" s="1"/>
  <c r="AU83" i="20"/>
  <c r="AE83" i="20" s="1"/>
  <c r="AU82" i="20"/>
  <c r="AE82" i="20" s="1"/>
  <c r="AO79" i="20"/>
  <c r="V79" i="20" s="1"/>
  <c r="AO83" i="20"/>
  <c r="V83" i="20" s="1"/>
  <c r="AW100" i="20"/>
  <c r="BH100" i="20" s="1"/>
  <c r="AH100" i="20" s="1"/>
  <c r="AF100" i="20"/>
  <c r="AP99" i="20"/>
  <c r="AO105" i="20"/>
  <c r="N107" i="20"/>
  <c r="M108" i="20"/>
  <c r="M144" i="20"/>
  <c r="N143" i="20"/>
  <c r="M141" i="20"/>
  <c r="N140" i="20"/>
  <c r="AF101" i="20"/>
  <c r="AW101" i="20"/>
  <c r="AF102" i="20"/>
  <c r="AW102" i="20"/>
  <c r="BH102" i="20" s="1"/>
  <c r="AH102" i="20" s="1"/>
  <c r="AW103" i="20"/>
  <c r="BH103" i="20" s="1"/>
  <c r="AH103" i="20" s="1"/>
  <c r="AF103" i="20"/>
  <c r="AQ103" i="20"/>
  <c r="BB103" i="20"/>
  <c r="W103" i="20" s="1"/>
  <c r="AU118" i="20"/>
  <c r="AO117" i="20"/>
  <c r="V117" i="20" s="1"/>
  <c r="AO119" i="20"/>
  <c r="AU120" i="20"/>
  <c r="AU117" i="20"/>
  <c r="AO120" i="20"/>
  <c r="N122" i="20"/>
  <c r="AU122" i="20" s="1"/>
  <c r="AE122" i="20" s="1"/>
  <c r="AU119" i="20"/>
  <c r="AO118" i="20"/>
  <c r="AO126" i="20"/>
  <c r="AO128" i="20"/>
  <c r="AO124" i="20"/>
  <c r="V124" i="20" s="1"/>
  <c r="AU125" i="20"/>
  <c r="AU127" i="20"/>
  <c r="AO125" i="20"/>
  <c r="AU126" i="20"/>
  <c r="AU128" i="20"/>
  <c r="AU124" i="20"/>
  <c r="AE124" i="20" s="1"/>
  <c r="AO127" i="20"/>
  <c r="N130" i="20"/>
  <c r="AU130" i="20" s="1"/>
  <c r="AE130" i="20" s="1"/>
  <c r="N96" i="20"/>
  <c r="E23" i="85" s="1"/>
  <c r="M112" i="20"/>
  <c r="N110" i="20"/>
  <c r="V105" i="20" l="1"/>
  <c r="AV125" i="20"/>
  <c r="AE125" i="20"/>
  <c r="AP125" i="20"/>
  <c r="W125" i="20" s="1"/>
  <c r="V125" i="20"/>
  <c r="AV127" i="20"/>
  <c r="AE127" i="20"/>
  <c r="AP126" i="20"/>
  <c r="W126" i="20" s="1"/>
  <c r="V126" i="20"/>
  <c r="AP89" i="20"/>
  <c r="V89" i="20"/>
  <c r="AE105" i="20"/>
  <c r="AV128" i="20"/>
  <c r="AE128" i="20"/>
  <c r="AV126" i="20"/>
  <c r="AE126" i="20"/>
  <c r="AV129" i="20"/>
  <c r="AE129" i="20"/>
  <c r="AP129" i="20"/>
  <c r="W129" i="20" s="1"/>
  <c r="V129" i="20"/>
  <c r="AP127" i="20"/>
  <c r="V127" i="20"/>
  <c r="AP128" i="20"/>
  <c r="V128" i="20"/>
  <c r="AP90" i="20"/>
  <c r="V90" i="20"/>
  <c r="E24" i="85"/>
  <c r="H71" i="20"/>
  <c r="E15" i="85"/>
  <c r="H110" i="20"/>
  <c r="E26" i="85"/>
  <c r="H107" i="20"/>
  <c r="E25" i="85"/>
  <c r="H68" i="20"/>
  <c r="E14" i="85"/>
  <c r="H143" i="20"/>
  <c r="E36" i="85"/>
  <c r="H140" i="20"/>
  <c r="E35" i="85"/>
  <c r="AO95" i="20"/>
  <c r="H96" i="20"/>
  <c r="AQ84" i="20"/>
  <c r="AR84" i="20"/>
  <c r="AS84" i="20"/>
  <c r="AP84" i="20"/>
  <c r="AQ92" i="20"/>
  <c r="AR92" i="20"/>
  <c r="AP92" i="20"/>
  <c r="AS92" i="20"/>
  <c r="AH104" i="20"/>
  <c r="AG104" i="20" s="1"/>
  <c r="BH104" i="20"/>
  <c r="AX104" i="20"/>
  <c r="AR104" i="20"/>
  <c r="BC104" i="20"/>
  <c r="Y104" i="20"/>
  <c r="X104" i="20" s="1"/>
  <c r="AE121" i="20"/>
  <c r="AV121" i="20"/>
  <c r="V121" i="20"/>
  <c r="AP121" i="20"/>
  <c r="BB129" i="20"/>
  <c r="AW129" i="20"/>
  <c r="AF129" i="20"/>
  <c r="AP118" i="20"/>
  <c r="AQ118" i="20" s="1"/>
  <c r="V118" i="20"/>
  <c r="AV119" i="20"/>
  <c r="AW119" i="20" s="1"/>
  <c r="AE119" i="20"/>
  <c r="AV117" i="20"/>
  <c r="AF117" i="20" s="1"/>
  <c r="AE117" i="20"/>
  <c r="AP119" i="20"/>
  <c r="AQ119" i="20" s="1"/>
  <c r="V119" i="20"/>
  <c r="AV118" i="20"/>
  <c r="AF118" i="20" s="1"/>
  <c r="AE118" i="20"/>
  <c r="AP120" i="20"/>
  <c r="AQ120" i="20" s="1"/>
  <c r="V120" i="20"/>
  <c r="AV120" i="20"/>
  <c r="AF120" i="20" s="1"/>
  <c r="AE120" i="20"/>
  <c r="AU68" i="20"/>
  <c r="AE68" i="20" s="1"/>
  <c r="AO68" i="20"/>
  <c r="V68" i="20" s="1"/>
  <c r="N69" i="20"/>
  <c r="AP88" i="20"/>
  <c r="AQ88" i="20" s="1"/>
  <c r="AU95" i="20"/>
  <c r="N97" i="20"/>
  <c r="AW125" i="20"/>
  <c r="AF125" i="20"/>
  <c r="BC103" i="20"/>
  <c r="Y103" i="20" s="1"/>
  <c r="AR103" i="20"/>
  <c r="AU110" i="20"/>
  <c r="N112" i="20"/>
  <c r="AU112" i="20" s="1"/>
  <c r="AE112" i="20" s="1"/>
  <c r="AO110" i="20"/>
  <c r="AQ127" i="20"/>
  <c r="W127" i="20"/>
  <c r="BB127" i="20"/>
  <c r="AW126" i="20"/>
  <c r="AF126" i="20"/>
  <c r="AO130" i="20"/>
  <c r="V130" i="20" s="1"/>
  <c r="AP124" i="20"/>
  <c r="AN126" i="20"/>
  <c r="AN124" i="20"/>
  <c r="AN125" i="20"/>
  <c r="AN127" i="20"/>
  <c r="AN128" i="20"/>
  <c r="AG103" i="20"/>
  <c r="AX101" i="20"/>
  <c r="BH101" i="20"/>
  <c r="AH101" i="20" s="1"/>
  <c r="AP83" i="20"/>
  <c r="BB83" i="20" s="1"/>
  <c r="W83" i="20" s="1"/>
  <c r="AR83" i="20"/>
  <c r="BD83" i="20" s="1"/>
  <c r="AA83" i="20" s="1"/>
  <c r="AQ83" i="20"/>
  <c r="AS83" i="20"/>
  <c r="BE83" i="20" s="1"/>
  <c r="AC83" i="20" s="1"/>
  <c r="AW81" i="20"/>
  <c r="BH81" i="20" s="1"/>
  <c r="AH81" i="20" s="1"/>
  <c r="AY81" i="20"/>
  <c r="BJ81" i="20" s="1"/>
  <c r="AL81" i="20" s="1"/>
  <c r="AX81" i="20"/>
  <c r="BI81" i="20" s="1"/>
  <c r="AJ81" i="20" s="1"/>
  <c r="AV81" i="20"/>
  <c r="AF81" i="20" s="1"/>
  <c r="AR82" i="20"/>
  <c r="BD82" i="20" s="1"/>
  <c r="AA82" i="20" s="1"/>
  <c r="AQ82" i="20"/>
  <c r="AS82" i="20"/>
  <c r="BE82" i="20" s="1"/>
  <c r="AC82" i="20" s="1"/>
  <c r="AP82" i="20"/>
  <c r="BB82" i="20" s="1"/>
  <c r="W82" i="20" s="1"/>
  <c r="AR101" i="20"/>
  <c r="BC101" i="20"/>
  <c r="Y101" i="20" s="1"/>
  <c r="V52" i="20"/>
  <c r="AQ52" i="20"/>
  <c r="BC52" i="20" s="1"/>
  <c r="Y52" i="20" s="1"/>
  <c r="AS52" i="20"/>
  <c r="BE52" i="20" s="1"/>
  <c r="AC52" i="20" s="1"/>
  <c r="AR52" i="20"/>
  <c r="AP52" i="20"/>
  <c r="BB52" i="20" s="1"/>
  <c r="W52" i="20" s="1"/>
  <c r="AE52" i="20"/>
  <c r="AW52" i="20"/>
  <c r="BH52" i="20" s="1"/>
  <c r="AH52" i="20" s="1"/>
  <c r="AY52" i="20"/>
  <c r="BJ52" i="20" s="1"/>
  <c r="AL52" i="20" s="1"/>
  <c r="AX52" i="20"/>
  <c r="BI52" i="20" s="1"/>
  <c r="AJ52" i="20" s="1"/>
  <c r="AV52" i="20"/>
  <c r="AF52" i="20" s="1"/>
  <c r="AU71" i="20"/>
  <c r="AO71" i="20"/>
  <c r="N73" i="20"/>
  <c r="AP91" i="20"/>
  <c r="BB91" i="20" s="1"/>
  <c r="W91" i="20" s="1"/>
  <c r="AQ91" i="20"/>
  <c r="BC91" i="20" s="1"/>
  <c r="Y91" i="20" s="1"/>
  <c r="AR91" i="20"/>
  <c r="BD91" i="20" s="1"/>
  <c r="AA91" i="20" s="1"/>
  <c r="AS91" i="20"/>
  <c r="BE91" i="20" s="1"/>
  <c r="AC91" i="20" s="1"/>
  <c r="AW90" i="20"/>
  <c r="BH90" i="20" s="1"/>
  <c r="AH90" i="20" s="1"/>
  <c r="AV90" i="20"/>
  <c r="AF90" i="20" s="1"/>
  <c r="BH99" i="20"/>
  <c r="AH99" i="20" s="1"/>
  <c r="AG99" i="20" s="1"/>
  <c r="AX99" i="20"/>
  <c r="AQ125" i="20"/>
  <c r="AI103" i="20"/>
  <c r="AQ99" i="20"/>
  <c r="BB99" i="20"/>
  <c r="W99" i="20" s="1"/>
  <c r="AP105" i="20"/>
  <c r="BB105" i="20" s="1"/>
  <c r="AP79" i="20"/>
  <c r="AO85" i="20"/>
  <c r="V85" i="20" s="1"/>
  <c r="AQ79" i="20"/>
  <c r="AP80" i="20"/>
  <c r="BB80" i="20" s="1"/>
  <c r="W80" i="20" s="1"/>
  <c r="AQ80" i="20"/>
  <c r="BC80" i="20" s="1"/>
  <c r="Y80" i="20" s="1"/>
  <c r="AS80" i="20"/>
  <c r="AR80" i="20"/>
  <c r="V54" i="20"/>
  <c r="AR54" i="20"/>
  <c r="BD54" i="20" s="1"/>
  <c r="AA54" i="20" s="1"/>
  <c r="AP54" i="20"/>
  <c r="BB54" i="20" s="1"/>
  <c r="W54" i="20" s="1"/>
  <c r="AQ54" i="20"/>
  <c r="BC54" i="20" s="1"/>
  <c r="Y54" i="20" s="1"/>
  <c r="AS54" i="20"/>
  <c r="BE54" i="20" s="1"/>
  <c r="AC54" i="20" s="1"/>
  <c r="AW50" i="20"/>
  <c r="AH50" i="20" s="1"/>
  <c r="AY50" i="20"/>
  <c r="AL50" i="20" s="1"/>
  <c r="AX50" i="20"/>
  <c r="AJ50" i="20" s="1"/>
  <c r="AU55" i="20"/>
  <c r="AE55" i="20" s="1"/>
  <c r="AV50" i="20"/>
  <c r="AF50" i="20" s="1"/>
  <c r="AG50" i="20" s="1"/>
  <c r="V51" i="20"/>
  <c r="AQ51" i="20"/>
  <c r="BC51" i="20" s="1"/>
  <c r="Y51" i="20" s="1"/>
  <c r="AS51" i="20"/>
  <c r="AR51" i="20"/>
  <c r="AP51" i="20"/>
  <c r="BB51" i="20" s="1"/>
  <c r="W51" i="20" s="1"/>
  <c r="AV87" i="20"/>
  <c r="AX87" i="20"/>
  <c r="AU93" i="20"/>
  <c r="AY87" i="20"/>
  <c r="AW87" i="20"/>
  <c r="AV89" i="20"/>
  <c r="AF89" i="20" s="1"/>
  <c r="AY89" i="20"/>
  <c r="BJ89" i="20" s="1"/>
  <c r="AL89" i="20" s="1"/>
  <c r="AX89" i="20"/>
  <c r="BI89" i="20" s="1"/>
  <c r="AJ89" i="20" s="1"/>
  <c r="AW89" i="20"/>
  <c r="BH89" i="20" s="1"/>
  <c r="AH89" i="20" s="1"/>
  <c r="AU96" i="20"/>
  <c r="AO96" i="20"/>
  <c r="AV124" i="20"/>
  <c r="AW127" i="20"/>
  <c r="BH127" i="20" s="1"/>
  <c r="AH127" i="20" s="1"/>
  <c r="AF127" i="20"/>
  <c r="AQ128" i="20"/>
  <c r="BB128" i="20"/>
  <c r="W128" i="20"/>
  <c r="AI102" i="20"/>
  <c r="AU140" i="20"/>
  <c r="N141" i="20"/>
  <c r="AU141" i="20" s="1"/>
  <c r="AE141" i="20" s="1"/>
  <c r="AO140" i="20"/>
  <c r="AU143" i="20"/>
  <c r="N144" i="20"/>
  <c r="AU144" i="20" s="1"/>
  <c r="AO143" i="20"/>
  <c r="AG100" i="20"/>
  <c r="AW82" i="20"/>
  <c r="BH82" i="20" s="1"/>
  <c r="AH82" i="20" s="1"/>
  <c r="AV82" i="20"/>
  <c r="AF82" i="20" s="1"/>
  <c r="AP81" i="20"/>
  <c r="BB81" i="20" s="1"/>
  <c r="W81" i="20" s="1"/>
  <c r="AQ81" i="20"/>
  <c r="BC81" i="20" s="1"/>
  <c r="Y81" i="20" s="1"/>
  <c r="AS81" i="20"/>
  <c r="BE81" i="20" s="1"/>
  <c r="AC81" i="20" s="1"/>
  <c r="AR81" i="20"/>
  <c r="BD81" i="20" s="1"/>
  <c r="AA81" i="20" s="1"/>
  <c r="AX79" i="20"/>
  <c r="AW79" i="20"/>
  <c r="AV79" i="20"/>
  <c r="AY79" i="20"/>
  <c r="AU85" i="20"/>
  <c r="AE85" i="20" s="1"/>
  <c r="AP50" i="20"/>
  <c r="W50" i="20" s="1"/>
  <c r="AQ50" i="20"/>
  <c r="Y50" i="20" s="1"/>
  <c r="Z50" i="20" s="1"/>
  <c r="AO55" i="20"/>
  <c r="V55" i="20" s="1"/>
  <c r="AE53" i="20"/>
  <c r="AW53" i="20"/>
  <c r="BH53" i="20" s="1"/>
  <c r="AH53" i="20" s="1"/>
  <c r="AV53" i="20"/>
  <c r="AF53" i="20" s="1"/>
  <c r="V53" i="20"/>
  <c r="AR53" i="20"/>
  <c r="BD53" i="20" s="1"/>
  <c r="AA53" i="20" s="1"/>
  <c r="AP53" i="20"/>
  <c r="BB53" i="20" s="1"/>
  <c r="W53" i="20" s="1"/>
  <c r="AQ53" i="20"/>
  <c r="BC53" i="20" s="1"/>
  <c r="Y53" i="20" s="1"/>
  <c r="AS53" i="20"/>
  <c r="BE53" i="20" s="1"/>
  <c r="AC53" i="20" s="1"/>
  <c r="AQ87" i="20"/>
  <c r="AP87" i="20"/>
  <c r="AO93" i="20"/>
  <c r="V93" i="20" s="1"/>
  <c r="AV91" i="20"/>
  <c r="AF91" i="20" s="1"/>
  <c r="AW91" i="20"/>
  <c r="BH91" i="20" s="1"/>
  <c r="AH91" i="20" s="1"/>
  <c r="AR102" i="20"/>
  <c r="BC102" i="20"/>
  <c r="Y102" i="20" s="1"/>
  <c r="AR100" i="20"/>
  <c r="BC100" i="20"/>
  <c r="Y100" i="20" s="1"/>
  <c r="AW128" i="20"/>
  <c r="BH128" i="20" s="1"/>
  <c r="AH128" i="20" s="1"/>
  <c r="AF128" i="20"/>
  <c r="BB126" i="20"/>
  <c r="AP117" i="20"/>
  <c r="AO122" i="20"/>
  <c r="V122" i="20" s="1"/>
  <c r="AG102" i="20"/>
  <c r="AU107" i="20"/>
  <c r="N108" i="20"/>
  <c r="AO107" i="20"/>
  <c r="AI100" i="20"/>
  <c r="AV83" i="20"/>
  <c r="AF83" i="20" s="1"/>
  <c r="AW83" i="20"/>
  <c r="BH83" i="20" s="1"/>
  <c r="AH83" i="20" s="1"/>
  <c r="AW80" i="20"/>
  <c r="BH80" i="20" s="1"/>
  <c r="AH80" i="20" s="1"/>
  <c r="AX80" i="20"/>
  <c r="BI80" i="20" s="1"/>
  <c r="AJ80" i="20" s="1"/>
  <c r="AV80" i="20"/>
  <c r="AF80" i="20" s="1"/>
  <c r="AE51" i="20"/>
  <c r="AW51" i="20"/>
  <c r="BH51" i="20" s="1"/>
  <c r="AH51" i="20" s="1"/>
  <c r="AV51" i="20"/>
  <c r="AF51" i="20" s="1"/>
  <c r="AQ89" i="20"/>
  <c r="BB89" i="20"/>
  <c r="W89" i="20" s="1"/>
  <c r="AQ90" i="20"/>
  <c r="BB90" i="20"/>
  <c r="W90" i="20" s="1"/>
  <c r="AW88" i="20"/>
  <c r="BH88" i="20" s="1"/>
  <c r="AH88" i="20" s="1"/>
  <c r="AV88" i="20"/>
  <c r="AF88" i="20" s="1"/>
  <c r="AF105" i="20"/>
  <c r="AQ126" i="20" l="1"/>
  <c r="BB125" i="20"/>
  <c r="AK50" i="20"/>
  <c r="AQ129" i="20"/>
  <c r="BC129" i="20" s="1"/>
  <c r="AP96" i="20"/>
  <c r="AQ96" i="20" s="1"/>
  <c r="V96" i="20"/>
  <c r="AI50" i="20"/>
  <c r="AP95" i="20"/>
  <c r="AP97" i="20" s="1"/>
  <c r="BB97" i="20" s="1"/>
  <c r="V95" i="20"/>
  <c r="X50" i="20"/>
  <c r="AV95" i="20"/>
  <c r="AE95" i="20"/>
  <c r="AV96" i="20"/>
  <c r="AE96" i="20"/>
  <c r="W84" i="20"/>
  <c r="BB84" i="20"/>
  <c r="AC84" i="20"/>
  <c r="BE84" i="20"/>
  <c r="BD84" i="20"/>
  <c r="AA84" i="20"/>
  <c r="Y84" i="20"/>
  <c r="BC84" i="20"/>
  <c r="W92" i="20"/>
  <c r="BB92" i="20"/>
  <c r="BE92" i="20"/>
  <c r="AC92" i="20"/>
  <c r="AA92" i="20"/>
  <c r="BD92" i="20"/>
  <c r="Y92" i="20"/>
  <c r="BC92" i="20"/>
  <c r="AS104" i="20"/>
  <c r="BD104" i="20"/>
  <c r="AA104" i="20"/>
  <c r="Z104" i="20" s="1"/>
  <c r="AY104" i="20"/>
  <c r="AJ104" i="20"/>
  <c r="AI104" i="20" s="1"/>
  <c r="BI104" i="20"/>
  <c r="W121" i="20"/>
  <c r="AQ121" i="20"/>
  <c r="BB121" i="20"/>
  <c r="AF121" i="20"/>
  <c r="AW121" i="20"/>
  <c r="AH129" i="20"/>
  <c r="BH129" i="20"/>
  <c r="AX129" i="20"/>
  <c r="BB119" i="20"/>
  <c r="W119" i="20" s="1"/>
  <c r="AF119" i="20"/>
  <c r="BB120" i="20"/>
  <c r="W120" i="20" s="1"/>
  <c r="AW118" i="20"/>
  <c r="BH118" i="20" s="1"/>
  <c r="AH118" i="20" s="1"/>
  <c r="AI118" i="20" s="1"/>
  <c r="AW120" i="20"/>
  <c r="BH120" i="20" s="1"/>
  <c r="AH120" i="20" s="1"/>
  <c r="AW117" i="20"/>
  <c r="AX117" i="20" s="1"/>
  <c r="BB118" i="20"/>
  <c r="W118" i="20" s="1"/>
  <c r="BB88" i="20"/>
  <c r="W88" i="20" s="1"/>
  <c r="AO69" i="20"/>
  <c r="V69" i="20" s="1"/>
  <c r="AU69" i="20"/>
  <c r="AE69" i="20" s="1"/>
  <c r="V107" i="20"/>
  <c r="AP107" i="20"/>
  <c r="AY85" i="20"/>
  <c r="BJ85" i="20" s="1"/>
  <c r="BJ79" i="20"/>
  <c r="AL79" i="20" s="1"/>
  <c r="Z81" i="20"/>
  <c r="W96" i="20"/>
  <c r="AK89" i="20"/>
  <c r="X80" i="20"/>
  <c r="BB79" i="20"/>
  <c r="W79" i="20" s="1"/>
  <c r="AP85" i="20"/>
  <c r="BB85" i="20" s="1"/>
  <c r="AI90" i="20"/>
  <c r="X101" i="20"/>
  <c r="AK81" i="20"/>
  <c r="Y83" i="20"/>
  <c r="X83" i="20" s="1"/>
  <c r="BC83" i="20"/>
  <c r="AY101" i="20"/>
  <c r="BJ101" i="20" s="1"/>
  <c r="AL101" i="20" s="1"/>
  <c r="BI101" i="20"/>
  <c r="AJ101" i="20" s="1"/>
  <c r="AI101" i="20" s="1"/>
  <c r="BH119" i="20"/>
  <c r="AH119" i="20" s="1"/>
  <c r="AX119" i="20"/>
  <c r="AI88" i="20"/>
  <c r="AR89" i="20"/>
  <c r="BC89" i="20"/>
  <c r="Y89" i="20" s="1"/>
  <c r="AG80" i="20"/>
  <c r="AR126" i="20"/>
  <c r="BC126" i="20"/>
  <c r="Y126" i="20" s="1"/>
  <c r="AU97" i="20"/>
  <c r="AE97" i="20" s="1"/>
  <c r="X102" i="20"/>
  <c r="AI91" i="20"/>
  <c r="AQ93" i="20"/>
  <c r="BC93" i="20" s="1"/>
  <c r="BC87" i="20"/>
  <c r="Y87" i="20" s="1"/>
  <c r="AV85" i="20"/>
  <c r="AF79" i="20"/>
  <c r="AB81" i="20"/>
  <c r="AG82" i="20"/>
  <c r="AI82" i="20"/>
  <c r="AG127" i="20"/>
  <c r="AI127" i="20"/>
  <c r="AW96" i="20"/>
  <c r="AF96" i="20"/>
  <c r="AR88" i="20"/>
  <c r="BC88" i="20"/>
  <c r="Y88" i="20" s="1"/>
  <c r="X51" i="20"/>
  <c r="BI50" i="20"/>
  <c r="AX55" i="20"/>
  <c r="BI55" i="20" s="1"/>
  <c r="X54" i="20"/>
  <c r="Z54" i="20"/>
  <c r="AR125" i="20"/>
  <c r="BC125" i="20"/>
  <c r="Y125" i="20" s="1"/>
  <c r="AY99" i="20"/>
  <c r="BJ99" i="20" s="1"/>
  <c r="AL99" i="20" s="1"/>
  <c r="BI99" i="20"/>
  <c r="AJ99" i="20" s="1"/>
  <c r="AI99" i="20" s="1"/>
  <c r="AO73" i="20"/>
  <c r="V73" i="20" s="1"/>
  <c r="V71" i="20"/>
  <c r="AP71" i="20"/>
  <c r="AG52" i="20"/>
  <c r="AI52" i="20"/>
  <c r="AS101" i="20"/>
  <c r="BE101" i="20" s="1"/>
  <c r="AC101" i="20" s="1"/>
  <c r="BD101" i="20"/>
  <c r="AA101" i="20" s="1"/>
  <c r="BC82" i="20"/>
  <c r="Y82" i="20"/>
  <c r="Z82" i="20" s="1"/>
  <c r="AB83" i="20"/>
  <c r="AR127" i="20"/>
  <c r="BC127" i="20"/>
  <c r="Y127" i="20" s="1"/>
  <c r="AE110" i="20"/>
  <c r="AV110" i="20"/>
  <c r="AR120" i="20"/>
  <c r="BC120" i="20"/>
  <c r="Y120" i="20" s="1"/>
  <c r="AG83" i="20"/>
  <c r="AI83" i="20"/>
  <c r="AP93" i="20"/>
  <c r="BB93" i="20" s="1"/>
  <c r="BB87" i="20"/>
  <c r="W87" i="20" s="1"/>
  <c r="Z53" i="20"/>
  <c r="AB53" i="20"/>
  <c r="AR118" i="20"/>
  <c r="BC118" i="20"/>
  <c r="Y118" i="20" s="1"/>
  <c r="AU73" i="20"/>
  <c r="AE73" i="20" s="1"/>
  <c r="AV71" i="20"/>
  <c r="AE71" i="20"/>
  <c r="AA52" i="20"/>
  <c r="BD52" i="20"/>
  <c r="AG51" i="20"/>
  <c r="AI51" i="20"/>
  <c r="AK80" i="20"/>
  <c r="AO108" i="20"/>
  <c r="V108" i="20" s="1"/>
  <c r="AU108" i="20"/>
  <c r="AE108" i="20" s="1"/>
  <c r="AP122" i="20"/>
  <c r="BB122" i="20" s="1"/>
  <c r="AQ117" i="20"/>
  <c r="BB117" i="20"/>
  <c r="W117" i="20" s="1"/>
  <c r="AS102" i="20"/>
  <c r="BD102" i="20"/>
  <c r="AA102" i="20" s="1"/>
  <c r="AG91" i="20"/>
  <c r="X53" i="20"/>
  <c r="BC50" i="20"/>
  <c r="AQ55" i="20"/>
  <c r="BC55" i="20" s="1"/>
  <c r="AW85" i="20"/>
  <c r="BH85" i="20" s="1"/>
  <c r="BH79" i="20"/>
  <c r="AH79" i="20" s="1"/>
  <c r="X81" i="20"/>
  <c r="AE143" i="20"/>
  <c r="AV143" i="20"/>
  <c r="AE140" i="20"/>
  <c r="AV140" i="20"/>
  <c r="AR119" i="20"/>
  <c r="BC119" i="20"/>
  <c r="Y119" i="20" s="1"/>
  <c r="AW124" i="20"/>
  <c r="AF124" i="20"/>
  <c r="AG89" i="20"/>
  <c r="AX93" i="20"/>
  <c r="BI93" i="20" s="1"/>
  <c r="BI87" i="20"/>
  <c r="AJ87" i="20" s="1"/>
  <c r="BJ50" i="20"/>
  <c r="AY55" i="20"/>
  <c r="BJ55" i="20" s="1"/>
  <c r="BD80" i="20"/>
  <c r="AA80" i="20" s="1"/>
  <c r="AR85" i="20"/>
  <c r="BD85" i="20" s="1"/>
  <c r="BC79" i="20"/>
  <c r="Y79" i="20" s="1"/>
  <c r="AQ85" i="20"/>
  <c r="BC85" i="20" s="1"/>
  <c r="W105" i="20"/>
  <c r="AH105" i="20"/>
  <c r="Z91" i="20"/>
  <c r="AB91" i="20"/>
  <c r="AB82" i="20"/>
  <c r="AI81" i="20"/>
  <c r="AQ124" i="20"/>
  <c r="BB124" i="20"/>
  <c r="W124" i="20" s="1"/>
  <c r="AP130" i="20"/>
  <c r="BB130" i="20" s="1"/>
  <c r="BH126" i="20"/>
  <c r="AH126" i="20" s="1"/>
  <c r="AX126" i="20"/>
  <c r="AS103" i="20"/>
  <c r="BE103" i="20" s="1"/>
  <c r="AC103" i="20" s="1"/>
  <c r="BD103" i="20"/>
  <c r="AA103" i="20" s="1"/>
  <c r="BB95" i="20"/>
  <c r="W95" i="20" s="1"/>
  <c r="AG88" i="20"/>
  <c r="AW95" i="20"/>
  <c r="AF95" i="20"/>
  <c r="AV97" i="20"/>
  <c r="AF97" i="20" s="1"/>
  <c r="AS100" i="20"/>
  <c r="BD100" i="20"/>
  <c r="AA100" i="20" s="1"/>
  <c r="AR105" i="20"/>
  <c r="BD105" i="20" s="1"/>
  <c r="BJ87" i="20"/>
  <c r="AL87" i="20" s="1"/>
  <c r="AY93" i="20"/>
  <c r="BJ93" i="20" s="1"/>
  <c r="AS55" i="20"/>
  <c r="BE55" i="20" s="1"/>
  <c r="BE51" i="20"/>
  <c r="AC51" i="20" s="1"/>
  <c r="AR90" i="20"/>
  <c r="BC90" i="20"/>
  <c r="Y90" i="20" s="1"/>
  <c r="AI80" i="20"/>
  <c r="AE107" i="20"/>
  <c r="AV107" i="20"/>
  <c r="AG128" i="20"/>
  <c r="AI128" i="20"/>
  <c r="X100" i="20"/>
  <c r="AG53" i="20"/>
  <c r="AI53" i="20"/>
  <c r="BB50" i="20"/>
  <c r="AP55" i="20"/>
  <c r="BB55" i="20" s="1"/>
  <c r="AX85" i="20"/>
  <c r="BI85" i="20" s="1"/>
  <c r="BI79" i="20"/>
  <c r="AJ79" i="20" s="1"/>
  <c r="V143" i="20"/>
  <c r="AO144" i="20"/>
  <c r="AP143" i="20"/>
  <c r="V140" i="20"/>
  <c r="AP140" i="20"/>
  <c r="AO141" i="20"/>
  <c r="V141" i="20" s="1"/>
  <c r="AR128" i="20"/>
  <c r="BC128" i="20"/>
  <c r="Y128" i="20" s="1"/>
  <c r="AI89" i="20"/>
  <c r="AW93" i="20"/>
  <c r="BH93" i="20" s="1"/>
  <c r="BH87" i="20"/>
  <c r="AH87" i="20" s="1"/>
  <c r="AV93" i="20"/>
  <c r="AF87" i="20"/>
  <c r="AR55" i="20"/>
  <c r="BD55" i="20" s="1"/>
  <c r="BD51" i="20"/>
  <c r="AA51" i="20" s="1"/>
  <c r="AV55" i="20"/>
  <c r="BH50" i="20"/>
  <c r="AW55" i="20"/>
  <c r="BH55" i="20" s="1"/>
  <c r="AB54" i="20"/>
  <c r="BE80" i="20"/>
  <c r="AC80" i="20" s="1"/>
  <c r="AS85" i="20"/>
  <c r="BE85" i="20" s="1"/>
  <c r="BC99" i="20"/>
  <c r="Y99" i="20" s="1"/>
  <c r="AQ105" i="20"/>
  <c r="BC105" i="20" s="1"/>
  <c r="AG90" i="20"/>
  <c r="X91" i="20"/>
  <c r="AK52" i="20"/>
  <c r="X52" i="20"/>
  <c r="AG81" i="20"/>
  <c r="AG101" i="20"/>
  <c r="V110" i="20"/>
  <c r="AP110" i="20"/>
  <c r="AO112" i="20"/>
  <c r="V112" i="20" s="1"/>
  <c r="X103" i="20"/>
  <c r="BH125" i="20"/>
  <c r="AH125" i="20" s="1"/>
  <c r="AO97" i="20"/>
  <c r="V97" i="20" s="1"/>
  <c r="AQ95" i="20" l="1"/>
  <c r="AR129" i="20"/>
  <c r="Y129" i="20"/>
  <c r="Z92" i="20"/>
  <c r="AB84" i="20"/>
  <c r="Z84" i="20"/>
  <c r="X84" i="20"/>
  <c r="AB92" i="20"/>
  <c r="X92" i="20"/>
  <c r="BJ104" i="20"/>
  <c r="AL104" i="20"/>
  <c r="AK104" i="20" s="1"/>
  <c r="BE104" i="20"/>
  <c r="AC104" i="20"/>
  <c r="AB104" i="20" s="1"/>
  <c r="AX121" i="20"/>
  <c r="AH121" i="20"/>
  <c r="AG121" i="20" s="1"/>
  <c r="BH121" i="20"/>
  <c r="Y121" i="20"/>
  <c r="X121" i="20" s="1"/>
  <c r="AR121" i="20"/>
  <c r="BC121" i="20"/>
  <c r="X129" i="20"/>
  <c r="AJ129" i="20"/>
  <c r="AI129" i="20" s="1"/>
  <c r="BI129" i="20"/>
  <c r="AY129" i="20"/>
  <c r="AS129" i="20"/>
  <c r="BD129" i="20"/>
  <c r="AA129" i="20"/>
  <c r="AG129" i="20"/>
  <c r="AX120" i="20"/>
  <c r="AY120" i="20" s="1"/>
  <c r="BJ120" i="20" s="1"/>
  <c r="AL120" i="20" s="1"/>
  <c r="AG118" i="20"/>
  <c r="Z52" i="20"/>
  <c r="BH117" i="20"/>
  <c r="AH117" i="20" s="1"/>
  <c r="AG117" i="20" s="1"/>
  <c r="AG119" i="20"/>
  <c r="X126" i="20"/>
  <c r="X125" i="20"/>
  <c r="X118" i="20"/>
  <c r="BB110" i="20"/>
  <c r="W110" i="20" s="1"/>
  <c r="AQ110" i="20"/>
  <c r="AP112" i="20"/>
  <c r="BB112" i="20" s="1"/>
  <c r="X128" i="20"/>
  <c r="Z100" i="20"/>
  <c r="AA105" i="20"/>
  <c r="Z103" i="20"/>
  <c r="AB103" i="20"/>
  <c r="Z80" i="20"/>
  <c r="AB80" i="20"/>
  <c r="BH124" i="20"/>
  <c r="AH124" i="20" s="1"/>
  <c r="AX124" i="20"/>
  <c r="AI79" i="20"/>
  <c r="AC102" i="20"/>
  <c r="BE102" i="20"/>
  <c r="AB52" i="20"/>
  <c r="AV73" i="20"/>
  <c r="AW71" i="20"/>
  <c r="AF71" i="20"/>
  <c r="X120" i="20"/>
  <c r="X127" i="20"/>
  <c r="AQ71" i="20"/>
  <c r="AP73" i="20"/>
  <c r="BB73" i="20" s="1"/>
  <c r="BB71" i="20"/>
  <c r="W71" i="20" s="1"/>
  <c r="AJ105" i="20"/>
  <c r="AI105" i="20" s="1"/>
  <c r="AK99" i="20"/>
  <c r="AS88" i="20"/>
  <c r="AR93" i="20"/>
  <c r="BD93" i="20" s="1"/>
  <c r="BD88" i="20"/>
  <c r="AA88" i="20" s="1"/>
  <c r="AX96" i="20"/>
  <c r="AH96" i="20"/>
  <c r="X87" i="20"/>
  <c r="Z87" i="20"/>
  <c r="AY48" i="20"/>
  <c r="BJ48" i="20" s="1"/>
  <c r="AK79" i="20"/>
  <c r="AP108" i="20"/>
  <c r="BB108" i="20" s="1"/>
  <c r="AQ107" i="20"/>
  <c r="BB107" i="20"/>
  <c r="W107" i="20" s="1"/>
  <c r="AB51" i="20"/>
  <c r="BD128" i="20"/>
  <c r="AA128" i="20" s="1"/>
  <c r="AS128" i="20"/>
  <c r="BE128" i="20" s="1"/>
  <c r="AC128" i="20" s="1"/>
  <c r="AQ140" i="20"/>
  <c r="BB140" i="20"/>
  <c r="W140" i="20" s="1"/>
  <c r="AP141" i="20"/>
  <c r="BB141" i="20" s="1"/>
  <c r="AF107" i="20"/>
  <c r="AW107" i="20"/>
  <c r="AK87" i="20"/>
  <c r="BE100" i="20"/>
  <c r="AC100" i="20" s="1"/>
  <c r="AS105" i="20"/>
  <c r="BE105" i="20" s="1"/>
  <c r="AG120" i="20"/>
  <c r="AI87" i="20"/>
  <c r="X119" i="20"/>
  <c r="AW143" i="20"/>
  <c r="AF143" i="20"/>
  <c r="AS120" i="20"/>
  <c r="BE120" i="20" s="1"/>
  <c r="AC120" i="20" s="1"/>
  <c r="BD120" i="20"/>
  <c r="AA120" i="20" s="1"/>
  <c r="AS127" i="20"/>
  <c r="BE127" i="20" s="1"/>
  <c r="AC127" i="20" s="1"/>
  <c r="BD127" i="20"/>
  <c r="AA127" i="20" s="1"/>
  <c r="X82" i="20"/>
  <c r="Z101" i="20"/>
  <c r="Z51" i="20"/>
  <c r="AG79" i="20"/>
  <c r="X89" i="20"/>
  <c r="AR96" i="20"/>
  <c r="Y96" i="20"/>
  <c r="AG125" i="20"/>
  <c r="X99" i="20"/>
  <c r="Z99" i="20"/>
  <c r="Y105" i="20"/>
  <c r="X105" i="20" s="1"/>
  <c r="X90" i="20"/>
  <c r="AW97" i="20"/>
  <c r="AX95" i="20"/>
  <c r="BH95" i="20"/>
  <c r="AH95" i="20" s="1"/>
  <c r="W97" i="20"/>
  <c r="AY126" i="20"/>
  <c r="BJ126" i="20" s="1"/>
  <c r="AL126" i="20" s="1"/>
  <c r="BI126" i="20"/>
  <c r="AJ126" i="20" s="1"/>
  <c r="AI126" i="20" s="1"/>
  <c r="AQ130" i="20"/>
  <c r="BC130" i="20" s="1"/>
  <c r="BC124" i="20"/>
  <c r="Y124" i="20" s="1"/>
  <c r="X79" i="20"/>
  <c r="Z79" i="20"/>
  <c r="AS119" i="20"/>
  <c r="BE119" i="20" s="1"/>
  <c r="AC119" i="20" s="1"/>
  <c r="BD119" i="20"/>
  <c r="AA119" i="20" s="1"/>
  <c r="AB101" i="20"/>
  <c r="AS126" i="20"/>
  <c r="BE126" i="20" s="1"/>
  <c r="AC126" i="20" s="1"/>
  <c r="BD126" i="20"/>
  <c r="AA126" i="20" s="1"/>
  <c r="AS89" i="20"/>
  <c r="BE89" i="20" s="1"/>
  <c r="AC89" i="20" s="1"/>
  <c r="BD89" i="20"/>
  <c r="AA89" i="20" s="1"/>
  <c r="BJ125" i="20"/>
  <c r="AL125" i="20" s="1"/>
  <c r="BI125" i="20"/>
  <c r="AJ125" i="20" s="1"/>
  <c r="AG87" i="20"/>
  <c r="AQ143" i="20"/>
  <c r="BB143" i="20"/>
  <c r="W143" i="20" s="1"/>
  <c r="AP144" i="20"/>
  <c r="BB144" i="20" s="1"/>
  <c r="AS90" i="20"/>
  <c r="BE90" i="20" s="1"/>
  <c r="AC90" i="20" s="1"/>
  <c r="BD90" i="20"/>
  <c r="AA90" i="20" s="1"/>
  <c r="BC95" i="20"/>
  <c r="Y95" i="20" s="1"/>
  <c r="AQ97" i="20"/>
  <c r="BC97" i="20" s="1"/>
  <c r="AR95" i="20"/>
  <c r="AG126" i="20"/>
  <c r="AG105" i="20"/>
  <c r="AW140" i="20"/>
  <c r="AF140" i="20"/>
  <c r="Z102" i="20"/>
  <c r="BC117" i="20"/>
  <c r="Y117" i="20" s="1"/>
  <c r="AQ122" i="20"/>
  <c r="BC122" i="20" s="1"/>
  <c r="AS118" i="20"/>
  <c r="BD118" i="20"/>
  <c r="AA118" i="20" s="1"/>
  <c r="AF110" i="20"/>
  <c r="AW110" i="20"/>
  <c r="AY117" i="20"/>
  <c r="BJ117" i="20" s="1"/>
  <c r="AL117" i="20" s="1"/>
  <c r="BI117" i="20"/>
  <c r="AJ117" i="20" s="1"/>
  <c r="AS125" i="20"/>
  <c r="BD125" i="20"/>
  <c r="AA125" i="20" s="1"/>
  <c r="AR130" i="20"/>
  <c r="BD130" i="20" s="1"/>
  <c r="X88" i="20"/>
  <c r="AY119" i="20"/>
  <c r="BJ119" i="20" s="1"/>
  <c r="AL119" i="20" s="1"/>
  <c r="BI119" i="20"/>
  <c r="AJ119" i="20" s="1"/>
  <c r="AI119" i="20" s="1"/>
  <c r="AK101" i="20"/>
  <c r="Z83" i="20"/>
  <c r="AL105" i="20" l="1"/>
  <c r="AK105" i="20" s="1"/>
  <c r="AS121" i="20"/>
  <c r="AS122" i="20" s="1"/>
  <c r="BE122" i="20" s="1"/>
  <c r="BD121" i="20"/>
  <c r="AA121" i="20"/>
  <c r="AR122" i="20"/>
  <c r="BD122" i="20" s="1"/>
  <c r="BI121" i="20"/>
  <c r="AY121" i="20"/>
  <c r="AJ121" i="20"/>
  <c r="AI121" i="20" s="1"/>
  <c r="AL129" i="20"/>
  <c r="AK129" i="20" s="1"/>
  <c r="BJ129" i="20"/>
  <c r="BE129" i="20"/>
  <c r="AC129" i="20"/>
  <c r="AB129" i="20" s="1"/>
  <c r="Z129" i="20"/>
  <c r="BI120" i="20"/>
  <c r="AJ120" i="20" s="1"/>
  <c r="AK120" i="20" s="1"/>
  <c r="Z127" i="20"/>
  <c r="X117" i="20"/>
  <c r="X95" i="20"/>
  <c r="Y97" i="20"/>
  <c r="X97" i="20" s="1"/>
  <c r="Z90" i="20"/>
  <c r="AB90" i="20"/>
  <c r="Z89" i="20"/>
  <c r="AB89" i="20"/>
  <c r="Z119" i="20"/>
  <c r="AH97" i="20"/>
  <c r="BH97" i="20"/>
  <c r="AS96" i="20"/>
  <c r="AC96" i="20" s="1"/>
  <c r="AA96" i="20"/>
  <c r="AB128" i="20"/>
  <c r="Z88" i="20"/>
  <c r="AY124" i="20"/>
  <c r="BJ124" i="20" s="1"/>
  <c r="AL124" i="20" s="1"/>
  <c r="BI124" i="20"/>
  <c r="AJ124" i="20" s="1"/>
  <c r="Z128" i="20"/>
  <c r="BC110" i="20"/>
  <c r="Y110" i="20" s="1"/>
  <c r="AQ112" i="20"/>
  <c r="BC112" i="20" s="1"/>
  <c r="AR110" i="20"/>
  <c r="Z126" i="20"/>
  <c r="AB126" i="20"/>
  <c r="AB119" i="20"/>
  <c r="X124" i="20"/>
  <c r="Z124" i="20"/>
  <c r="AC105" i="20"/>
  <c r="AB105" i="20" s="1"/>
  <c r="BC107" i="20"/>
  <c r="Y107" i="20" s="1"/>
  <c r="AQ108" i="20"/>
  <c r="BC108" i="20" s="1"/>
  <c r="AR107" i="20"/>
  <c r="AG124" i="20"/>
  <c r="AK119" i="20"/>
  <c r="Z125" i="20"/>
  <c r="AK117" i="20"/>
  <c r="Z117" i="20"/>
  <c r="BE125" i="20"/>
  <c r="AC125" i="20" s="1"/>
  <c r="AS130" i="20"/>
  <c r="BE130" i="20" s="1"/>
  <c r="Z118" i="20"/>
  <c r="AR97" i="20"/>
  <c r="BD97" i="20" s="1"/>
  <c r="AS95" i="20"/>
  <c r="BD95" i="20"/>
  <c r="AA95" i="20" s="1"/>
  <c r="AR143" i="20"/>
  <c r="BC143" i="20"/>
  <c r="Y143" i="20" s="1"/>
  <c r="AQ144" i="20"/>
  <c r="BC144" i="20" s="1"/>
  <c r="AI125" i="20"/>
  <c r="AK125" i="20"/>
  <c r="AI117" i="20"/>
  <c r="AB127" i="20"/>
  <c r="AX143" i="20"/>
  <c r="BH143" i="20"/>
  <c r="AH143" i="20" s="1"/>
  <c r="AX107" i="20"/>
  <c r="BH107" i="20"/>
  <c r="AH107" i="20" s="1"/>
  <c r="AQ141" i="20"/>
  <c r="BC141" i="20" s="1"/>
  <c r="AR140" i="20"/>
  <c r="BC140" i="20"/>
  <c r="Y140" i="20" s="1"/>
  <c r="AG96" i="20"/>
  <c r="AS93" i="20"/>
  <c r="BE93" i="20" s="1"/>
  <c r="BE88" i="20"/>
  <c r="AC88" i="20" s="1"/>
  <c r="AQ73" i="20"/>
  <c r="BC73" i="20" s="1"/>
  <c r="AR71" i="20"/>
  <c r="BC71" i="20"/>
  <c r="Y71" i="20" s="1"/>
  <c r="AB100" i="20"/>
  <c r="AX110" i="20"/>
  <c r="BH110" i="20"/>
  <c r="AH110" i="20" s="1"/>
  <c r="BE118" i="20"/>
  <c r="AC118" i="20" s="1"/>
  <c r="BH140" i="20"/>
  <c r="AH140" i="20" s="1"/>
  <c r="AX140" i="20"/>
  <c r="AK126" i="20"/>
  <c r="AY95" i="20"/>
  <c r="BI95" i="20"/>
  <c r="AJ95" i="20" s="1"/>
  <c r="AX97" i="20"/>
  <c r="X96" i="20"/>
  <c r="Z120" i="20"/>
  <c r="AB120" i="20"/>
  <c r="AG95" i="20"/>
  <c r="AY96" i="20"/>
  <c r="AL96" i="20" s="1"/>
  <c r="AJ96" i="20"/>
  <c r="AX71" i="20"/>
  <c r="AW73" i="20"/>
  <c r="BH73" i="20" s="1"/>
  <c r="BH71" i="20"/>
  <c r="AH71" i="20" s="1"/>
  <c r="AB102" i="20"/>
  <c r="Z105" i="20"/>
  <c r="BJ121" i="20" l="1"/>
  <c r="AL121" i="20"/>
  <c r="AK121" i="20" s="1"/>
  <c r="BE121" i="20"/>
  <c r="AC121" i="20"/>
  <c r="AB121" i="20" s="1"/>
  <c r="Z121" i="20"/>
  <c r="AI120" i="20"/>
  <c r="AI124" i="20"/>
  <c r="X110" i="20"/>
  <c r="AG107" i="20"/>
  <c r="AY71" i="20"/>
  <c r="AX73" i="20"/>
  <c r="BI73" i="20" s="1"/>
  <c r="BI71" i="20"/>
  <c r="AJ71" i="20" s="1"/>
  <c r="AJ97" i="20"/>
  <c r="AI97" i="20" s="1"/>
  <c r="BI97" i="20"/>
  <c r="AY140" i="20"/>
  <c r="BJ140" i="20" s="1"/>
  <c r="AL140" i="20" s="1"/>
  <c r="BI140" i="20"/>
  <c r="AJ140" i="20" s="1"/>
  <c r="AS71" i="20"/>
  <c r="BD71" i="20"/>
  <c r="AA71" i="20" s="1"/>
  <c r="AR73" i="20"/>
  <c r="BD73" i="20" s="1"/>
  <c r="AR144" i="20"/>
  <c r="BD144" i="20" s="1"/>
  <c r="BD143" i="20"/>
  <c r="AA143" i="20" s="1"/>
  <c r="AS143" i="20"/>
  <c r="AS97" i="20"/>
  <c r="BE97" i="20" s="1"/>
  <c r="BE95" i="20"/>
  <c r="AC95" i="20" s="1"/>
  <c r="AS107" i="20"/>
  <c r="BD107" i="20"/>
  <c r="AA107" i="20" s="1"/>
  <c r="AR108" i="20"/>
  <c r="BD108" i="20" s="1"/>
  <c r="AR112" i="20"/>
  <c r="BD112" i="20" s="1"/>
  <c r="AS110" i="20"/>
  <c r="BD110" i="20"/>
  <c r="AA110" i="20" s="1"/>
  <c r="Z96" i="20"/>
  <c r="AB96" i="20"/>
  <c r="BI110" i="20"/>
  <c r="AJ110" i="20" s="1"/>
  <c r="AY110" i="20"/>
  <c r="BJ110" i="20" s="1"/>
  <c r="AL110" i="20" s="1"/>
  <c r="X140" i="20"/>
  <c r="BI107" i="20"/>
  <c r="AJ107" i="20" s="1"/>
  <c r="AY107" i="20"/>
  <c r="BJ107" i="20" s="1"/>
  <c r="AL107" i="20" s="1"/>
  <c r="AI95" i="20"/>
  <c r="AB118" i="20"/>
  <c r="X143" i="20"/>
  <c r="AI96" i="20"/>
  <c r="AK96" i="20"/>
  <c r="BJ95" i="20"/>
  <c r="AL95" i="20" s="1"/>
  <c r="AY97" i="20"/>
  <c r="AG71" i="20"/>
  <c r="AB88" i="20"/>
  <c r="AS140" i="20"/>
  <c r="BD140" i="20"/>
  <c r="AA140" i="20" s="1"/>
  <c r="AR141" i="20"/>
  <c r="BD141" i="20" s="1"/>
  <c r="AB125" i="20"/>
  <c r="AG143" i="20"/>
  <c r="AK124" i="20"/>
  <c r="X107" i="20"/>
  <c r="X71" i="20"/>
  <c r="AY143" i="20"/>
  <c r="BJ143" i="20" s="1"/>
  <c r="AL143" i="20" s="1"/>
  <c r="BI143" i="20"/>
  <c r="AJ143" i="20" s="1"/>
  <c r="Z95" i="20"/>
  <c r="AA97" i="20"/>
  <c r="Z97" i="20" s="1"/>
  <c r="AG140" i="20"/>
  <c r="AG97" i="20"/>
  <c r="AG110" i="20"/>
  <c r="AI140" i="20" l="1"/>
  <c r="AI110" i="20"/>
  <c r="AI71" i="20"/>
  <c r="AB95" i="20"/>
  <c r="Z71" i="20"/>
  <c r="AK143" i="20"/>
  <c r="AK95" i="20"/>
  <c r="BE110" i="20"/>
  <c r="AC110" i="20" s="1"/>
  <c r="AS112" i="20"/>
  <c r="BE112" i="20" s="1"/>
  <c r="BE107" i="20"/>
  <c r="AC107" i="20" s="1"/>
  <c r="AS108" i="20"/>
  <c r="BE108" i="20" s="1"/>
  <c r="BE143" i="20"/>
  <c r="AC143" i="20" s="1"/>
  <c r="AS144" i="20"/>
  <c r="BE144" i="20" s="1"/>
  <c r="AS73" i="20"/>
  <c r="BE73" i="20" s="1"/>
  <c r="BE71" i="20"/>
  <c r="AC71" i="20" s="1"/>
  <c r="Z143" i="20"/>
  <c r="AY73" i="20"/>
  <c r="BJ73" i="20" s="1"/>
  <c r="BJ71" i="20"/>
  <c r="AL71" i="20" s="1"/>
  <c r="Z140" i="20"/>
  <c r="AC97" i="20"/>
  <c r="AB97" i="20" s="1"/>
  <c r="AI143" i="20"/>
  <c r="BE140" i="20"/>
  <c r="AC140" i="20" s="1"/>
  <c r="AS141" i="20"/>
  <c r="BE141" i="20" s="1"/>
  <c r="AL97" i="20"/>
  <c r="AK97" i="20" s="1"/>
  <c r="BJ97" i="20"/>
  <c r="AI107" i="20"/>
  <c r="AK107" i="20"/>
  <c r="AK110" i="20"/>
  <c r="Z110" i="20"/>
  <c r="Z107" i="20"/>
  <c r="AK140" i="20"/>
  <c r="AK71" i="20" l="1"/>
  <c r="AB140" i="20"/>
  <c r="AB107" i="20"/>
  <c r="AB71" i="20"/>
  <c r="AB143" i="20"/>
  <c r="AB110" i="20"/>
  <c r="L128" i="33" l="1"/>
  <c r="I128" i="33" s="1"/>
  <c r="M114" i="20" s="1"/>
  <c r="L55" i="33"/>
  <c r="L92" i="33"/>
  <c r="I92" i="33" s="1"/>
  <c r="M75" i="20" s="1"/>
  <c r="L51" i="71" l="1"/>
  <c r="M51" i="71" s="1"/>
  <c r="AD51" i="71" s="1"/>
  <c r="L30" i="71"/>
  <c r="M30" i="71" s="1"/>
  <c r="AD30" i="71" s="1"/>
  <c r="F23" i="33"/>
  <c r="F174" i="33" s="1"/>
  <c r="L29" i="71"/>
  <c r="M29" i="71" s="1"/>
  <c r="AD29" i="71" s="1"/>
  <c r="L50" i="71"/>
  <c r="M50" i="71" s="1"/>
  <c r="AD50" i="71" s="1"/>
  <c r="L49" i="71"/>
  <c r="M49" i="71" s="1"/>
  <c r="AD49" i="71" s="1"/>
  <c r="N29" i="71"/>
  <c r="P29" i="71" s="1"/>
  <c r="E19" i="85" s="1"/>
  <c r="N49" i="71"/>
  <c r="P49" i="71" s="1"/>
  <c r="L31" i="71"/>
  <c r="M31" i="71" s="1"/>
  <c r="AD31" i="71" s="1"/>
  <c r="L55" i="71"/>
  <c r="M55" i="71" s="1"/>
  <c r="AD55" i="71" s="1"/>
  <c r="L35" i="71"/>
  <c r="M35" i="71" s="1"/>
  <c r="AD35" i="71" s="1"/>
  <c r="L53" i="71"/>
  <c r="M53" i="71" s="1"/>
  <c r="AD53" i="71" s="1"/>
  <c r="F31" i="33"/>
  <c r="F175" i="33" s="1"/>
  <c r="N33" i="71"/>
  <c r="P33" i="71" s="1"/>
  <c r="E30" i="85" s="1"/>
  <c r="N53" i="71"/>
  <c r="P53" i="71" s="1"/>
  <c r="L33" i="71"/>
  <c r="L54" i="71"/>
  <c r="M54" i="71" s="1"/>
  <c r="AD54" i="71" s="1"/>
  <c r="L34" i="71"/>
  <c r="M34" i="71" s="1"/>
  <c r="AD34" i="71" s="1"/>
  <c r="I55" i="33"/>
  <c r="F42" i="33"/>
  <c r="F15" i="33" l="1"/>
  <c r="F173" i="33" s="1"/>
  <c r="F50" i="33"/>
  <c r="K8" i="20" s="1"/>
  <c r="Q33" i="71"/>
  <c r="AL55" i="71"/>
  <c r="BJ55" i="71"/>
  <c r="CX55" i="71" s="1"/>
  <c r="AT55" i="71"/>
  <c r="Q49" i="71"/>
  <c r="AT29" i="71"/>
  <c r="BM29" i="71"/>
  <c r="AL29" i="71"/>
  <c r="BL29" i="71"/>
  <c r="BW29" i="71"/>
  <c r="BJ29" i="71"/>
  <c r="CX29" i="71" s="1"/>
  <c r="BV29" i="71"/>
  <c r="BU29" i="71"/>
  <c r="BK29" i="71"/>
  <c r="N45" i="71"/>
  <c r="L27" i="71"/>
  <c r="M27" i="71" s="1"/>
  <c r="AD27" i="71" s="1"/>
  <c r="N25" i="71"/>
  <c r="L45" i="71"/>
  <c r="M45" i="71" s="1"/>
  <c r="AD45" i="71" s="1"/>
  <c r="L26" i="71"/>
  <c r="M26" i="71" s="1"/>
  <c r="AD26" i="71" s="1"/>
  <c r="L25" i="71"/>
  <c r="M25" i="71" s="1"/>
  <c r="AD25" i="71" s="1"/>
  <c r="N114" i="20"/>
  <c r="H114" i="20" s="1"/>
  <c r="M115" i="20"/>
  <c r="F45" i="33"/>
  <c r="Q29" i="71"/>
  <c r="F44" i="33"/>
  <c r="BJ34" i="71"/>
  <c r="CX34" i="71" s="1"/>
  <c r="AT34" i="71"/>
  <c r="AL34" i="71"/>
  <c r="M33" i="71"/>
  <c r="AD33" i="71" s="1"/>
  <c r="L36" i="71"/>
  <c r="AL53" i="71"/>
  <c r="BJ53" i="71"/>
  <c r="CX53" i="71" s="1"/>
  <c r="AT53" i="71"/>
  <c r="M77" i="20"/>
  <c r="N75" i="20"/>
  <c r="H75" i="20" s="1"/>
  <c r="BU49" i="71"/>
  <c r="BL49" i="71"/>
  <c r="BJ49" i="71"/>
  <c r="CX49" i="71" s="1"/>
  <c r="BV49" i="71"/>
  <c r="BM49" i="71"/>
  <c r="AT49" i="71"/>
  <c r="BK49" i="71"/>
  <c r="BW49" i="71"/>
  <c r="AL49" i="71"/>
  <c r="BJ30" i="71"/>
  <c r="CX30" i="71" s="1"/>
  <c r="AL30" i="71"/>
  <c r="AT30" i="71"/>
  <c r="BJ54" i="71"/>
  <c r="CX54" i="71" s="1"/>
  <c r="AL54" i="71"/>
  <c r="AT54" i="71"/>
  <c r="Q53" i="71"/>
  <c r="BJ35" i="71"/>
  <c r="CX35" i="71" s="1"/>
  <c r="AT35" i="71"/>
  <c r="AL35" i="71"/>
  <c r="AT31" i="71"/>
  <c r="AL31" i="71"/>
  <c r="BJ31" i="71"/>
  <c r="CX31" i="71" s="1"/>
  <c r="AT50" i="71"/>
  <c r="BJ50" i="71"/>
  <c r="CX50" i="71" s="1"/>
  <c r="AL50" i="71"/>
  <c r="AT51" i="71"/>
  <c r="AL51" i="71"/>
  <c r="BJ51" i="71"/>
  <c r="CX51" i="71" s="1"/>
  <c r="BE35" i="71" l="1"/>
  <c r="BC35" i="71"/>
  <c r="BT35" i="71"/>
  <c r="BB35" i="71"/>
  <c r="BF35" i="71"/>
  <c r="BG35" i="71"/>
  <c r="BH35" i="71"/>
  <c r="BO35" i="71"/>
  <c r="DC35" i="71" s="1"/>
  <c r="BY35" i="71"/>
  <c r="F38" i="33"/>
  <c r="C8" i="20" s="1"/>
  <c r="F43" i="33"/>
  <c r="F176" i="33"/>
  <c r="AT33" i="71"/>
  <c r="BJ33" i="71"/>
  <c r="CX33" i="71" s="1"/>
  <c r="AL33" i="71"/>
  <c r="CN31" i="71"/>
  <c r="CD31" i="71"/>
  <c r="BT49" i="71"/>
  <c r="BB49" i="71"/>
  <c r="BQ49" i="71"/>
  <c r="DE49" i="71" s="1"/>
  <c r="CA49" i="71"/>
  <c r="BY49" i="71"/>
  <c r="BO49" i="71"/>
  <c r="DC49" i="71" s="1"/>
  <c r="CB49" i="71"/>
  <c r="BR49" i="71"/>
  <c r="DF49" i="71" s="1"/>
  <c r="BP49" i="71"/>
  <c r="DD49" i="71" s="1"/>
  <c r="BZ49" i="71"/>
  <c r="BE34" i="71"/>
  <c r="BG34" i="71"/>
  <c r="BY34" i="71"/>
  <c r="BF34" i="71"/>
  <c r="BH34" i="71"/>
  <c r="BC34" i="71"/>
  <c r="BB34" i="71"/>
  <c r="BO34" i="71"/>
  <c r="DC34" i="71" s="1"/>
  <c r="BT34" i="71"/>
  <c r="AY26" i="71"/>
  <c r="AI26" i="71" s="1"/>
  <c r="AL26" i="71"/>
  <c r="AW26" i="71"/>
  <c r="AG26" i="71" s="1"/>
  <c r="AT26" i="71"/>
  <c r="AU26" i="71"/>
  <c r="BJ26" i="71"/>
  <c r="CX26" i="71" s="1"/>
  <c r="AX26" i="71"/>
  <c r="AZ26" i="71"/>
  <c r="P25" i="71"/>
  <c r="E8" i="85" s="1"/>
  <c r="M39" i="20"/>
  <c r="J8" i="20" s="1"/>
  <c r="BG55" i="71"/>
  <c r="BE55" i="71"/>
  <c r="BY55" i="71"/>
  <c r="BB55" i="71"/>
  <c r="BT55" i="71"/>
  <c r="BO55" i="71"/>
  <c r="DC55" i="71" s="1"/>
  <c r="BC55" i="71"/>
  <c r="BH55" i="71"/>
  <c r="BF55" i="71"/>
  <c r="CN51" i="71"/>
  <c r="CD51" i="71"/>
  <c r="CD35" i="71"/>
  <c r="CN35" i="71"/>
  <c r="CN54" i="71"/>
  <c r="CD54" i="71"/>
  <c r="BH30" i="71"/>
  <c r="BE30" i="71"/>
  <c r="BF30" i="71"/>
  <c r="BY30" i="71"/>
  <c r="BO30" i="71"/>
  <c r="DC30" i="71" s="1"/>
  <c r="BG30" i="71"/>
  <c r="BT30" i="71"/>
  <c r="BB30" i="71"/>
  <c r="BC30" i="71"/>
  <c r="N115" i="20"/>
  <c r="AU115" i="20" s="1"/>
  <c r="AE115" i="20" s="1"/>
  <c r="AU114" i="20"/>
  <c r="AO114" i="20"/>
  <c r="AX27" i="71"/>
  <c r="AZ27" i="71"/>
  <c r="AL27" i="71"/>
  <c r="AT27" i="71"/>
  <c r="AY27" i="71"/>
  <c r="AI27" i="71" s="1"/>
  <c r="AW27" i="71"/>
  <c r="AG27" i="71" s="1"/>
  <c r="AU27" i="71"/>
  <c r="BJ27" i="71"/>
  <c r="CX27" i="71" s="1"/>
  <c r="CD55" i="71"/>
  <c r="CN55" i="71"/>
  <c r="BT51" i="71"/>
  <c r="BO51" i="71"/>
  <c r="DC51" i="71" s="1"/>
  <c r="BC51" i="71"/>
  <c r="BE51" i="71"/>
  <c r="BG51" i="71"/>
  <c r="BY51" i="71"/>
  <c r="BH51" i="71"/>
  <c r="BB51" i="71"/>
  <c r="BF51" i="71"/>
  <c r="CD50" i="71"/>
  <c r="CN50" i="71"/>
  <c r="CN30" i="71"/>
  <c r="CD30" i="71"/>
  <c r="AO75" i="20"/>
  <c r="N77" i="20"/>
  <c r="AU75" i="20"/>
  <c r="BO53" i="71"/>
  <c r="DC53" i="71" s="1"/>
  <c r="BT53" i="71"/>
  <c r="BY53" i="71"/>
  <c r="BB53" i="71"/>
  <c r="CN34" i="71"/>
  <c r="CD34" i="71"/>
  <c r="BQ29" i="71"/>
  <c r="DE29" i="71" s="1"/>
  <c r="BO29" i="71"/>
  <c r="DC29" i="71" s="1"/>
  <c r="BP29" i="71"/>
  <c r="DD29" i="71" s="1"/>
  <c r="BB29" i="71"/>
  <c r="CA29" i="71"/>
  <c r="BZ29" i="71"/>
  <c r="BT29" i="71"/>
  <c r="BY29" i="71"/>
  <c r="CB29" i="71"/>
  <c r="BR29" i="71"/>
  <c r="DF29" i="71" s="1"/>
  <c r="BO50" i="71"/>
  <c r="DC50" i="71" s="1"/>
  <c r="BF50" i="71"/>
  <c r="BH50" i="71"/>
  <c r="BC50" i="71"/>
  <c r="BE50" i="71"/>
  <c r="BY50" i="71"/>
  <c r="BG50" i="71"/>
  <c r="BT50" i="71"/>
  <c r="BB50" i="71"/>
  <c r="BO31" i="71"/>
  <c r="DC31" i="71" s="1"/>
  <c r="BT31" i="71"/>
  <c r="BC31" i="71"/>
  <c r="BB31" i="71"/>
  <c r="BF31" i="71"/>
  <c r="BH31" i="71"/>
  <c r="BE31" i="71"/>
  <c r="BY31" i="71"/>
  <c r="BG31" i="71"/>
  <c r="BO54" i="71"/>
  <c r="DC54" i="71" s="1"/>
  <c r="BE54" i="71"/>
  <c r="BT54" i="71"/>
  <c r="BB54" i="71"/>
  <c r="BG54" i="71"/>
  <c r="BH54" i="71"/>
  <c r="BC54" i="71"/>
  <c r="BY54" i="71"/>
  <c r="BF54" i="71"/>
  <c r="CN49" i="71"/>
  <c r="CD49" i="71"/>
  <c r="CD53" i="71"/>
  <c r="CN53" i="71"/>
  <c r="BJ25" i="71"/>
  <c r="CX25" i="71" s="1"/>
  <c r="AT25" i="71"/>
  <c r="AL25" i="71"/>
  <c r="BJ45" i="71"/>
  <c r="CX45" i="71" s="1"/>
  <c r="AT45" i="71"/>
  <c r="AL45" i="71"/>
  <c r="P45" i="71"/>
  <c r="CD29" i="71"/>
  <c r="CN29" i="71"/>
  <c r="Q45" i="71" l="1"/>
  <c r="CI54" i="71"/>
  <c r="CS54" i="71"/>
  <c r="CK50" i="71"/>
  <c r="BQ50" i="71"/>
  <c r="CU50" i="71"/>
  <c r="CV51" i="71"/>
  <c r="CL51" i="71"/>
  <c r="BR51" i="71"/>
  <c r="CT51" i="71"/>
  <c r="CJ51" i="71"/>
  <c r="BP51" i="71"/>
  <c r="CP27" i="71"/>
  <c r="CF27" i="71"/>
  <c r="CK55" i="71"/>
  <c r="CU55" i="71"/>
  <c r="CF26" i="71"/>
  <c r="CP26" i="71"/>
  <c r="CU34" i="71"/>
  <c r="CK34" i="71"/>
  <c r="CI49" i="71"/>
  <c r="CS49" i="71"/>
  <c r="BO33" i="71"/>
  <c r="DC33" i="71" s="1"/>
  <c r="BB33" i="71"/>
  <c r="BT33" i="71"/>
  <c r="BY33" i="71"/>
  <c r="CI35" i="71"/>
  <c r="CS35" i="71"/>
  <c r="BT45" i="71"/>
  <c r="BU45" i="71" s="1"/>
  <c r="AE45" i="71" s="1"/>
  <c r="BY45" i="71"/>
  <c r="BB45" i="71"/>
  <c r="BO45" i="71"/>
  <c r="CD25" i="71"/>
  <c r="CN25" i="71"/>
  <c r="CJ54" i="71"/>
  <c r="CT54" i="71"/>
  <c r="CI31" i="71"/>
  <c r="CS31" i="71"/>
  <c r="CS50" i="71"/>
  <c r="CI50" i="71"/>
  <c r="V75" i="20"/>
  <c r="AP75" i="20"/>
  <c r="AO77" i="20"/>
  <c r="V77" i="20" s="1"/>
  <c r="CD27" i="71"/>
  <c r="CN27" i="71"/>
  <c r="AP114" i="20"/>
  <c r="AO115" i="20"/>
  <c r="V115" i="20" s="1"/>
  <c r="V114" i="20"/>
  <c r="CJ30" i="71"/>
  <c r="CT30" i="71"/>
  <c r="BP30" i="71"/>
  <c r="CL30" i="71"/>
  <c r="CV30" i="71"/>
  <c r="BR30" i="71"/>
  <c r="CL55" i="71"/>
  <c r="CV55" i="71"/>
  <c r="CS55" i="71"/>
  <c r="CI55" i="71"/>
  <c r="M41" i="20"/>
  <c r="N39" i="20"/>
  <c r="BY26" i="71"/>
  <c r="BC26" i="71"/>
  <c r="BT26" i="71"/>
  <c r="BU26" i="71" s="1"/>
  <c r="BG26" i="71"/>
  <c r="BE26" i="71"/>
  <c r="BH26" i="71"/>
  <c r="BF26" i="71"/>
  <c r="BO26" i="71"/>
  <c r="DC26" i="71" s="1"/>
  <c r="BB26" i="71"/>
  <c r="CI34" i="71"/>
  <c r="CS34" i="71"/>
  <c r="CV35" i="71"/>
  <c r="CL35" i="71"/>
  <c r="BY25" i="71"/>
  <c r="BT25" i="71"/>
  <c r="BU25" i="71" s="1"/>
  <c r="AE25" i="71" s="1"/>
  <c r="BB25" i="71"/>
  <c r="BO25" i="71"/>
  <c r="BQ31" i="71"/>
  <c r="CU31" i="71"/>
  <c r="CK31" i="71"/>
  <c r="CS29" i="71"/>
  <c r="CI29" i="71"/>
  <c r="CL54" i="71"/>
  <c r="CV54" i="71"/>
  <c r="BP31" i="71"/>
  <c r="CJ31" i="71"/>
  <c r="CT31" i="71"/>
  <c r="CJ50" i="71"/>
  <c r="BP50" i="71"/>
  <c r="CT50" i="71"/>
  <c r="CS53" i="71"/>
  <c r="CI53" i="71"/>
  <c r="AV75" i="20"/>
  <c r="AU77" i="20"/>
  <c r="AE77" i="20" s="1"/>
  <c r="AE75" i="20"/>
  <c r="CU51" i="71"/>
  <c r="BQ51" i="71"/>
  <c r="CK51" i="71"/>
  <c r="CE27" i="71"/>
  <c r="CO27" i="71"/>
  <c r="BB27" i="71"/>
  <c r="BH27" i="71"/>
  <c r="BE27" i="71"/>
  <c r="BC27" i="71"/>
  <c r="BF27" i="71"/>
  <c r="BY27" i="71"/>
  <c r="BT27" i="71"/>
  <c r="BU27" i="71" s="1"/>
  <c r="BG27" i="71"/>
  <c r="BO27" i="71"/>
  <c r="DC27" i="71" s="1"/>
  <c r="CS30" i="71"/>
  <c r="CI30" i="71"/>
  <c r="CT55" i="71"/>
  <c r="CJ55" i="71"/>
  <c r="Q25" i="71"/>
  <c r="CE26" i="71"/>
  <c r="CO26" i="71"/>
  <c r="CT34" i="71"/>
  <c r="CJ34" i="71"/>
  <c r="CD33" i="71"/>
  <c r="CN33" i="71"/>
  <c r="CT35" i="71"/>
  <c r="CJ35" i="71"/>
  <c r="CN45" i="71"/>
  <c r="CD45" i="71"/>
  <c r="CU54" i="71"/>
  <c r="CK54" i="71"/>
  <c r="CL31" i="71"/>
  <c r="BR31" i="71"/>
  <c r="CV31" i="71"/>
  <c r="BR50" i="71"/>
  <c r="CL50" i="71"/>
  <c r="CV50" i="71"/>
  <c r="CI51" i="71"/>
  <c r="CS51" i="71"/>
  <c r="CG27" i="71"/>
  <c r="CQ27" i="71"/>
  <c r="AV114" i="20"/>
  <c r="AE114" i="20"/>
  <c r="CK30" i="71"/>
  <c r="CU30" i="71"/>
  <c r="BQ30" i="71"/>
  <c r="CG26" i="71"/>
  <c r="CQ26" i="71"/>
  <c r="CN26" i="71"/>
  <c r="CD26" i="71"/>
  <c r="CV34" i="71"/>
  <c r="CL34" i="71"/>
  <c r="CK35" i="71"/>
  <c r="CU35" i="71"/>
  <c r="CA30" i="71" l="1"/>
  <c r="DE30" i="71"/>
  <c r="AF114" i="20"/>
  <c r="AW114" i="20"/>
  <c r="CK26" i="71"/>
  <c r="BQ26" i="71"/>
  <c r="CU26" i="71"/>
  <c r="DF31" i="71"/>
  <c r="CB31" i="71"/>
  <c r="CL27" i="71"/>
  <c r="BR27" i="71"/>
  <c r="CV27" i="71"/>
  <c r="CA31" i="71"/>
  <c r="DE31" i="71"/>
  <c r="BR26" i="71"/>
  <c r="CL26" i="71"/>
  <c r="CV26" i="71"/>
  <c r="BP26" i="71"/>
  <c r="CT26" i="71"/>
  <c r="CJ26" i="71"/>
  <c r="BZ30" i="71"/>
  <c r="DD30" i="71"/>
  <c r="CS45" i="71"/>
  <c r="CI45" i="71"/>
  <c r="CK27" i="71"/>
  <c r="CU27" i="71"/>
  <c r="BQ27" i="71"/>
  <c r="CI27" i="71"/>
  <c r="CS27" i="71"/>
  <c r="CA51" i="71"/>
  <c r="DE51" i="71"/>
  <c r="AW75" i="20"/>
  <c r="AV77" i="20"/>
  <c r="AF75" i="20"/>
  <c r="BZ50" i="71"/>
  <c r="DD50" i="71"/>
  <c r="DD31" i="71"/>
  <c r="BZ31" i="71"/>
  <c r="AJ25" i="71"/>
  <c r="DC25" i="71"/>
  <c r="CI26" i="71"/>
  <c r="CS26" i="71"/>
  <c r="CB30" i="71"/>
  <c r="DF30" i="71"/>
  <c r="AQ114" i="20"/>
  <c r="BB114" i="20"/>
  <c r="W114" i="20" s="1"/>
  <c r="AP115" i="20"/>
  <c r="BB115" i="20" s="1"/>
  <c r="AQ75" i="20"/>
  <c r="BB75" i="20"/>
  <c r="W75" i="20" s="1"/>
  <c r="AP77" i="20"/>
  <c r="BB77" i="20" s="1"/>
  <c r="CT27" i="71"/>
  <c r="BP27" i="71"/>
  <c r="CJ27" i="71"/>
  <c r="CS25" i="71"/>
  <c r="CI25" i="71"/>
  <c r="H39" i="20"/>
  <c r="AU39" i="20"/>
  <c r="AE39" i="20" s="1"/>
  <c r="AV39" i="20"/>
  <c r="AY39" i="20"/>
  <c r="N41" i="20"/>
  <c r="H41" i="20" s="1"/>
  <c r="AO39" i="20"/>
  <c r="AX39" i="20"/>
  <c r="AW39" i="20"/>
  <c r="CB51" i="71"/>
  <c r="DF51" i="71"/>
  <c r="CA50" i="71"/>
  <c r="DE50" i="71"/>
  <c r="DF50" i="71"/>
  <c r="CB50" i="71"/>
  <c r="DC45" i="71"/>
  <c r="AJ45" i="71"/>
  <c r="CS33" i="71"/>
  <c r="CI33" i="71"/>
  <c r="DD51" i="71"/>
  <c r="BZ51" i="71"/>
  <c r="AF39" i="20" l="1"/>
  <c r="BG39" i="20"/>
  <c r="BH39" i="20"/>
  <c r="AH39" i="20"/>
  <c r="BC114" i="20"/>
  <c r="Y114" i="20" s="1"/>
  <c r="AR114" i="20"/>
  <c r="AQ115" i="20"/>
  <c r="BC115" i="20" s="1"/>
  <c r="AX114" i="20"/>
  <c r="BH114" i="20"/>
  <c r="AH114" i="20" s="1"/>
  <c r="BJ39" i="20"/>
  <c r="AL39" i="20"/>
  <c r="DD27" i="71"/>
  <c r="BZ27" i="71"/>
  <c r="AQ77" i="20"/>
  <c r="BC77" i="20" s="1"/>
  <c r="AR75" i="20"/>
  <c r="BC75" i="20"/>
  <c r="Y75" i="20" s="1"/>
  <c r="BH75" i="20"/>
  <c r="AH75" i="20" s="1"/>
  <c r="AW77" i="20"/>
  <c r="BH77" i="20" s="1"/>
  <c r="AX75" i="20"/>
  <c r="CB26" i="71"/>
  <c r="DF26" i="71"/>
  <c r="CB27" i="71"/>
  <c r="DF27" i="71"/>
  <c r="AJ39" i="20"/>
  <c r="BI39" i="20"/>
  <c r="DE27" i="71"/>
  <c r="CA27" i="71"/>
  <c r="DD26" i="71"/>
  <c r="BZ26" i="71"/>
  <c r="DE26" i="71"/>
  <c r="CA26" i="71"/>
  <c r="V39" i="20"/>
  <c r="AP39" i="20"/>
  <c r="AG39" i="20" l="1"/>
  <c r="AG75" i="20"/>
  <c r="AG114" i="20"/>
  <c r="X114" i="20"/>
  <c r="BI75" i="20"/>
  <c r="AJ75" i="20" s="1"/>
  <c r="AX77" i="20"/>
  <c r="BI77" i="20" s="1"/>
  <c r="AY75" i="20"/>
  <c r="AR77" i="20"/>
  <c r="BD77" i="20" s="1"/>
  <c r="BD75" i="20"/>
  <c r="AA75" i="20" s="1"/>
  <c r="AS75" i="20"/>
  <c r="AK39" i="20"/>
  <c r="AS114" i="20"/>
  <c r="BD114" i="20"/>
  <c r="AA114" i="20" s="1"/>
  <c r="AR115" i="20"/>
  <c r="BD115" i="20" s="1"/>
  <c r="AI39" i="20"/>
  <c r="BI114" i="20"/>
  <c r="AJ114" i="20" s="1"/>
  <c r="AY114" i="20"/>
  <c r="BJ114" i="20" s="1"/>
  <c r="AL114" i="20" s="1"/>
  <c r="X75" i="20"/>
  <c r="AQ39" i="20"/>
  <c r="BB39" i="20"/>
  <c r="W39" i="20"/>
  <c r="AI114" i="20" l="1"/>
  <c r="Z75" i="20"/>
  <c r="AS115" i="20"/>
  <c r="BE115" i="20" s="1"/>
  <c r="BE114" i="20"/>
  <c r="AC114" i="20" s="1"/>
  <c r="BJ75" i="20"/>
  <c r="AL75" i="20" s="1"/>
  <c r="AY77" i="20"/>
  <c r="BJ77" i="20" s="1"/>
  <c r="Z114" i="20"/>
  <c r="AI75" i="20"/>
  <c r="BC39" i="20"/>
  <c r="AR39" i="20"/>
  <c r="Y39" i="20"/>
  <c r="AK114" i="20"/>
  <c r="BE75" i="20"/>
  <c r="AC75" i="20" s="1"/>
  <c r="AS77" i="20"/>
  <c r="BE77" i="20" s="1"/>
  <c r="BD39" i="20" l="1"/>
  <c r="AA39" i="20"/>
  <c r="AS39" i="20"/>
  <c r="AB75" i="20"/>
  <c r="X39" i="20"/>
  <c r="AB114" i="20"/>
  <c r="AK75" i="20"/>
  <c r="Z39" i="20" l="1"/>
  <c r="AC39" i="20"/>
  <c r="BE39" i="20"/>
  <c r="AB39" i="20" l="1"/>
  <c r="S68" i="20"/>
  <c r="Q68" i="20"/>
  <c r="O8" i="83" l="1"/>
  <c r="M8" i="83"/>
  <c r="BN43" i="20" s="1"/>
  <c r="P8" i="83" l="1"/>
  <c r="BQ43" i="20" s="1"/>
  <c r="BP43" i="20"/>
  <c r="P43" i="20"/>
  <c r="N43" i="20"/>
  <c r="AO45" i="20"/>
  <c r="N8" i="83"/>
  <c r="BO43" i="20" s="1"/>
  <c r="E10" i="85" l="1"/>
  <c r="AO43" i="20"/>
  <c r="AS45" i="20" s="1"/>
  <c r="AU43" i="20"/>
  <c r="AW43" i="20" s="1"/>
  <c r="AU45" i="20"/>
  <c r="AE45" i="20" s="1"/>
  <c r="H43" i="20"/>
  <c r="AO44" i="20"/>
  <c r="AU46" i="20"/>
  <c r="R43" i="20"/>
  <c r="Q43" i="20"/>
  <c r="AO47" i="20"/>
  <c r="AO46" i="20"/>
  <c r="AU44" i="20"/>
  <c r="AU47" i="20"/>
  <c r="N48" i="20"/>
  <c r="S43" i="20"/>
  <c r="V45" i="20"/>
  <c r="AV43" i="20" l="1"/>
  <c r="AF43" i="20" s="1"/>
  <c r="AE43" i="20"/>
  <c r="AX43" i="20"/>
  <c r="AJ43" i="20" s="1"/>
  <c r="AY43" i="20"/>
  <c r="AL43" i="20" s="1"/>
  <c r="AP45" i="20"/>
  <c r="AV45" i="20" s="1"/>
  <c r="AF45" i="20" s="1"/>
  <c r="AS47" i="20"/>
  <c r="BE47" i="20" s="1"/>
  <c r="AR47" i="20"/>
  <c r="AA47" i="20" s="1"/>
  <c r="AQ47" i="20"/>
  <c r="AW47" i="20" s="1"/>
  <c r="BH47" i="20" s="1"/>
  <c r="AP47" i="20"/>
  <c r="AV47" i="20" s="1"/>
  <c r="AF47" i="20" s="1"/>
  <c r="AQ45" i="20"/>
  <c r="AW45" i="20" s="1"/>
  <c r="AR45" i="20"/>
  <c r="AX45" i="20" s="1"/>
  <c r="AX48" i="20" s="1"/>
  <c r="BI48" i="20" s="1"/>
  <c r="AQ46" i="20"/>
  <c r="AW46" i="20" s="1"/>
  <c r="BH46" i="20" s="1"/>
  <c r="AP46" i="20"/>
  <c r="AV46" i="20" s="1"/>
  <c r="AF46" i="20" s="1"/>
  <c r="AS46" i="20"/>
  <c r="AC46" i="20" s="1"/>
  <c r="AR46" i="20"/>
  <c r="BD46" i="20" s="1"/>
  <c r="V44" i="20"/>
  <c r="AS44" i="20"/>
  <c r="AC44" i="20" s="1"/>
  <c r="AP44" i="20"/>
  <c r="AV44" i="20" s="1"/>
  <c r="AF44" i="20" s="1"/>
  <c r="AQ44" i="20"/>
  <c r="AW44" i="20" s="1"/>
  <c r="BH44" i="20" s="1"/>
  <c r="AR44" i="20"/>
  <c r="BD44" i="20" s="1"/>
  <c r="AP43" i="20"/>
  <c r="BB43" i="20" s="1"/>
  <c r="AQ43" i="20"/>
  <c r="Y43" i="20" s="1"/>
  <c r="AO48" i="20"/>
  <c r="V48" i="20" s="1"/>
  <c r="AE46" i="20"/>
  <c r="V43" i="20"/>
  <c r="V47" i="20"/>
  <c r="V46" i="20"/>
  <c r="AE47" i="20"/>
  <c r="BB47" i="20"/>
  <c r="AE44" i="20"/>
  <c r="AU48" i="20"/>
  <c r="AE48" i="20" s="1"/>
  <c r="BJ43" i="20"/>
  <c r="BH43" i="20"/>
  <c r="AH43" i="20"/>
  <c r="BE45" i="20"/>
  <c r="AC45" i="20"/>
  <c r="BI43" i="20" l="1"/>
  <c r="W46" i="20"/>
  <c r="BB45" i="20"/>
  <c r="W45" i="20"/>
  <c r="Y45" i="20"/>
  <c r="BC45" i="20"/>
  <c r="BC44" i="20"/>
  <c r="BB44" i="20"/>
  <c r="AH46" i="20"/>
  <c r="AG46" i="20" s="1"/>
  <c r="Y44" i="20"/>
  <c r="BC46" i="20"/>
  <c r="AA45" i="20"/>
  <c r="BD45" i="20"/>
  <c r="Y47" i="20"/>
  <c r="Z47" i="20" s="1"/>
  <c r="AA44" i="20"/>
  <c r="AB44" i="20" s="1"/>
  <c r="AP48" i="20"/>
  <c r="BB48" i="20" s="1"/>
  <c r="AA46" i="20"/>
  <c r="AB46" i="20" s="1"/>
  <c r="AJ45" i="20"/>
  <c r="AK45" i="20" s="1"/>
  <c r="BE44" i="20"/>
  <c r="BI45" i="20"/>
  <c r="AW48" i="20"/>
  <c r="BH48" i="20" s="1"/>
  <c r="AS48" i="20"/>
  <c r="BE48" i="20" s="1"/>
  <c r="W44" i="20"/>
  <c r="AQ48" i="20"/>
  <c r="BC48" i="20" s="1"/>
  <c r="AH44" i="20"/>
  <c r="AG44" i="20" s="1"/>
  <c r="BC43" i="20"/>
  <c r="BC47" i="20"/>
  <c r="W43" i="20"/>
  <c r="X43" i="20" s="1"/>
  <c r="AH45" i="20"/>
  <c r="AG45" i="20" s="1"/>
  <c r="BH45" i="20"/>
  <c r="AR48" i="20"/>
  <c r="BD48" i="20" s="1"/>
  <c r="W47" i="20"/>
  <c r="AH47" i="20"/>
  <c r="AI47" i="20" s="1"/>
  <c r="BE46" i="20"/>
  <c r="BD47" i="20"/>
  <c r="BB46" i="20"/>
  <c r="AC47" i="20"/>
  <c r="Y46" i="20"/>
  <c r="AV48" i="20"/>
  <c r="AI43" i="20"/>
  <c r="Z43" i="20"/>
  <c r="AK43" i="20"/>
  <c r="AG43" i="20"/>
  <c r="Z44" i="20" l="1"/>
  <c r="X45" i="20"/>
  <c r="AI46" i="20"/>
  <c r="Z45" i="20"/>
  <c r="X44" i="20"/>
  <c r="AB45" i="20"/>
  <c r="X47" i="20"/>
  <c r="Z46" i="20"/>
  <c r="AI44" i="20"/>
  <c r="AI45" i="20"/>
  <c r="AG47" i="20"/>
  <c r="X46" i="20"/>
  <c r="AB47"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Spirits</author>
  </authors>
  <commentList>
    <comment ref="F21" authorId="0" shapeId="0" xr:uid="{C3C6C117-FCC1-4A1F-915B-E09AD6496281}">
      <text>
        <r>
          <rPr>
            <b/>
            <sz val="10"/>
            <color indexed="81"/>
            <rFont val="Tahoma"/>
            <family val="2"/>
          </rPr>
          <t>Good Spirits:</t>
        </r>
        <r>
          <rPr>
            <sz val="10"/>
            <color indexed="81"/>
            <rFont val="Tahoma"/>
            <family val="2"/>
          </rPr>
          <t xml:space="preserve">
all eff from LTMS except where commented</t>
        </r>
      </text>
    </comment>
    <comment ref="O21" authorId="0" shapeId="0" xr:uid="{8D6AD3A3-CE78-446B-8095-4C6968805848}">
      <text>
        <r>
          <rPr>
            <b/>
            <sz val="10"/>
            <color indexed="81"/>
            <rFont val="Tahoma"/>
            <family val="2"/>
          </rPr>
          <t>Good Spirits:</t>
        </r>
        <r>
          <rPr>
            <sz val="10"/>
            <color indexed="81"/>
            <rFont val="Tahoma"/>
            <family val="2"/>
          </rPr>
          <t xml:space="preserve">
all eff from LTMS except where commented</t>
        </r>
      </text>
    </comment>
    <comment ref="F41" authorId="0" shapeId="0" xr:uid="{39AFF25F-9230-44D9-BE78-0127CAAED973}">
      <text>
        <r>
          <rPr>
            <b/>
            <sz val="10"/>
            <color indexed="81"/>
            <rFont val="Tahoma"/>
            <family val="2"/>
          </rPr>
          <t>Good Spirits:</t>
        </r>
        <r>
          <rPr>
            <sz val="10"/>
            <color indexed="81"/>
            <rFont val="Tahoma"/>
            <family val="2"/>
          </rPr>
          <t xml:space="preserve">
all eff from LTMS except where commented</t>
        </r>
      </text>
    </comment>
    <comment ref="O41" authorId="0" shapeId="0" xr:uid="{4165C7B6-1FE2-466D-A826-332BB06EF75A}">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tc={8308AA76-425E-D44B-9894-E5B4FF0C8BE8}</author>
    <author>tc={4DF60E77-CC5A-4D82-BA19-1A831A4807D7}</author>
    <author>tc={D42BB6B0-AB45-9E43-A9E9-B0DA0F955F44}</author>
    <author>Bruno Merven</author>
    <author>tc={DCE847A7-FF76-4CBA-BF42-FAA7EA517A5C}</author>
    <author>Lana</author>
  </authors>
  <commentList>
    <comment ref="I3" authorId="0" shapeId="0" xr:uid="{8308AA76-425E-D44B-9894-E5B4FF0C8BE8}">
      <text>
        <t>[Threaded comment]
Your version of Excel allows you to read this threaded comment; however, any edits to it will get removed if the file is opened in a newer version of Excel. Learn more: https://go.microsoft.com/fwlink/?linkid=870924
Comment:
    These shares match dmd_prj</t>
      </text>
    </comment>
    <comment ref="H9" authorId="1" shapeId="0" xr:uid="{4DF60E77-CC5A-4D82-BA19-1A831A4807D7}">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J9" authorId="2" shapeId="0" xr:uid="{D42BB6B0-AB45-9E43-A9E9-B0DA0F955F44}">
      <text>
        <t>[Threaded comment]
Your version of Excel allows you to read this threaded comment; however, any edits to it will get removed if the file is opened in a newer version of Excel. Learn more: https://go.microsoft.com/fwlink/?linkid=870924
Comment:
    Taken from SANEDI “household data v03” workbook</t>
      </text>
    </comment>
    <comment ref="E25" authorId="3" shapeId="0" xr:uid="{8E2FC6D2-98BE-447B-A7D5-AB3CB6074EF1}">
      <text>
        <r>
          <rPr>
            <b/>
            <sz val="8"/>
            <color rgb="FF000000"/>
            <rFont val="Tahoma"/>
            <family val="2"/>
          </rPr>
          <t>Bruno Merven:</t>
        </r>
        <r>
          <rPr>
            <sz val="8"/>
            <color rgb="FF000000"/>
            <rFont val="Tahoma"/>
            <family val="2"/>
          </rPr>
          <t xml:space="preserve">
</t>
        </r>
        <r>
          <rPr>
            <sz val="8"/>
            <color rgb="FF000000"/>
            <rFont val="Tahoma"/>
            <family val="2"/>
          </rPr>
          <t>From MyCS2007</t>
        </r>
      </text>
    </comment>
    <comment ref="D47" authorId="4" shapeId="0" xr:uid="{DCE847A7-FF76-4CBA-BF42-FAA7EA517A5C}">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D110" authorId="5" shapeId="0" xr:uid="{00000000-0006-0000-1200-000001000000}">
      <text>
        <r>
          <rPr>
            <b/>
            <sz val="9"/>
            <color indexed="81"/>
            <rFont val="Tahoma"/>
            <family val="2"/>
          </rPr>
          <t>Lana:</t>
        </r>
        <r>
          <rPr>
            <sz val="9"/>
            <color indexed="81"/>
            <rFont val="Tahoma"/>
            <family val="2"/>
          </rPr>
          <t xml:space="preserve">
For Census 2011, electricity used for lighting is a proxy for electricity access. The cooking and heating data were filtered using this proxy.</t>
        </r>
      </text>
    </comment>
    <comment ref="E111" authorId="5" shapeId="0" xr:uid="{00000000-0006-0000-1200-000002000000}">
      <text>
        <r>
          <rPr>
            <sz val="9"/>
            <color indexed="81"/>
            <rFont val="Tahoma"/>
            <family val="2"/>
          </rPr>
          <t xml:space="preserve">error of 31 206 households when using electricity as a proxy for lighting, which is 1% of total households, thus insignificant
</t>
        </r>
      </text>
    </comment>
    <comment ref="I111" authorId="5" shapeId="0" xr:uid="{00000000-0006-0000-1200-000003000000}">
      <text>
        <r>
          <rPr>
            <sz val="9"/>
            <color indexed="81"/>
            <rFont val="Tahoma"/>
            <family val="2"/>
          </rPr>
          <t xml:space="preserve">error of 31 206 households when using electricity as a proxy for lighting, which is 1% of total households, thus insignificant
</t>
        </r>
      </text>
    </comment>
    <comment ref="I112" authorId="5" shapeId="0" xr:uid="{00000000-0006-0000-1200-000004000000}">
      <text>
        <r>
          <rPr>
            <sz val="9"/>
            <color indexed="81"/>
            <rFont val="Tahoma"/>
            <family val="2"/>
          </rPr>
          <t xml:space="preserve">error of 31 206 households when using electricity as a proxy for lighting, which is 1% of total households, thus insignificant
</t>
        </r>
      </text>
    </comment>
    <comment ref="E121" authorId="5" shapeId="0" xr:uid="{00000000-0006-0000-1200-000005000000}">
      <text>
        <r>
          <rPr>
            <sz val="9"/>
            <color indexed="81"/>
            <rFont val="Tahoma"/>
            <family val="2"/>
          </rPr>
          <t xml:space="preserve">error of 31 206 households when using electricity as a proxy for lighting, which is 1% of total households, thus insignificant
</t>
        </r>
      </text>
    </comment>
    <comment ref="I121" authorId="5" shapeId="0" xr:uid="{00000000-0006-0000-1200-000006000000}">
      <text>
        <r>
          <rPr>
            <sz val="9"/>
            <color indexed="81"/>
            <rFont val="Tahoma"/>
            <family val="2"/>
          </rPr>
          <t xml:space="preserve">error of 31 206 households when using electricity as a proxy for lighting, which is 1% of total households, thus insignificant
</t>
        </r>
      </text>
    </comment>
    <comment ref="E131" authorId="5" shapeId="0" xr:uid="{00000000-0006-0000-1200-000007000000}">
      <text>
        <r>
          <rPr>
            <sz val="9"/>
            <color indexed="81"/>
            <rFont val="Tahoma"/>
            <family val="2"/>
          </rPr>
          <t xml:space="preserve">error of 31 206 households when using electricity as a proxy for lighting, which is 1% of total households, thus insignificant
</t>
        </r>
      </text>
    </comment>
    <comment ref="I131" authorId="5" shapeId="0" xr:uid="{00000000-0006-0000-1200-000008000000}">
      <text>
        <r>
          <rPr>
            <sz val="9"/>
            <color indexed="81"/>
            <rFont val="Tahoma"/>
            <family val="2"/>
          </rPr>
          <t xml:space="preserve">error of 31 206 households when using electricity as a proxy for lighting, which is 1% of total households, thus insignificant
</t>
        </r>
      </text>
    </comment>
    <comment ref="E142" authorId="5" shapeId="0" xr:uid="{00000000-0006-0000-1200-000009000000}">
      <text>
        <r>
          <rPr>
            <sz val="9"/>
            <color indexed="81"/>
            <rFont val="Tahoma"/>
            <family val="2"/>
          </rPr>
          <t xml:space="preserve">error of 31 206 households when using electricity as a proxy for lighting, which is 1% of total households, thus insignificant
</t>
        </r>
      </text>
    </comment>
    <comment ref="E152" authorId="5" shapeId="0" xr:uid="{00000000-0006-0000-1200-00000A000000}">
      <text>
        <r>
          <rPr>
            <sz val="9"/>
            <color indexed="81"/>
            <rFont val="Tahoma"/>
            <family val="2"/>
          </rPr>
          <t xml:space="preserve">error of 31 206 households when using electricity as a proxy for lighting, which is 1% of total households, thus insignificant
</t>
        </r>
      </text>
    </comment>
    <comment ref="E162" authorId="5" shapeId="0" xr:uid="{00000000-0006-0000-1200-00000B000000}">
      <text>
        <r>
          <rPr>
            <sz val="9"/>
            <color indexed="81"/>
            <rFont val="Tahoma"/>
            <family val="2"/>
          </rPr>
          <t xml:space="preserve">error of 31 206 households when using electricity as a proxy for lighting, which is 1% of total households, thus insignificant
</t>
        </r>
      </text>
    </comment>
    <comment ref="E175" authorId="5" shapeId="0" xr:uid="{10062D0C-EC6E-4C5A-AEC8-AA51181671D6}">
      <text>
        <r>
          <rPr>
            <sz val="9"/>
            <color indexed="81"/>
            <rFont val="Tahoma"/>
            <family val="2"/>
          </rPr>
          <t xml:space="preserve">error of 31 206 households when using electricity as a proxy for lighting, which is 1% of total households, thus insignificant
</t>
        </r>
      </text>
    </comment>
    <comment ref="E185" authorId="5" shapeId="0" xr:uid="{D6D2FD35-8736-4E44-AEAE-D4BD880A1988}">
      <text>
        <r>
          <rPr>
            <sz val="9"/>
            <color indexed="81"/>
            <rFont val="Tahoma"/>
            <family val="2"/>
          </rPr>
          <t xml:space="preserve">error of 31 206 households when using electricity as a proxy for lighting, which is 1% of total households, thus insignificant
</t>
        </r>
      </text>
    </comment>
    <comment ref="E195" authorId="5" shapeId="0" xr:uid="{7279023F-1495-4206-9543-4EE949CE4457}">
      <text>
        <r>
          <rPr>
            <sz val="9"/>
            <color indexed="81"/>
            <rFont val="Tahoma"/>
            <family val="2"/>
          </rPr>
          <t xml:space="preserve">error of 31 206 households when using electricity as a proxy for lighting, which is 1% of total households, thus insignificant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Alison Hughes</author>
    <author>tc={6A7695AD-4A76-48DA-970B-19A6CB9DACC1}</author>
  </authors>
  <commentList>
    <comment ref="AN6" authorId="0" shapeId="0" xr:uid="{00000000-0006-0000-1300-000001000000}">
      <text>
        <r>
          <rPr>
            <b/>
            <sz val="9"/>
            <color indexed="81"/>
            <rFont val="Arial"/>
            <family val="2"/>
          </rPr>
          <t>Alison Hughes:</t>
        </r>
        <r>
          <rPr>
            <sz val="9"/>
            <color indexed="81"/>
            <rFont val="Arial"/>
            <family val="2"/>
          </rPr>
          <t xml:space="preserve">
sums middle and high income
</t>
        </r>
      </text>
    </comment>
    <comment ref="G99" authorId="1" shapeId="0" xr:uid="{6A7695AD-4A76-48DA-970B-19A6CB9DACC1}">
      <text>
        <t>[Threaded comment]
Your version of Excel allows you to read this threaded comment; however, any edits to it will get removed if the file is opened in a newer version of Excel. Learn more: https://go.microsoft.com/fwlink/?linkid=870924
Comment:
    Also difference in wood use here, with non-elec hhlds using more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Good Spirits</author>
    <author>tc={DF5259BA-374F-B841-825F-9E1553572344}</author>
    <author>tc={D175A75C-4ADB-F247-9B9F-B5C585A9CE63}</author>
  </authors>
  <commentList>
    <comment ref="E34" authorId="0" shapeId="0" xr:uid="{00000000-0006-0000-1400-000002000000}">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 ref="S34" authorId="1" shapeId="0" xr:uid="{DF5259BA-374F-B841-825F-9E1553572344}">
      <text>
        <t>[Threaded comment]
Your version of Excel allows you to read this threaded comment; however, any edits to it will get removed if the file is opened in a newer version of Excel. Learn more: https://go.microsoft.com/fwlink/?linkid=870924
Comment:
    Efficiency - pulls informtion in from scenarios</t>
      </text>
    </comment>
    <comment ref="E62" authorId="2" shapeId="0" xr:uid="{D175A75C-4ADB-F247-9B9F-B5C585A9CE63}">
      <text>
        <t>[Threaded comment]
Your version of Excel allows you to read this threaded comment; however, any edits to it will get removed if the file is opened in a newer version of Excel. Learn more: https://go.microsoft.com/fwlink/?linkid=870924
Comment:
    I don’t think this matches SANEDI</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Tara Caetano</author>
  </authors>
  <commentList>
    <comment ref="O39" authorId="0" shapeId="0" xr:uid="{00000000-0006-0000-1500-000001000000}">
      <text>
        <r>
          <rPr>
            <b/>
            <sz val="9"/>
            <color indexed="81"/>
            <rFont val="Arial"/>
            <family val="2"/>
          </rPr>
          <t>Tara Caetano:</t>
        </r>
        <r>
          <rPr>
            <sz val="9"/>
            <color indexed="81"/>
            <rFont val="Arial"/>
            <family val="2"/>
          </rPr>
          <t xml:space="preserve">
15.5 PJ from continuing effects of the existing MEPS.</t>
        </r>
      </text>
    </comment>
  </commentList>
</comments>
</file>

<file path=xl/sharedStrings.xml><?xml version="1.0" encoding="utf-8"?>
<sst xmlns="http://schemas.openxmlformats.org/spreadsheetml/2006/main" count="4091" uniqueCount="1072">
  <si>
    <t>Fuel</t>
  </si>
  <si>
    <t xml:space="preserve"> (Unit)</t>
  </si>
  <si>
    <t>Candles</t>
  </si>
  <si>
    <t xml:space="preserve">Paraffin </t>
  </si>
  <si>
    <t>PM9 Battery</t>
  </si>
  <si>
    <t>PM10 Battery</t>
  </si>
  <si>
    <t>R20 Battery</t>
  </si>
  <si>
    <t>Wood</t>
  </si>
  <si>
    <t>Sun Dried dung</t>
  </si>
  <si>
    <t>Coal</t>
  </si>
  <si>
    <t>Cape Town energy futures: Policies and scenarios for sustainable city energy development</t>
  </si>
  <si>
    <t>Lighting</t>
  </si>
  <si>
    <t>Cooking</t>
  </si>
  <si>
    <t>Space heating</t>
  </si>
  <si>
    <t>Water heating</t>
  </si>
  <si>
    <t>Refrigeration</t>
  </si>
  <si>
    <t>electricity</t>
  </si>
  <si>
    <t>Paraffin</t>
  </si>
  <si>
    <t>Low income</t>
  </si>
  <si>
    <t>Bill Cowan (2008)</t>
  </si>
  <si>
    <t>paraffin</t>
  </si>
  <si>
    <t>LPG</t>
  </si>
  <si>
    <t>Low Income</t>
  </si>
  <si>
    <t>GJ/annum</t>
  </si>
  <si>
    <t>Middle Income</t>
  </si>
  <si>
    <t>High Income</t>
  </si>
  <si>
    <t>Statistics South Africa</t>
  </si>
  <si>
    <t>Total</t>
  </si>
  <si>
    <t>No income</t>
  </si>
  <si>
    <t>Low</t>
  </si>
  <si>
    <t>Middle</t>
  </si>
  <si>
    <t>High</t>
  </si>
  <si>
    <t>kg</t>
  </si>
  <si>
    <t>Non electrified</t>
  </si>
  <si>
    <t>Electrified</t>
  </si>
  <si>
    <t>low income</t>
  </si>
  <si>
    <t>other</t>
  </si>
  <si>
    <t>high income</t>
  </si>
  <si>
    <t>COOKING</t>
  </si>
  <si>
    <t>wood</t>
  </si>
  <si>
    <t>SPACE HEATING</t>
  </si>
  <si>
    <t>Other</t>
  </si>
  <si>
    <t>Electricity</t>
  </si>
  <si>
    <t>Gas</t>
  </si>
  <si>
    <t>Solar</t>
  </si>
  <si>
    <t>Fuel Types</t>
  </si>
  <si>
    <t>Animal dung</t>
  </si>
  <si>
    <t>None</t>
  </si>
  <si>
    <t>SAPIA</t>
  </si>
  <si>
    <t>PJ</t>
  </si>
  <si>
    <t>Yes</t>
  </si>
  <si>
    <t>No</t>
  </si>
  <si>
    <t>%</t>
  </si>
  <si>
    <t>Appliances</t>
  </si>
  <si>
    <t>Average</t>
  </si>
  <si>
    <t>none</t>
  </si>
  <si>
    <t>CFL</t>
  </si>
  <si>
    <t xml:space="preserve"> </t>
  </si>
  <si>
    <t>low</t>
  </si>
  <si>
    <t>High income</t>
  </si>
  <si>
    <t>REGIONS</t>
  </si>
  <si>
    <t>cooking</t>
  </si>
  <si>
    <t>space heating</t>
  </si>
  <si>
    <t>water heating</t>
  </si>
  <si>
    <t>Cost</t>
  </si>
  <si>
    <t>SWH</t>
  </si>
  <si>
    <t>Saturation level - AMPS</t>
  </si>
  <si>
    <t>no.hhlds</t>
  </si>
  <si>
    <t>assumed 250L single door fridge freezer</t>
  </si>
  <si>
    <t xml:space="preserve">         Refrigeration </t>
  </si>
  <si>
    <t xml:space="preserve">         Free Standing Freezer</t>
  </si>
  <si>
    <t>assumed a 450L double door fridge freezer</t>
  </si>
  <si>
    <t>assumed 650L double door fridge freezer</t>
  </si>
  <si>
    <t>http://www.altestore.com/howto/Power-Ratings-typical-for-Common-Appliances/a21/</t>
  </si>
  <si>
    <t>South Africa</t>
  </si>
  <si>
    <t>Base Year Energy Balance</t>
  </si>
  <si>
    <t>Base Year</t>
  </si>
  <si>
    <t>RES</t>
  </si>
  <si>
    <t>L</t>
  </si>
  <si>
    <t>H</t>
  </si>
  <si>
    <t>~FI_T</t>
  </si>
  <si>
    <t>TechDesc</t>
  </si>
  <si>
    <t>TechName</t>
  </si>
  <si>
    <t>Comm-IN</t>
  </si>
  <si>
    <t>Comm-Out</t>
  </si>
  <si>
    <t>EFF</t>
  </si>
  <si>
    <t>AFA</t>
  </si>
  <si>
    <t>Life</t>
  </si>
  <si>
    <t>STOCK</t>
  </si>
  <si>
    <t xml:space="preserve"> \I:Technology Description</t>
  </si>
  <si>
    <t>Technology Name</t>
  </si>
  <si>
    <t>Input Commodity</t>
  </si>
  <si>
    <t>Useful Energy Service</t>
  </si>
  <si>
    <t>Efficiency</t>
  </si>
  <si>
    <t>Utlisation</t>
  </si>
  <si>
    <t>Lifetime</t>
  </si>
  <si>
    <t>Existing Installed Cap.</t>
  </si>
  <si>
    <t>Base Year Technology Share</t>
  </si>
  <si>
    <t>Final Energy</t>
  </si>
  <si>
    <t>Useful Energy</t>
  </si>
  <si>
    <t>Row #</t>
  </si>
  <si>
    <t>\I: Units</t>
  </si>
  <si>
    <t>(sum OUT/IN)</t>
  </si>
  <si>
    <t>(Fraction)</t>
  </si>
  <si>
    <t>(Years)</t>
  </si>
  <si>
    <t>(PJa)</t>
  </si>
  <si>
    <t>(%)</t>
  </si>
  <si>
    <t>(PJ)</t>
  </si>
  <si>
    <t>\I:</t>
  </si>
  <si>
    <t>\I: Share Check &amp; sub-totals</t>
  </si>
  <si>
    <t>*</t>
  </si>
  <si>
    <t>UP</t>
  </si>
  <si>
    <t>Investment Cost</t>
  </si>
  <si>
    <t>LED</t>
  </si>
  <si>
    <t>\I:Residential - Lighting - Low Income Electrified</t>
  </si>
  <si>
    <t>\I:Residential - Cooking - Low Income Electrified</t>
  </si>
  <si>
    <t>\I:Residential - Space Heating - Low Income Electrified</t>
  </si>
  <si>
    <t>\I:Residential - Water Heating - Low Income Electrified</t>
  </si>
  <si>
    <t>\I:Residential - Refrigeration - Low Income Electrified</t>
  </si>
  <si>
    <t>\I:Residential - Other - Low Income Electrified</t>
  </si>
  <si>
    <t>\I:Residential - Lighting - Middle Income Electrified</t>
  </si>
  <si>
    <t>\I:Residential - Lighting - High Income Electrified</t>
  </si>
  <si>
    <t>\I:Residential - Space Heating - High Income Electrified</t>
  </si>
  <si>
    <t>\I:Residential - Other - High Income Electrified</t>
  </si>
  <si>
    <t>Default Upper Limits</t>
  </si>
  <si>
    <t>Default Lower Limits</t>
  </si>
  <si>
    <t>Base Year Tech Share</t>
  </si>
  <si>
    <t>Upper Limit</t>
  </si>
  <si>
    <t>Lower Limit</t>
  </si>
  <si>
    <t>LO</t>
  </si>
  <si>
    <t>U2006</t>
  </si>
  <si>
    <t>L2006</t>
  </si>
  <si>
    <t>kWh</t>
  </si>
  <si>
    <t>Actually Loaded into TIMES</t>
  </si>
  <si>
    <t>I2006</t>
  </si>
  <si>
    <t>Date</t>
  </si>
  <si>
    <t>Person</t>
  </si>
  <si>
    <t>Sheet</t>
  </si>
  <si>
    <t>Change</t>
  </si>
  <si>
    <t>Impact</t>
  </si>
  <si>
    <t>Reason</t>
  </si>
  <si>
    <t>Alison</t>
  </si>
  <si>
    <t>Linked Elc to MyEndUses</t>
  </si>
  <si>
    <t>Neat Sheet</t>
  </si>
  <si>
    <t>My End Uses</t>
  </si>
  <si>
    <t>Increased Electricity consumption</t>
  </si>
  <si>
    <t>To absorb some of the "other elc"</t>
  </si>
  <si>
    <t>Total Elc increased</t>
  </si>
  <si>
    <t>Increased Coal consumption</t>
  </si>
  <si>
    <t>To push up coal consumption to 1m tons</t>
  </si>
  <si>
    <t>Bruno</t>
  </si>
  <si>
    <t>Linked other fuels to MyEndUses</t>
  </si>
  <si>
    <t>So that updates on other sheets get carried over to RES sheet</t>
  </si>
  <si>
    <t>Adjusted woodfuel share of Electrified low income hh</t>
  </si>
  <si>
    <t>Was not consistent non-electrified low income hh</t>
  </si>
  <si>
    <t>BILL</t>
  </si>
  <si>
    <t>Adjusted paraffin use in middle income</t>
  </si>
  <si>
    <t>Was not consistent with low income hhs and high income hhs</t>
  </si>
  <si>
    <t>Added LPG use for space heating and linked my End Uses</t>
  </si>
  <si>
    <t>Added paraffin use for non energy use</t>
  </si>
  <si>
    <t>my neat sheet</t>
  </si>
  <si>
    <t>linked paraffin use for non energy use to BILL's sheet</t>
  </si>
  <si>
    <t>N</t>
  </si>
  <si>
    <t>Added non-energy use (also to TIMES parameters sheets)</t>
  </si>
  <si>
    <t>alternative?</t>
  </si>
  <si>
    <t>Export only Shares Scenario?</t>
  </si>
  <si>
    <t>2005 mill. R/PJ-a</t>
  </si>
  <si>
    <t>Changed Final Energy Calculation for Electric Lighting so that it makes sense given the known shares of useful energy (count of bulbs) and efficiencies.</t>
  </si>
  <si>
    <t>Adrian</t>
  </si>
  <si>
    <t>Bryce</t>
  </si>
  <si>
    <t xml:space="preserve">Added LPG gas heater tech to middle income.  Costs based on high income level technology. </t>
  </si>
  <si>
    <t>Natural gas</t>
  </si>
  <si>
    <t>Natural Gas</t>
  </si>
  <si>
    <t>RESGAS</t>
  </si>
  <si>
    <t>0 = Reference, 1 = Alternative 1, 2= Alternative 2, 3 = Alternative 3,4 = Alternative 4, 5 = Alternative 5</t>
  </si>
  <si>
    <t>If 0, u export everything (shares together with technologies), else export shares only</t>
  </si>
  <si>
    <t>SATIM Codes</t>
  </si>
  <si>
    <t>INC</t>
  </si>
  <si>
    <t>Reference</t>
  </si>
  <si>
    <t xml:space="preserve">http://beta2.statssa.gov.za/publications/P0141/CPIHistory.pdf </t>
  </si>
  <si>
    <t xml:space="preserve">P0141 </t>
  </si>
  <si>
    <t>Publication Series</t>
  </si>
  <si>
    <t>Organisation's Name or Authors</t>
  </si>
  <si>
    <t>Fin24</t>
  </si>
  <si>
    <t>candle</t>
  </si>
  <si>
    <t>Litre</t>
  </si>
  <si>
    <t>Battery</t>
  </si>
  <si>
    <t>Calorific Value (MJ/Unit)</t>
  </si>
  <si>
    <t xml:space="preserve">Fuel use in six rural settlements in Gazankulu. </t>
  </si>
  <si>
    <t xml:space="preserve">N.J Griffin, D. I. Banks, J Mavrandonis, C.M Shackleton and S E Shackleton: </t>
  </si>
  <si>
    <t>Title</t>
  </si>
  <si>
    <t>Note on the Reference</t>
  </si>
  <si>
    <t>There was no year given, and this is found in hard copy, Alison had the report in 2011</t>
  </si>
  <si>
    <t>DoE 2009 Energy Digest Statistics</t>
  </si>
  <si>
    <t>Department of Energy</t>
  </si>
  <si>
    <t>Link'</t>
  </si>
  <si>
    <t>CPI History</t>
  </si>
  <si>
    <t xml:space="preserve">http://www.energy.gov.za/files/media/explained/2009%20Digest%20PDF%20version.pdf </t>
  </si>
  <si>
    <t>E18,4</t>
  </si>
  <si>
    <t>Wood - dry</t>
  </si>
  <si>
    <t>Exchange Rate</t>
  </si>
  <si>
    <t>Reference Code</t>
  </si>
  <si>
    <t>Harald Winkler, Mark Borchers, Alison Highes, Eugene Visagie and Glen Heinrich,2005</t>
  </si>
  <si>
    <t xml:space="preserve">http://www.erc.uct.ac.za/Research/publications/05WInkler%20etal%20-%20CT%20energy%20futures.pdf </t>
  </si>
  <si>
    <t>Determining the impacts of selected energy policies on Gauteng's residential energy consumption and the associated emissions using LEAP as a tool for analysis : implications for sustainable livelihoods for the poor</t>
  </si>
  <si>
    <t xml:space="preserve">http://uctscholar.uct.ac.za/R?func=dbin-jump-full&amp;object_id=57802 </t>
  </si>
  <si>
    <t>Mamahloko Senatla</t>
  </si>
  <si>
    <t>MSc Thesis</t>
  </si>
  <si>
    <t>The workbook used here was used for modeling which produce this report: Energy Scenarios for Cape Town, Exploring the Implications of Different Energy Futures for the City up to 2050</t>
  </si>
  <si>
    <t xml:space="preserve">http://www.capetown.gov.za/en/EnvironmentalResourceManagement/publications/Documents/Energy_Scenarios_for_CT_to_2050_2011-08.pdf </t>
  </si>
  <si>
    <t>University of Cape Town (ERC) and Sustainable Energy Africa (SEA)</t>
  </si>
  <si>
    <t>The modeling was done by ERC and SEA to produce the study that is mentioned as a reference here</t>
  </si>
  <si>
    <t>References</t>
  </si>
  <si>
    <t xml:space="preserve">Appliance Standby Power and Energy Consumption in South African Households </t>
  </si>
  <si>
    <t>MV Shuma-Iwisi and GJ Gibbon</t>
  </si>
  <si>
    <t xml:space="preserve">http://active.cput.ac.za/energy/past_papers/DUE/2009/PDF/Paper%20-%20Shuma-Iwisi%20M.pdf </t>
  </si>
  <si>
    <t>This paer was presented in DUE 2009</t>
  </si>
  <si>
    <t>NERSA 2006.</t>
  </si>
  <si>
    <t xml:space="preserve">http://www.nersa.org.za/Admin/Document/Editor/file/News%20and%20Publications/Publications/Current%20Issues/Electricity%20Supply%20Statistics/Electricity%20supply%20statistics%202006.pdf </t>
  </si>
  <si>
    <t>Electricity Supply Statistics for South Africa</t>
  </si>
  <si>
    <t xml:space="preserve">. Last accessed on 11 April 2011 at </t>
  </si>
  <si>
    <t>State of Energy Report -Final</t>
  </si>
  <si>
    <t>City of Tswane Metropolitan Municipality, 2006</t>
  </si>
  <si>
    <t xml:space="preserve">http://www.cityenergy.org.za/files/resources/soe/CTMMSOE.pdf </t>
  </si>
  <si>
    <t>Alleviation of Poverty through the Provision of Local Energy Services (APPLES): for Work Package 4: Identification and demonstration of selected energy best practices for low-income urban communities in South Africa</t>
  </si>
  <si>
    <t>Equivalent kg</t>
  </si>
  <si>
    <t>Hours in operation</t>
  </si>
  <si>
    <t>Number of households</t>
  </si>
  <si>
    <t>Energy Intensity (GJ/hhld/annum)</t>
  </si>
  <si>
    <t>Energy consumption: A comparison between the microwave oven and the conventional electric range.Journal of Microwave Power, 9(4), 1974. published by IMPI Ltd, Edmonton, Canada</t>
  </si>
  <si>
    <t xml:space="preserve"> D.R. McConnell (1974)</t>
  </si>
  <si>
    <t xml:space="preserve">Buffler, C.R.1992, </t>
  </si>
  <si>
    <t>Microwave Cooking And Processing: Engineering Fundamnetals For the Food Scientist. 1992, New York:Van Nostrand Reinhold</t>
  </si>
  <si>
    <t>Microwave Oven Evaluation Standard Subcommittee Energy Efficiency Standards Subcommittee of the Advisory Committee for Naturla Resources and Energy, in Japan's "Top Runner" Standard.</t>
  </si>
  <si>
    <t>Tetsuji, O.2005</t>
  </si>
  <si>
    <t xml:space="preserve">Changes in cooking energy could have a major impact on SA's Carbon emissions. Energy Institute, Cape Peninsula University of Technology, Cape Town in Domestic Use of Energy conference 2010. </t>
  </si>
  <si>
    <t>Determining the impacts of selected energy policies on Gauteng's residential energy consumption and the associated emissions using LEAP as a tool for analysis:Implications for sustainable livelihoods for the poor.</t>
  </si>
  <si>
    <t>Mamahloko Senatla, 2010</t>
  </si>
  <si>
    <t xml:space="preserve"> MSc Thesis, Energy Research Centre, University of Cape Town</t>
  </si>
  <si>
    <t>Lloyd, P.J., 2010.</t>
  </si>
  <si>
    <t>A study of domestic paraffin stove design factors in South Africa. Mphil Thesis. Department of Industrial Design: Faculty of art, design and architecture, University of Johannesburg</t>
  </si>
  <si>
    <t>Chris Bradnum, 2007</t>
  </si>
  <si>
    <t>RESELC</t>
  </si>
  <si>
    <t>RESOLP</t>
  </si>
  <si>
    <t>RESOKE</t>
  </si>
  <si>
    <t>RESBIW</t>
  </si>
  <si>
    <t>RESCOA</t>
  </si>
  <si>
    <t xml:space="preserve">Average number of rooms </t>
  </si>
  <si>
    <t>http://www.exchangerates.org.uk/US-Dollar-USD-currency-table.html</t>
  </si>
  <si>
    <t xml:space="preserve">http://www.ebay.com/bhp/natural-gas-stove </t>
  </si>
  <si>
    <t>Natural Gas Stoves Costs</t>
  </si>
  <si>
    <t>Ebay 2013</t>
  </si>
  <si>
    <t>RHEH</t>
  </si>
  <si>
    <t>http://www.futurelight.co.za/collections/led-bulbs</t>
  </si>
  <si>
    <t>LED Costs</t>
  </si>
  <si>
    <t>RLEL</t>
  </si>
  <si>
    <t>RLEK</t>
  </si>
  <si>
    <t>RLEH</t>
  </si>
  <si>
    <t>RLEW</t>
  </si>
  <si>
    <t>RLER</t>
  </si>
  <si>
    <t>RLEO</t>
  </si>
  <si>
    <t>RMEL</t>
  </si>
  <si>
    <t>RMEK</t>
  </si>
  <si>
    <t>RMEH</t>
  </si>
  <si>
    <t>RMEW</t>
  </si>
  <si>
    <t>RMER</t>
  </si>
  <si>
    <t>RMEO</t>
  </si>
  <si>
    <t>RHEL</t>
  </si>
  <si>
    <t>RHEK</t>
  </si>
  <si>
    <t>RHEW</t>
  </si>
  <si>
    <t>RHER</t>
  </si>
  <si>
    <t>RHEO</t>
  </si>
  <si>
    <t>RLNL</t>
  </si>
  <si>
    <t>RLNK</t>
  </si>
  <si>
    <t>Fuel Codes</t>
  </si>
  <si>
    <t>Household Classification</t>
  </si>
  <si>
    <t>This study cannot be referenced as it is still work in progress</t>
  </si>
  <si>
    <t>Alison Hughes</t>
  </si>
  <si>
    <t>Wood use in Mpumalanga rural areas</t>
  </si>
  <si>
    <t>Community Survey 2007</t>
  </si>
  <si>
    <t>Mascha's report</t>
  </si>
  <si>
    <t>Mkululi' Northern Region Report</t>
  </si>
  <si>
    <t>Number of lights per room</t>
  </si>
  <si>
    <t>Total Lights</t>
  </si>
  <si>
    <t>RMNL</t>
  </si>
  <si>
    <t>RLNW</t>
  </si>
  <si>
    <t>RMNW</t>
  </si>
  <si>
    <t>RMNK</t>
  </si>
  <si>
    <t>RLNH</t>
  </si>
  <si>
    <t>RMNH</t>
  </si>
  <si>
    <t>RLNO</t>
  </si>
  <si>
    <t>RMNO</t>
  </si>
  <si>
    <t>Unspecified</t>
  </si>
  <si>
    <t>Candles (not a valid option)</t>
  </si>
  <si>
    <t>Percentage of column total</t>
  </si>
  <si>
    <t>(R0 - R19 600)</t>
  </si>
  <si>
    <t xml:space="preserve">(R19 601 - R76 400) </t>
  </si>
  <si>
    <t>(&gt;R76 400)</t>
  </si>
  <si>
    <t xml:space="preserve">http://www.syngen.co.za/index.php/guidelines/power-rating-appliances </t>
  </si>
  <si>
    <t>Margin on stock</t>
  </si>
  <si>
    <t>RLEN</t>
  </si>
  <si>
    <t>RMEN</t>
  </si>
  <si>
    <t>RHEN</t>
  </si>
  <si>
    <t>RMNN</t>
  </si>
  <si>
    <t>RLNN</t>
  </si>
  <si>
    <t>the price comes from http://woodstove.co.za/products-page/</t>
  </si>
  <si>
    <t>Wood tove</t>
  </si>
  <si>
    <t>http://www.holleysplumbing.co.za/index.php?option=com_content&amp;view=article&amp;id=112&amp;Itemid=100#pr</t>
  </si>
  <si>
    <t>Geyser prices</t>
  </si>
  <si>
    <t>http://www.daftlogic.com/information-appliance-power-consumption.htm</t>
  </si>
  <si>
    <t>power ratings of some appliances</t>
  </si>
  <si>
    <t>http://energy.gov/energysaver/articles/estimating-appliance-and-home-electronic-energy-use</t>
  </si>
  <si>
    <t>http://www.eskom.co.za/sites/idm/Documents/119150ESKD_Eng.pdf</t>
  </si>
  <si>
    <t>CFL ratings</t>
  </si>
  <si>
    <t>http://www.yougen.co.uk/blog-entry/1643/6+things+to+consider+before+buying+a+wood+burning+stove/</t>
  </si>
  <si>
    <t>Woodstove power rating</t>
  </si>
  <si>
    <t>http://www.kelvinator.com.au/Product?model=KGC26BNB&amp;categoryGuid=3B49A7C3-F17C-438C-89C0-8E1E488CD8C8</t>
  </si>
  <si>
    <t>Flow rate for Natural gas geysers</t>
  </si>
  <si>
    <t>14/02/2014</t>
  </si>
  <si>
    <t>Mamahloo</t>
  </si>
  <si>
    <t>Made major changes in the sheet, deleted the Neat Sheet, and all data that was in that sheet can be found in New sheet called Energy_Balance</t>
  </si>
  <si>
    <t>Outside bulb</t>
  </si>
  <si>
    <t>Outside hours in operation for</t>
  </si>
  <si>
    <t>Heating</t>
  </si>
  <si>
    <t>Residential - Lighting - Low Income Electrified - Electricity - INC - E</t>
  </si>
  <si>
    <t>Residential - Lighting - Low Income Electrified - Electricity - CFL - E</t>
  </si>
  <si>
    <t>Residential - Lighting - Low Income Electrified - Electricity - LED - N</t>
  </si>
  <si>
    <t>Residential - Lighting - Middle Income Electrified - Electricity - INC - E</t>
  </si>
  <si>
    <t>Residential - Lighting - Middle Income Electrified - Electricity - CFL - E</t>
  </si>
  <si>
    <t>Residential - Lighting - Middle Income Electrified - Electricity - LED - E</t>
  </si>
  <si>
    <t>Residential - Lighting - High Income Electrified - Electricity - INC - E</t>
  </si>
  <si>
    <t>Residential - Lighting - High Income Electrified - Electricity - CFL - E</t>
  </si>
  <si>
    <t>Residential - Lighting - High Income Electrified - Electricity - LED - E</t>
  </si>
  <si>
    <t>RLELELCINC-E</t>
  </si>
  <si>
    <t/>
  </si>
  <si>
    <t>RLEKELCHOT-E</t>
  </si>
  <si>
    <t>RLEKOLPRING-E</t>
  </si>
  <si>
    <t>RLEKBIWBNM-E</t>
  </si>
  <si>
    <t>RLEKCOABNM-E</t>
  </si>
  <si>
    <t>RLEKOKEWICK-E</t>
  </si>
  <si>
    <t>RLEHELCHEATBAR-E</t>
  </si>
  <si>
    <t>RLEHOKEHEAT-E</t>
  </si>
  <si>
    <t>RLEHBIWOPEN-E</t>
  </si>
  <si>
    <t>RLEHCOABNM-E</t>
  </si>
  <si>
    <t>RLEHOLPHET-E</t>
  </si>
  <si>
    <t>RLEWELCKET-E</t>
  </si>
  <si>
    <t>RLEWELCGEY-E</t>
  </si>
  <si>
    <t>RLEWELCSWH-E</t>
  </si>
  <si>
    <t>RLEWOKEKETWI-E</t>
  </si>
  <si>
    <t>RLEWBIWKETBI-E</t>
  </si>
  <si>
    <t>RLEWOLPKETLPG-E</t>
  </si>
  <si>
    <t>RLERELCREF-E</t>
  </si>
  <si>
    <t>RLEOELCOTH-E</t>
  </si>
  <si>
    <t>RLENOKEOTH-E</t>
  </si>
  <si>
    <t>RMELELCINC-E</t>
  </si>
  <si>
    <t>RMEKELCSTOV-E</t>
  </si>
  <si>
    <t>RMEKOLPSTOV-E</t>
  </si>
  <si>
    <t>RMEKBIWSTOV-E</t>
  </si>
  <si>
    <t>RMEKOKEWICK-E</t>
  </si>
  <si>
    <t>RMEKGASSTOV-E</t>
  </si>
  <si>
    <t>RMEHELCHEATFIN-E</t>
  </si>
  <si>
    <t>RMEHOKEHEAT-E</t>
  </si>
  <si>
    <t>RMEHBIWSTOV-E</t>
  </si>
  <si>
    <t>RMEHCOASTOV-E</t>
  </si>
  <si>
    <t>RMEHOLPHEAT-E</t>
  </si>
  <si>
    <t>RMEHGASHEAT-N</t>
  </si>
  <si>
    <t>RMEWELCGEY-E</t>
  </si>
  <si>
    <t>RMEWELCSWH-E</t>
  </si>
  <si>
    <t>RMEWOKEKETPR-E</t>
  </si>
  <si>
    <t>RMEWBIWKETBI-E</t>
  </si>
  <si>
    <t>RMEWOLPKETLPG-E</t>
  </si>
  <si>
    <t>RMEWGASGEY-N</t>
  </si>
  <si>
    <t>RMERELCREF-E</t>
  </si>
  <si>
    <t>RMEOELCOTH-E</t>
  </si>
  <si>
    <t>RMENOKEOTH-E</t>
  </si>
  <si>
    <t>RHELELCINC-E</t>
  </si>
  <si>
    <t>RHEKELCSTOV-E</t>
  </si>
  <si>
    <t>RHEKOLPSTOV-E</t>
  </si>
  <si>
    <t>RHEKBIWSTOV-E</t>
  </si>
  <si>
    <t>RHEKOKEPRIMUS-E</t>
  </si>
  <si>
    <t>RHEKGASSTOV-E</t>
  </si>
  <si>
    <t>RHEHELCHEATFIN-E</t>
  </si>
  <si>
    <t>RHEHOKEHEAT-E</t>
  </si>
  <si>
    <t>RHEHBIWSTOV-E</t>
  </si>
  <si>
    <t>RHEHCOASTOV-E</t>
  </si>
  <si>
    <t>RHEHOLPHEAT-E</t>
  </si>
  <si>
    <t>RHEHGASHEAT-N</t>
  </si>
  <si>
    <t>RHEWELCGEY-E</t>
  </si>
  <si>
    <t>RHEWELCSWH-E</t>
  </si>
  <si>
    <t>RHEWOKESTOV-E</t>
  </si>
  <si>
    <t>RHEWOLPSTOV-E</t>
  </si>
  <si>
    <t>RHEWELCCHP-N</t>
  </si>
  <si>
    <t>RHEWGASHEAT-N</t>
  </si>
  <si>
    <t>RHERELCREF-E</t>
  </si>
  <si>
    <t>RHEOELCOTH-E</t>
  </si>
  <si>
    <t>RLEWCOAKETCOA-E</t>
  </si>
  <si>
    <t>RMEKCOABNM-E</t>
  </si>
  <si>
    <t>RMEWCOASTOV-E</t>
  </si>
  <si>
    <t>Use this  to balance final energy</t>
  </si>
  <si>
    <t>20 Timeslices</t>
  </si>
  <si>
    <t>shortened timeslices</t>
  </si>
  <si>
    <t>U2020</t>
  </si>
  <si>
    <t>U2040</t>
  </si>
  <si>
    <t>L2020</t>
  </si>
  <si>
    <t>L2040</t>
  </si>
  <si>
    <t>Income</t>
  </si>
  <si>
    <t>End use</t>
  </si>
  <si>
    <t>GJ/HH</t>
  </si>
  <si>
    <t>May 13 2015</t>
  </si>
  <si>
    <t>Fixed some penetration limits</t>
  </si>
  <si>
    <t>TimeSlice Version</t>
  </si>
  <si>
    <t>Short timeslices ?</t>
  </si>
  <si>
    <t>Short 8</t>
  </si>
  <si>
    <t>Long 20</t>
  </si>
  <si>
    <t>15/08/2016</t>
  </si>
  <si>
    <t>Tara</t>
  </si>
  <si>
    <t>RES_TCH_Database</t>
  </si>
  <si>
    <t>Updated to new CPI from 'deflator' workbook - fixed error on costs</t>
  </si>
  <si>
    <t>Updating SATIM model costs to link to centralised workbook 'deflator'</t>
  </si>
  <si>
    <t>Averaged into RES</t>
  </si>
  <si>
    <t>Y</t>
  </si>
  <si>
    <t>\I:Residential - Water Heating - high Income Electrified</t>
  </si>
  <si>
    <t>\I:Residential - Refrigeration - high Income Electrified</t>
  </si>
  <si>
    <t>Avg</t>
  </si>
  <si>
    <t>Useful energy</t>
  </si>
  <si>
    <t>finall energy</t>
  </si>
  <si>
    <t>Installed capacity</t>
  </si>
  <si>
    <t>Efficiency base year</t>
  </si>
  <si>
    <t>efficiency</t>
  </si>
  <si>
    <t>TOTAL</t>
  </si>
  <si>
    <t>cost</t>
  </si>
  <si>
    <t>Total cooking</t>
  </si>
  <si>
    <t>Total heating</t>
  </si>
  <si>
    <t>sub total heating (excludes none)</t>
  </si>
  <si>
    <t>Unelectrified</t>
  </si>
  <si>
    <t>Balancing</t>
  </si>
  <si>
    <t>NOTE:  totals exclude "none" category IMPORTANCE: this may mean that cooking intensities are slighly too high, because there are households "missing"</t>
  </si>
  <si>
    <t>Middle income electrified</t>
  </si>
  <si>
    <t>Middle income</t>
  </si>
  <si>
    <t>Check if RDP get SWH's</t>
  </si>
  <si>
    <t>need their own technology</t>
  </si>
  <si>
    <t>Need percentage changes</t>
  </si>
  <si>
    <t>Fridges</t>
  </si>
  <si>
    <t>Need efficiency changes</t>
  </si>
  <si>
    <t>Scenario 1</t>
  </si>
  <si>
    <t>Scenario 2</t>
  </si>
  <si>
    <t>Scenario 3</t>
  </si>
  <si>
    <t>SWH's install 1.25million by 2019</t>
  </si>
  <si>
    <t>Technology shares scenario (sets upper and lower tech share bounds)</t>
  </si>
  <si>
    <t>Energy efficiency scenario</t>
  </si>
  <si>
    <t>lighting</t>
  </si>
  <si>
    <t xml:space="preserve">\I:Residential - Cooking - High Income Electrified </t>
  </si>
  <si>
    <t>\I:Residential - Cooking - Middle  Electrified</t>
  </si>
  <si>
    <t>\I:Residential - Lighting - Middle  Electrified</t>
  </si>
  <si>
    <t>\I:Residential - Space Heating - Middle  Electrified</t>
  </si>
  <si>
    <t>\I:Residential - Water Heating - Middle  Electrified</t>
  </si>
  <si>
    <t>\I:Residential - Refrigeration - Middle  Electrified</t>
  </si>
  <si>
    <t>\I:Residential - Other - Middle  Electrified</t>
  </si>
  <si>
    <t>Refrigeration ownership</t>
  </si>
  <si>
    <t xml:space="preserve">Total (PJ) </t>
  </si>
  <si>
    <t>Cooking Intensity</t>
  </si>
  <si>
    <t>Heating intensity</t>
  </si>
  <si>
    <t>Water heating intensity</t>
  </si>
  <si>
    <t>Other intensity</t>
  </si>
  <si>
    <t>Lighting intensity</t>
  </si>
  <si>
    <t>Low income electrified</t>
  </si>
  <si>
    <t>RMEWELCKET-E</t>
  </si>
  <si>
    <t>middle income</t>
  </si>
  <si>
    <t>M</t>
  </si>
  <si>
    <t>Goalseek the balancing numbers with Res row 10</t>
  </si>
  <si>
    <t>So</t>
  </si>
  <si>
    <t>Household Services</t>
  </si>
  <si>
    <t>Type of dwelling by Piped water and Annual household income</t>
  </si>
  <si>
    <t>Counting: Household weighted</t>
  </si>
  <si>
    <t>Filters:</t>
  </si>
  <si>
    <t>Default Summation</t>
  </si>
  <si>
    <t>Household weighted</t>
  </si>
  <si>
    <t>Piped water</t>
  </si>
  <si>
    <t>Piped (tap) water inside dwelling/institution</t>
  </si>
  <si>
    <t>Piped (tap) water inside yard</t>
  </si>
  <si>
    <t>Piped (tap) water on community stand: distance less than 200m from dwelling/institution</t>
  </si>
  <si>
    <t>Piped (tap) water on community stand: distance between 200m and 500m from dwelling/institution</t>
  </si>
  <si>
    <t>Piped (tap) water on community stand: distance between 500m and 1000m (1km) from dwelling /institution</t>
  </si>
  <si>
    <t>Piped (tap) water on community stand: distance greater than 1000m (1km) from dwelling/institution</t>
  </si>
  <si>
    <t>No access to piped (tap) water</t>
  </si>
  <si>
    <t>Not applicable</t>
  </si>
  <si>
    <t>Annual household income</t>
  </si>
  <si>
    <t>R 1 - R 4800</t>
  </si>
  <si>
    <t>R 4801 - R 9600</t>
  </si>
  <si>
    <t>R 9601 - R 19 600</t>
  </si>
  <si>
    <t>R 19 601 - R 38 200</t>
  </si>
  <si>
    <t>R 38 201 - R 76 400</t>
  </si>
  <si>
    <t>R 76 401 - R 153 800</t>
  </si>
  <si>
    <t>R 153 801 - R 307 600</t>
  </si>
  <si>
    <t>R 307 601 - R 614 400</t>
  </si>
  <si>
    <t>R 614 001 - R 1 228 800</t>
  </si>
  <si>
    <t>R 1 228 801 - R 2 457 600</t>
  </si>
  <si>
    <t>R 2 457 601 or more</t>
  </si>
  <si>
    <t>Type of dwelling</t>
  </si>
  <si>
    <t>House or brick/concrete block structure on a separate stand or yard or on a farm</t>
  </si>
  <si>
    <t>Traditional dwelling/hut/structure made of traditional materials</t>
  </si>
  <si>
    <t>Flat or apartment in a block of flats</t>
  </si>
  <si>
    <t>Cluster house in complex</t>
  </si>
  <si>
    <t>Townhouse (semi-detached house in a complex)</t>
  </si>
  <si>
    <t>Semi-detached house</t>
  </si>
  <si>
    <t>House/flat/room in backyard</t>
  </si>
  <si>
    <t>Informal dwelling (shack; in backyard)</t>
  </si>
  <si>
    <t>Informal dwelling (shack; not in backyard; e.g. in an informal/squatter settlement or on a farm)</t>
  </si>
  <si>
    <t>Room/flatlet on a property or larger dwelling/servants quarters/granny flat</t>
  </si>
  <si>
    <t>Caravan/tent</t>
  </si>
  <si>
    <t>2011 download from STATSSA superweb</t>
  </si>
  <si>
    <t>l</t>
  </si>
  <si>
    <t>m</t>
  </si>
  <si>
    <t>h</t>
  </si>
  <si>
    <t>T</t>
  </si>
  <si>
    <t>p</t>
  </si>
  <si>
    <t>s</t>
  </si>
  <si>
    <t>n</t>
  </si>
  <si>
    <t>S</t>
  </si>
  <si>
    <t>Tot</t>
  </si>
  <si>
    <t>pl</t>
  </si>
  <si>
    <t>pm</t>
  </si>
  <si>
    <t>ph</t>
  </si>
  <si>
    <t>pT</t>
  </si>
  <si>
    <t>sl</t>
  </si>
  <si>
    <t>sm</t>
  </si>
  <si>
    <t>sh</t>
  </si>
  <si>
    <t>sT</t>
  </si>
  <si>
    <t>nl</t>
  </si>
  <si>
    <t>nm</t>
  </si>
  <si>
    <t>nh</t>
  </si>
  <si>
    <t>nT</t>
  </si>
  <si>
    <t>Trad</t>
  </si>
  <si>
    <t>shack</t>
  </si>
  <si>
    <t>Assumed average water consumption for each group</t>
  </si>
  <si>
    <t>Assumed average water consumption for model</t>
  </si>
  <si>
    <t>based on meyer</t>
  </si>
  <si>
    <t>Geyser</t>
  </si>
  <si>
    <t>Percent with access to water on tap</t>
  </si>
  <si>
    <t>low density</t>
  </si>
  <si>
    <t>High density</t>
  </si>
  <si>
    <t>Medium density</t>
  </si>
  <si>
    <t>Average households size</t>
  </si>
  <si>
    <t>Hhld number</t>
  </si>
  <si>
    <t>Type of dwelling by Household size</t>
  </si>
  <si>
    <t>Household size</t>
  </si>
  <si>
    <t>1</t>
  </si>
  <si>
    <t>2</t>
  </si>
  <si>
    <t>3</t>
  </si>
  <si>
    <t>4</t>
  </si>
  <si>
    <t>5</t>
  </si>
  <si>
    <t>6</t>
  </si>
  <si>
    <t>7</t>
  </si>
  <si>
    <t>8</t>
  </si>
  <si>
    <t>9</t>
  </si>
  <si>
    <t>Table of average occupancy</t>
  </si>
  <si>
    <t>Population in each category</t>
  </si>
  <si>
    <t>average household size</t>
  </si>
  <si>
    <t>average occupancy</t>
  </si>
  <si>
    <t>number of people</t>
  </si>
  <si>
    <t>number of houses</t>
  </si>
  <si>
    <t>Worksheet Name</t>
  </si>
  <si>
    <t>Size</t>
  </si>
  <si>
    <t>Index</t>
  </si>
  <si>
    <t>Log of Changes</t>
  </si>
  <si>
    <t>conversion factors</t>
  </si>
  <si>
    <t>Other sources</t>
  </si>
  <si>
    <t>Fuel Supply</t>
  </si>
  <si>
    <t>NERSA Sales Sum</t>
  </si>
  <si>
    <t>bottom-up-enduse</t>
  </si>
  <si>
    <t>AMPS Geysers</t>
  </si>
  <si>
    <t>access to services</t>
  </si>
  <si>
    <t>Census 2011</t>
  </si>
  <si>
    <t>Energy_Balance</t>
  </si>
  <si>
    <t>Model energy input</t>
  </si>
  <si>
    <t>Graphs</t>
  </si>
  <si>
    <t>ITEMS_Tech</t>
  </si>
  <si>
    <t>TS DTech</t>
  </si>
  <si>
    <t>TID DTech</t>
  </si>
  <si>
    <t>ITEMS_Comm</t>
  </si>
  <si>
    <t>TS BYDem</t>
  </si>
  <si>
    <t>TS COMFR</t>
  </si>
  <si>
    <t>TS COMFR_10</t>
  </si>
  <si>
    <t>NameConv</t>
  </si>
  <si>
    <t>TS FTech</t>
  </si>
  <si>
    <t>TID FTech</t>
  </si>
  <si>
    <t>TS Emiss</t>
  </si>
  <si>
    <t>TID Emiss</t>
  </si>
  <si>
    <t>Sheet1</t>
  </si>
  <si>
    <t>Scenarios</t>
  </si>
  <si>
    <t>RLEWG</t>
  </si>
  <si>
    <t>RMEWG</t>
  </si>
  <si>
    <t>NA</t>
  </si>
  <si>
    <t>WG</t>
  </si>
  <si>
    <t>RHEWG</t>
  </si>
  <si>
    <t>Potential for SWH</t>
  </si>
  <si>
    <t>SUM</t>
  </si>
  <si>
    <t>Estimates for penetration levels of SWH</t>
  </si>
  <si>
    <t>Estimates for PV only for households with income greater than 76 400</t>
  </si>
  <si>
    <t>&gt;76400</t>
  </si>
  <si>
    <t>FROM 2017 community survey</t>
  </si>
  <si>
    <t xml:space="preserve">Estimates for SWH in households </t>
  </si>
  <si>
    <t>1) assume only those with water access in yard and house are eligible</t>
  </si>
  <si>
    <t>3) what threshold for uptake should I assume? All new households and ?? Of existing</t>
  </si>
  <si>
    <t>2) assume high income households will invest in high pressure</t>
  </si>
  <si>
    <t xml:space="preserve">4) assume middle income households in </t>
  </si>
  <si>
    <t>Grouping for SWH</t>
  </si>
  <si>
    <t>H, flat only</t>
  </si>
  <si>
    <t>low density houses</t>
  </si>
  <si>
    <t>Medium density houses</t>
  </si>
  <si>
    <t>High density flat only</t>
  </si>
  <si>
    <t>Assume % of households with roofs that can accommodate it</t>
  </si>
  <si>
    <t># of eligible rooftops</t>
  </si>
  <si>
    <t>% of total</t>
  </si>
  <si>
    <t>Efficiency 2020</t>
  </si>
  <si>
    <t>Efficiency 2030</t>
  </si>
  <si>
    <t>Efficiency 2040</t>
  </si>
  <si>
    <t>Efficiency 2050</t>
  </si>
  <si>
    <t>PV</t>
  </si>
  <si>
    <t>Installation rate</t>
  </si>
  <si>
    <t>high</t>
  </si>
  <si>
    <t>medium</t>
  </si>
  <si>
    <t>logit model for penetration</t>
  </si>
  <si>
    <t>According to Donev 2013, the South Africa SWH industry currently installs around 200 thsqm per year</t>
  </si>
  <si>
    <t>Market saturation</t>
  </si>
  <si>
    <t>C$55*D$55*EXP(E$55*F56)/(C$55+D$55*(EXP(E$55*F56)-1))</t>
  </si>
  <si>
    <t>S(t)=Sa*So*e^rt/(Sa+So(e^rt-1)</t>
  </si>
  <si>
    <t xml:space="preserve">Sa </t>
  </si>
  <si>
    <t>Market penetration achieved</t>
  </si>
  <si>
    <t>these numbers must be adjusted for population growth, ie need to connect to demand_PRJ</t>
  </si>
  <si>
    <t># of households in group in 2050</t>
  </si>
  <si>
    <t>Assuming 10% of houses will never be suitable (trees etc)</t>
  </si>
  <si>
    <t>population growth (update to take from DEMAND_PRJ rather than cut and paste</t>
  </si>
  <si>
    <t>Population share</t>
  </si>
  <si>
    <t>hhd-le</t>
  </si>
  <si>
    <t>hhd-me</t>
  </si>
  <si>
    <t>hhd-he</t>
  </si>
  <si>
    <t>NOTE: assumes percentage of households in the group that can take SWH remains the same</t>
  </si>
  <si>
    <t>Indexed to 2012</t>
  </si>
  <si>
    <t>% UE Upper bounds for model</t>
  </si>
  <si>
    <t>high pressure</t>
  </si>
  <si>
    <t>low pressure</t>
  </si>
  <si>
    <t>growth</t>
  </si>
  <si>
    <t xml:space="preserve">Number of households per year at high </t>
  </si>
  <si>
    <t>Low income total households</t>
  </si>
  <si>
    <t>High income total households</t>
  </si>
  <si>
    <t>SWH Middle Income</t>
  </si>
  <si>
    <t>SWH and HP High Income</t>
  </si>
  <si>
    <t>% high pressure</t>
  </si>
  <si>
    <t>Middle income total</t>
  </si>
  <si>
    <t>Middle income high pressure</t>
  </si>
  <si>
    <t>Middle income low pressure</t>
  </si>
  <si>
    <t xml:space="preserve"> should this be only middle income electrified</t>
  </si>
  <si>
    <t>CPI 2011</t>
  </si>
  <si>
    <t>CPI 2016</t>
  </si>
  <si>
    <t>Easy</t>
  </si>
  <si>
    <t>Hard</t>
  </si>
  <si>
    <t>Scenario 3 requires 1.25 million SWH by 2019</t>
  </si>
  <si>
    <t>Only allowing LP for now</t>
  </si>
  <si>
    <t>Households (total)</t>
  </si>
  <si>
    <t>SWH Low Income</t>
  </si>
  <si>
    <t>Low income low pressure</t>
  </si>
  <si>
    <t>PAM HI</t>
  </si>
  <si>
    <t>PAM LI</t>
  </si>
  <si>
    <t>AMPS 2016: (AMPS 2015B Individual (Jan'15 - Dec'15) - Reweighted)
 using 
 as base value</t>
  </si>
  <si>
    <t>TOTALS</t>
  </si>
  <si>
    <t>Individuals</t>
  </si>
  <si>
    <t>Household Goods / Appliances and Electronics / Large Appliances in household</t>
  </si>
  <si>
    <t>Free standing deep freezer</t>
  </si>
  <si>
    <t>Refrigerator or combined fridge/freezer</t>
  </si>
  <si>
    <t>Applied Filters:</t>
  </si>
  <si>
    <t>Demographics / Household</t>
  </si>
  <si>
    <t>Household Income Groups</t>
  </si>
  <si>
    <t>UP to R 799</t>
  </si>
  <si>
    <t>R 800 to R 1 399</t>
  </si>
  <si>
    <t>R 1 400 to  R 2 499</t>
  </si>
  <si>
    <t>R 2 500 to  R 4 999</t>
  </si>
  <si>
    <t>R 5 000 to  R 7 999</t>
  </si>
  <si>
    <t>R 8 000 to  R 10 999</t>
  </si>
  <si>
    <t>R 11 000 to  R 19 999</t>
  </si>
  <si>
    <t>R 20 000+</t>
  </si>
  <si>
    <t>Same as above but for 2011</t>
  </si>
  <si>
    <t>AMPS 2011B Household (Jan - Dec '11)
 using 
 as base value</t>
  </si>
  <si>
    <t>Households</t>
  </si>
  <si>
    <t>CONVERT 2015 rands to 2106 Rands</t>
  </si>
  <si>
    <t>Number of households with a fridge STATSSA 2011 Census</t>
  </si>
  <si>
    <t>Statssa Community survery (person not household) 2016</t>
  </si>
  <si>
    <t>number of households with a fridge</t>
  </si>
  <si>
    <t>Living Conditions Survey 2014/2015</t>
  </si>
  <si>
    <t>Ownership or access to refrigerator and Ownership or access to deep freezer-free standing</t>
  </si>
  <si>
    <t>Counting: Person weight</t>
  </si>
  <si>
    <t>Person weight</t>
  </si>
  <si>
    <t>Summation Options</t>
  </si>
  <si>
    <t>Ownership or access to refrigerator</t>
  </si>
  <si>
    <t>Ownership or access to deep freezer-free standing</t>
  </si>
  <si>
    <t>Owner</t>
  </si>
  <si>
    <t>Does not own; but have access</t>
  </si>
  <si>
    <t>Neither owns nor have access</t>
  </si>
  <si>
    <t xml:space="preserve">Combination of fridge and freezer ownership </t>
  </si>
  <si>
    <t>Number of households that own fridge or freezer Census 2100 and Community Survey 2016</t>
  </si>
  <si>
    <t>AMPS fridge and freezer ownership by income level</t>
  </si>
  <si>
    <t>Uses medium SWH and CHP penetration</t>
  </si>
  <si>
    <t>reference case</t>
  </si>
  <si>
    <t>S-RHWEG-ALL</t>
  </si>
  <si>
    <t>RHIEW-UP</t>
  </si>
  <si>
    <t>RHIEW-LO</t>
  </si>
  <si>
    <t>Bound or constraint</t>
  </si>
  <si>
    <t>Bounds calculations</t>
  </si>
  <si>
    <t>% of households = % of UE</t>
  </si>
  <si>
    <t>PAM percentages</t>
  </si>
  <si>
    <t>high income yearly increase</t>
  </si>
  <si>
    <t>middle income yearly increase</t>
  </si>
  <si>
    <t>leave this out, because is not in the 2025 target</t>
  </si>
  <si>
    <t>PAM MI high pressure</t>
  </si>
  <si>
    <t>PAM MI low pressure</t>
  </si>
  <si>
    <t>Middile income</t>
  </si>
  <si>
    <t>PAM MI total</t>
  </si>
  <si>
    <t>REFERENCE CASE</t>
  </si>
  <si>
    <t>Percentage electrified (same comment about pasting as above</t>
  </si>
  <si>
    <t>% electrified</t>
  </si>
  <si>
    <t>Middlel income</t>
  </si>
  <si>
    <t xml:space="preserve">Electrified hhlds </t>
  </si>
  <si>
    <t>Population Total</t>
  </si>
  <si>
    <t>Only put on elec households but in theory could be on both</t>
  </si>
  <si>
    <t>NOTE: % of elec households only, might need to be changed later</t>
  </si>
  <si>
    <t>BASE</t>
  </si>
  <si>
    <t>Going in to model</t>
  </si>
  <si>
    <t>Reference CASE</t>
  </si>
  <si>
    <t>SWH PAM</t>
  </si>
  <si>
    <t>Low pressure</t>
  </si>
  <si>
    <t>SOLAR WATER HEATERS</t>
  </si>
  <si>
    <t>Reference case</t>
  </si>
  <si>
    <t>IMPORTED INTO MODEL</t>
  </si>
  <si>
    <t>Not used</t>
  </si>
  <si>
    <t>BOUNDS USED</t>
  </si>
  <si>
    <t>Bounds on middle income</t>
  </si>
  <si>
    <t>high income high pressure</t>
  </si>
  <si>
    <t>NNB CHP + LOW PRESSURE&lt; NAME NEEDS TO BE CHANGED</t>
  </si>
  <si>
    <t>Number of middle income households with geyser</t>
  </si>
  <si>
    <t xml:space="preserve">Mid income total households </t>
  </si>
  <si>
    <t>Increases geyser ownership if we feel it is too low</t>
  </si>
  <si>
    <t>% of middle income electrified households with geysers</t>
  </si>
  <si>
    <t>High pressusre</t>
  </si>
  <si>
    <t>Assume low income households have older and poorly maintained fridges</t>
  </si>
  <si>
    <t xml:space="preserve">Uptake of efficiency according to fridge life </t>
  </si>
  <si>
    <t xml:space="preserve">Assuming fridge life of </t>
  </si>
  <si>
    <t>100 years</t>
  </si>
  <si>
    <t>fridge replacement efficiency model</t>
  </si>
  <si>
    <t>Existing equipment replacement rates</t>
  </si>
  <si>
    <t>fridge and freezer efficiency in each income group</t>
  </si>
  <si>
    <t>Baseline assumptions (NEES) - these are what the targets are based on (Annex D)</t>
  </si>
  <si>
    <t>Population projected to grow to 55.3 million by 2030.</t>
  </si>
  <si>
    <t>Average household size projected to be 2.79 in 2030</t>
  </si>
  <si>
    <t>Therefore 19.8 millions households by 2030.</t>
  </si>
  <si>
    <t>Extrapolated LSM bands (energy intensity remains the same):</t>
  </si>
  <si>
    <t>5% of househods in LSM 1-3 (down from 12% today)</t>
  </si>
  <si>
    <t>18% of households in LSMs 4 &amp; 5 (down from 28% today)</t>
  </si>
  <si>
    <t>42% of households in LSMs 6 &amp; 7 (up from 36% today)</t>
  </si>
  <si>
    <t>35% of households in LSMs 8-10 (up from 24% today)</t>
  </si>
  <si>
    <t>Based on these assumptions, final energy consumption with no improvements in efficiency:</t>
  </si>
  <si>
    <t>Final energy (PJ)</t>
  </si>
  <si>
    <t>Energy efficiency scenarios</t>
  </si>
  <si>
    <t>33% reduction in average specific energy consumption of new households appliances purchased in SA by 2030 relative to 2015.</t>
  </si>
  <si>
    <t>appliances = fridges, electric geysers and other</t>
  </si>
  <si>
    <t>Notes:</t>
  </si>
  <si>
    <t xml:space="preserve">Specific energy consumption is an energy indicator commonly used to evaluate the energy eficiency of industrial facilities or economic sectors. For residential buildings this is measured in kWh/(m2a). </t>
  </si>
  <si>
    <t>Seen as a reduction in final energy consumption from 2015 (Post-2015 NEES)</t>
  </si>
  <si>
    <t>Three components of this package: successive tightening of appliance MEPS (two instances); introduction of an energy endorsement label;scrappage scheme for appliances.</t>
  </si>
  <si>
    <t>Table 1: Post-2015 NEES Annex D, pg 6</t>
  </si>
  <si>
    <t>Overall saving calculated at:</t>
  </si>
  <si>
    <t>*On avarage there's x amount of efficiency gain.</t>
  </si>
  <si>
    <t xml:space="preserve">20% improvement in average energy performance of residential building stock by 2030 relative to a 2015 baseline, </t>
  </si>
  <si>
    <t>as measured by the energy consumption (excluding plug loads) per square meter of habitable space.</t>
  </si>
  <si>
    <t>building energy = space heating and lighting</t>
  </si>
  <si>
    <t>Three components of the package of policy measures: successive tightening of building standards; energy performance certificates of residential buildings; financial incentives to undertake thermal improvements of existing dwellings.</t>
  </si>
  <si>
    <t>Simplified assumption of building standards resulting in 6 PJ per new home. Asuume that half of this (3 PJ) is realised by 2030 for the estimated 6,25 million homes. Therefore 19 PJ or 4,6% savings.</t>
  </si>
  <si>
    <t xml:space="preserve">With regard to retrofits in existing buildings, estimates in the literature suggest heating and cooling could be reduced by 30%. Assuming these savings are realised by 50% of homes by 2030, </t>
  </si>
  <si>
    <t>and assuming that heating and cooling acount for 20% of total energy consumption of the household, savings could be 3% of total sectoral consumption by 2030.</t>
  </si>
  <si>
    <t>Assume a further 10% saving from behavioural responses (awareness-raising and provision of information, engaging munics in developing and disseminating materials, energy savings obligation on distributors).</t>
  </si>
  <si>
    <t xml:space="preserve">Lighting: Eskom have rolled out 64 million CFLs (± 4 per dwelling). LEDs will take over by 2030, but uncertain as to how much they will in absence of a policy measure. LED savings of up to 50% per lamp. </t>
  </si>
  <si>
    <t>CFLs already rolled out are estimated to save 14 PJ per annum. Estimated that an additional 12 PJs will be saved annually in 2030 with the completion of the shift to CFLs. Further savings resulting from a 60% penetration of LEDs would amount to 4 PJ by 2030. Total saving of 16 PJ, 4% of projected 2030 baseline.</t>
  </si>
  <si>
    <t>Energy performance in residential buildings is based on two factors:</t>
  </si>
  <si>
    <t>1. 38% improvement in average energy performance of new dwellings built between now and 2030. Based on an average year-on-year tightening of 8%, but implemented in three step-changes (in 2018, 2023, 2028).</t>
  </si>
  <si>
    <t>2. a 12% improvement in the thermal performance of dwellings built before 2015, achieved through thermal retrofits. Based on the assumption that average sevings of 30%/dwelling are possible and that 40% of dwellings are retrofitted.</t>
  </si>
  <si>
    <t xml:space="preserve">New dwellings built after 2015 are expected to account for 32% of all homes by 2030 - expected rate of increase in number of hshlds and rate of turnover of 1% of existing buildings = 6,25 million new builds. </t>
  </si>
  <si>
    <t>A weighted mean of the two percentage improvements therefore leads to an average improvement of 20% across the building stock.</t>
  </si>
  <si>
    <t xml:space="preserve">Combination of scenario 1 and 2: </t>
  </si>
  <si>
    <t>Overall impact of the measures proposed for the residential sector (assumed to exclude SWHs), plus the effects of measures already in place and of autonomous change, will amount to a 33% sector-wide reduction in final energy consumption from EE improvements by 2030 relative to a 2015 baseline.</t>
  </si>
  <si>
    <t>1. Improved appliance efficiency (3,8% from standards and labels already in place)</t>
  </si>
  <si>
    <t>2. Improved efficiency of new buildings</t>
  </si>
  <si>
    <t>3. Energy efficiency retrofits to existing buildings</t>
  </si>
  <si>
    <t>4. Behavioural change</t>
  </si>
  <si>
    <t>5. Improved lighting technology (all of which is assumed to be autonomous)</t>
  </si>
  <si>
    <t>Overall saving equates to:</t>
  </si>
  <si>
    <t>Must change the electic geysers for high income households.</t>
  </si>
  <si>
    <t xml:space="preserve">** Note in the final report that we don’t have cooling seperated out and there is no literature. If we can get literature then we can add it in. </t>
  </si>
  <si>
    <t>** Note in the final report that we assume, as did the NEES, that LEDs come in autonomously, therefore the energy saving is already in the reference case</t>
  </si>
  <si>
    <t>**20% decrease in the useful energy requirement of households between 2015 and 2030. Modelled in DMD_PRJ</t>
  </si>
  <si>
    <t>What does this equate?</t>
  </si>
  <si>
    <t xml:space="preserve">Figures released by the DoE show that as of May 2012 a cumulative total of 281,000 SWHs had been installed </t>
  </si>
  <si>
    <t>less than 30% of the 2014 target. Of these, the NSWHP had resulted in 27,950 high</t>
  </si>
  <si>
    <t>pressure units being installed (a pal</t>
  </si>
  <si>
    <t>try 4% of the combined middle and high income segment targets)</t>
  </si>
  <si>
    <t>and 138,095 low pressure units (just over 40% of the low income segment target.</t>
  </si>
  <si>
    <t>this is an extract from the SWH sheet in older TCH_RES</t>
  </si>
  <si>
    <t>?</t>
  </si>
  <si>
    <t>come households. For middle and high income households it is assumed that 85% of lights are on for 4 hours and 15% is on for 2 hrs. It is also assumed that there is one 100W inca lamp operating for 6 hours in middle income households and 2 of such for high income households. Assume 95% of the lights are on 4 hours a day and 5% of lights is on for the remaining 2 hours in low in</t>
  </si>
  <si>
    <t>percentage</t>
  </si>
  <si>
    <t>Rating</t>
  </si>
  <si>
    <t>(D11*365*G11*(M11*H11+K11*I11)+L11*Lighting!$M$27*365)/1000000*3.6</t>
  </si>
  <si>
    <t>(G33*365*G36*(E29*G28+E28*G29)+F28*Lighting!$M$27*365)/1000000*3.6</t>
  </si>
  <si>
    <t xml:space="preserve">goes to energy balance, gets reworked to match 2017  actual numbers </t>
  </si>
  <si>
    <t>Intensity back from energy balance</t>
  </si>
  <si>
    <t>2017 number of households in census</t>
  </si>
  <si>
    <t>Total number of households</t>
  </si>
  <si>
    <t>hhhlds main fuel cooking</t>
  </si>
  <si>
    <t>hhlds main fuel lighting</t>
  </si>
  <si>
    <t>hhlds main fuel space heating</t>
  </si>
  <si>
    <t>hhlds main fuel water heating</t>
  </si>
  <si>
    <t>% electrified low income</t>
  </si>
  <si>
    <t>% electrified middle income</t>
  </si>
  <si>
    <t>Categories</t>
  </si>
  <si>
    <t>NW</t>
  </si>
  <si>
    <t>Electricity from mains</t>
  </si>
  <si>
    <t>Other source of electricity (e.g. generator; etc.)</t>
  </si>
  <si>
    <t>Community survey 2016 extracted using Nesstar from STATSSA.gov.za</t>
  </si>
  <si>
    <t>2017 reworked because Alison does not trust the StatsSA numbers- elec is TOO high for example</t>
  </si>
  <si>
    <t xml:space="preserve">need to minus 17% from total to match as 17% don't use space heating, </t>
  </si>
  <si>
    <t>need to minus 2% from water heating totals</t>
  </si>
  <si>
    <t>Totals</t>
  </si>
  <si>
    <t>SATIM2017</t>
  </si>
  <si>
    <t xml:space="preserve">total number of households </t>
  </si>
  <si>
    <t>% hhlds using service</t>
  </si>
  <si>
    <t>these shares could be made better with time, eg census incicates 85% li, 87% mi and 93% hi for space heating</t>
  </si>
  <si>
    <t>% elec</t>
  </si>
  <si>
    <t>total number of households</t>
  </si>
  <si>
    <t>number of households using fuel</t>
  </si>
  <si>
    <t>share of households using fuel</t>
  </si>
  <si>
    <t xml:space="preserve">Fridge ownership </t>
  </si>
  <si>
    <t>SWH/CHP ownership</t>
  </si>
  <si>
    <t>REFRIGERATION Assumptions</t>
  </si>
  <si>
    <t>Energy Balance totals for calibration</t>
  </si>
  <si>
    <t>RLELOKEWICK-E</t>
  </si>
  <si>
    <t>Residential - Lighting - Low Income Electrified - Oil Paraffin - WICK - E</t>
  </si>
  <si>
    <t>Base Year Technology Share 2017</t>
  </si>
  <si>
    <t>Final Energy 2017</t>
  </si>
  <si>
    <t>U2012</t>
  </si>
  <si>
    <t>U2017</t>
  </si>
  <si>
    <t>UE 2012</t>
  </si>
  <si>
    <t>Energy BALANCE 2012</t>
  </si>
  <si>
    <t>Energy BALANCE 2017</t>
  </si>
  <si>
    <t>adjF</t>
  </si>
  <si>
    <t>Total PJ Adjusted</t>
  </si>
  <si>
    <t>Total after adj</t>
  </si>
  <si>
    <t>CHECK</t>
  </si>
  <si>
    <t>Share of househlds with Geyser</t>
  </si>
  <si>
    <t>Mid</t>
  </si>
  <si>
    <t>share of households with Geysers so it matches the AMPS estimates</t>
  </si>
  <si>
    <t>everything is calibrated to these shares</t>
  </si>
  <si>
    <t>Not in Dmd_prj</t>
  </si>
  <si>
    <t>% increase</t>
  </si>
  <si>
    <t>assumptions from DMD_PRJ slightly different to community survey elec use? Slighlty lower</t>
  </si>
  <si>
    <t>RMELOKEOKE</t>
  </si>
  <si>
    <t>NOTE: everything is calibrated to these shares,
the shares in 2012 DO NOT MATCH the CENSUS!!</t>
  </si>
  <si>
    <t>2011 Model shares</t>
  </si>
  <si>
    <t>2011 Census shares</t>
  </si>
  <si>
    <t>All H</t>
  </si>
  <si>
    <t>All L</t>
  </si>
  <si>
    <t xml:space="preserve">33% appliances, 20% lighting, SWH? </t>
  </si>
  <si>
    <t>20% appliances, 13% lighting, SWH?</t>
  </si>
  <si>
    <t>Efficiency 2015</t>
  </si>
  <si>
    <t>**</t>
  </si>
  <si>
    <t>and 3</t>
  </si>
  <si>
    <t xml:space="preserve">U </t>
  </si>
  <si>
    <t>SWH Hi</t>
  </si>
  <si>
    <t>SWH  low</t>
  </si>
  <si>
    <t>Useful Energy 2017</t>
  </si>
  <si>
    <t>% to each end use</t>
  </si>
  <si>
    <t>SATIM Before update</t>
  </si>
  <si>
    <t>Electricity intensity SANEDI EE</t>
  </si>
  <si>
    <t>CHECK MIDDLE INCOME WATER HEATING WITH KETTLE IS SUMMED IN</t>
  </si>
  <si>
    <t>Taken from SANEDI EE study</t>
  </si>
  <si>
    <t>Assumed technology share reference case</t>
  </si>
  <si>
    <t>Assumed technology share improved efficiency</t>
  </si>
  <si>
    <t>Dump from SANEDI (not 100% match for SATIM household shares, so out slightly)</t>
  </si>
  <si>
    <t>Lighting not inlcuded as that determined by lighting types which are individually represented</t>
  </si>
  <si>
    <t>Low income households</t>
  </si>
  <si>
    <t xml:space="preserve">   Cooking</t>
  </si>
  <si>
    <t xml:space="preserve">   Other appliances</t>
  </si>
  <si>
    <t xml:space="preserve">   Refrigeration</t>
  </si>
  <si>
    <t xml:space="preserve">   Space heating</t>
  </si>
  <si>
    <t>Middle income households</t>
  </si>
  <si>
    <t xml:space="preserve">    Hot water Geyser</t>
  </si>
  <si>
    <t>High income households</t>
  </si>
  <si>
    <t>Comes from "results 0410 kWh) reference Hughes, Larmour, 2021</t>
  </si>
  <si>
    <t>THIS IS A BIT OF A FUDGE, BUT THE RESULTS SHOULD BE THE SAME</t>
  </si>
  <si>
    <t>Water HEATING</t>
  </si>
  <si>
    <t>Total number of household 2017 (including elec and non elec)</t>
  </si>
  <si>
    <t>Total number of households 2011 (Including elec and non elec)</t>
  </si>
  <si>
    <t>2017 ( shares in model)</t>
  </si>
  <si>
    <t>number of hhlds 2017</t>
  </si>
  <si>
    <t>number of hhlds 2011</t>
  </si>
  <si>
    <t>overall percentage electrification 2011</t>
  </si>
  <si>
    <t>overall percentage electrification 2017</t>
  </si>
  <si>
    <t>% used in model 2017</t>
  </si>
  <si>
    <t>Household shares (from CGE) and number of households in model</t>
  </si>
  <si>
    <t>Percentage of households by main cooking fuel and energy service</t>
  </si>
  <si>
    <t>This stuff is linked to dmd_prj, should be deleted or updated</t>
  </si>
  <si>
    <t>Electrification estimates (these are in DMD_PRJ, should be deleted or updated, or at a minimum simplified)</t>
  </si>
  <si>
    <t>Number of households by main cooking fuel and energy service and income group</t>
  </si>
  <si>
    <t>Percentage of households by main cooking fuel and energy service 2011</t>
  </si>
  <si>
    <t>Total PJ 2017 before adjustment</t>
  </si>
  <si>
    <t>Total PJ 2017 after adjustment</t>
  </si>
  <si>
    <t>Energy balance sheet check RESGAS and RESOLP, are they correctly allocated if OLP is paraffin then we need to get gas into the model</t>
  </si>
  <si>
    <t>NOTES:</t>
  </si>
  <si>
    <t>is this natural gas/ REMOVE and put with other gas</t>
  </si>
  <si>
    <t xml:space="preserve">Balance check - </t>
  </si>
  <si>
    <t>this sheet</t>
  </si>
  <si>
    <t>Energy balance sheet</t>
  </si>
  <si>
    <t>Reference in LEAP</t>
  </si>
  <si>
    <t>Reference in SATIM</t>
  </si>
  <si>
    <t>Notes - things to fix</t>
  </si>
  <si>
    <t>gas stove too high efficiency for cooking, actually seems to apply to all gas using end uses</t>
  </si>
  <si>
    <t>make sure elec efficiencies match sanedi - in electrical efficiency sheet - link all years to that sheet for reference case</t>
  </si>
  <si>
    <t>Extensive MEPS</t>
  </si>
  <si>
    <t>Behaviour</t>
  </si>
  <si>
    <t>Extensive MEPS and Behaviour</t>
  </si>
  <si>
    <t>Percentage based change</t>
  </si>
  <si>
    <t>Assume SANEDI ref case for electricity</t>
  </si>
  <si>
    <t>Assume 13% improvement in EE for other techs by 2050</t>
  </si>
  <si>
    <t>Efficiency 2017</t>
  </si>
  <si>
    <t>electrical effiency</t>
  </si>
  <si>
    <t>This needs to be input</t>
  </si>
  <si>
    <t>Intensity estimate before adjsting for actual fuel volumes</t>
  </si>
  <si>
    <t>2017 No of households</t>
  </si>
  <si>
    <t>what is this for?</t>
  </si>
  <si>
    <t>total</t>
  </si>
  <si>
    <t>Shares for 2017 adjusted to account for electrication responses being too high</t>
  </si>
  <si>
    <t>LI</t>
  </si>
  <si>
    <t>MI</t>
  </si>
  <si>
    <t>HI</t>
  </si>
  <si>
    <t># electrified hhlds</t>
  </si>
  <si>
    <t>share</t>
  </si>
  <si>
    <t>share TCH_RES</t>
  </si>
  <si>
    <t>middle</t>
  </si>
  <si>
    <t>electrified population SATIM 2020</t>
  </si>
  <si>
    <t>as percentage</t>
  </si>
  <si>
    <t>number of hhlds 2020</t>
  </si>
  <si>
    <t>Total GJ 2017 usage SANEDI (elec hhlds only)</t>
  </si>
  <si>
    <t>SANEDI (first calibration attempt, but can't find calculations so don't know how it was done)</t>
  </si>
  <si>
    <t>South Africa energy balance 2017 TOTAL</t>
  </si>
  <si>
    <t>SATIM 2017 EB</t>
  </si>
  <si>
    <t>coal</t>
  </si>
  <si>
    <t>Nat Gas</t>
  </si>
  <si>
    <t>~FI_Process</t>
  </si>
  <si>
    <t>Tact</t>
  </si>
  <si>
    <t>Tcap</t>
  </si>
  <si>
    <t>Tslvl</t>
  </si>
  <si>
    <t>Sets</t>
  </si>
  <si>
    <t>CommName</t>
  </si>
  <si>
    <t>CommDesc</t>
  </si>
  <si>
    <t>Communit</t>
  </si>
  <si>
    <t>Csets</t>
  </si>
  <si>
    <t>CTSLvl</t>
  </si>
  <si>
    <t>PeakTS</t>
  </si>
  <si>
    <t>Ctype</t>
  </si>
  <si>
    <t>DAYNITE</t>
  </si>
  <si>
    <t>DEM</t>
  </si>
  <si>
    <t>~FI_Comm</t>
  </si>
  <si>
    <t xml:space="preserve">PJ </t>
  </si>
  <si>
    <t>SATIM</t>
  </si>
  <si>
    <t>SANEDI results reworded to SATIM income groups - PRE CALIBRATION</t>
  </si>
  <si>
    <t>*Technology Description</t>
  </si>
  <si>
    <t>* Units</t>
  </si>
  <si>
    <t>* Share Check &amp; sub-totals</t>
  </si>
  <si>
    <t xml:space="preserve">*Residential - Refrigeration - High Income </t>
  </si>
  <si>
    <t xml:space="preserve">*Residential - Lighting - Low Income </t>
  </si>
  <si>
    <t>Residential - Lighting - Low Income  - Electricity - INC - E</t>
  </si>
  <si>
    <t xml:space="preserve">*Residential - Cooking - Low Income </t>
  </si>
  <si>
    <t>Residential - Cooking - Low Income  - Electricity - HOT - E</t>
  </si>
  <si>
    <t>Residential - Cooking - Low Income  - Oil LPG - RING - E</t>
  </si>
  <si>
    <t>Residential - Cooking - Low Income  - Biomass Wood - BNM - E</t>
  </si>
  <si>
    <t>Residential - Cooking - Low Income  - Coal - BNM - E</t>
  </si>
  <si>
    <t>Residential - Cooking - Low Income  - Oil Paraffin - WICK - E</t>
  </si>
  <si>
    <t xml:space="preserve">*Residential - Space Heating - Low Income </t>
  </si>
  <si>
    <t>Residential - Space Heating - Low Income  - Electricity - HEATBAR - E</t>
  </si>
  <si>
    <t>Residential - Space Heating - Low Income  - Oil Paraffin - HEAT - E</t>
  </si>
  <si>
    <t>Residential - Space Heating - Low Income  - Biomass Wood - OPEN - E</t>
  </si>
  <si>
    <t>Residential - Space Heating - Low Income  - Coal - BNM - E</t>
  </si>
  <si>
    <t>Residential - Space Heating - Low Income  - Oil LPG - HET - E</t>
  </si>
  <si>
    <t>*Residential - Water Heating - Low Income - with geysers</t>
  </si>
  <si>
    <t>*Residential - Water Heating - Low Income  - Electricity - GEY - E</t>
  </si>
  <si>
    <t>*Residential - Water Heating - Low Income  - Electricity - SWH - E</t>
  </si>
  <si>
    <t>*Residential - Water Heating - Low Income - without geysers</t>
  </si>
  <si>
    <t>Residential - Water Heating - Low Income  - Oil Paraffin - KETWI - E</t>
  </si>
  <si>
    <t>Residential - Water Heating - Low Income  - Electricity - KET - E</t>
  </si>
  <si>
    <t>Residential - Water Heating - Low Income  - Biomass Wood - KETBI - E</t>
  </si>
  <si>
    <t>Residential - Water Heating - Low Income  - Coal - KETCOA - E</t>
  </si>
  <si>
    <t>Residential - Water Heating - Low Income  - Oil LPG - KETLPG - E</t>
  </si>
  <si>
    <t xml:space="preserve">*Residential - Refrigeration - Low Income </t>
  </si>
  <si>
    <t>Residential - Refrigeration - Low Income  - Electricity - REF - E</t>
  </si>
  <si>
    <t xml:space="preserve">*Residential - Other - Low Income </t>
  </si>
  <si>
    <t>Residential - Other - Low Income  - Electricity - OTH - E</t>
  </si>
  <si>
    <t>*Residential - Other - Low Income  - Oil Paraffin - OTH - E</t>
  </si>
  <si>
    <t xml:space="preserve">*Residential - Lighting - Middle Income </t>
  </si>
  <si>
    <t>Residential - Lighting - Middle Income  - Electricity - INC - E</t>
  </si>
  <si>
    <t>*Residential - Lighting - Middle Income  - Oil Paraffin - WICK - E</t>
  </si>
  <si>
    <t xml:space="preserve">*Residential - Cooking - Middle Income </t>
  </si>
  <si>
    <t>Residential - Cooking - Middle Income  - Electricity - STOV - E</t>
  </si>
  <si>
    <t>Residential - Cooking - Middle Income  - Oil LPG - STOV - E</t>
  </si>
  <si>
    <t>Residential - Cooking - Middle Income  - Biomass Wood - STOV - E</t>
  </si>
  <si>
    <t>Residential - Cooking - Middle Income  - Coal - BNM - E</t>
  </si>
  <si>
    <t>Residential - Cooking - Middle Income  - Oil Paraffin - WICK - E</t>
  </si>
  <si>
    <t>Residential - Cooking - Middle Income  - Natural Gas - STOV - E</t>
  </si>
  <si>
    <t xml:space="preserve">*Residential - Space Heating - Middle Income </t>
  </si>
  <si>
    <t>Residential - Space Heating - Middle Income  - Electricity - HEATFIN - E</t>
  </si>
  <si>
    <t>Residential - Space Heating - Middle Income  - Oil Paraffin - HEAT - E</t>
  </si>
  <si>
    <t>Residential - Space Heating - Middle Income  - Biomass Wood - STOV - E</t>
  </si>
  <si>
    <t>Residential - Space Heating - Middle Income  - Coal - STOV - E</t>
  </si>
  <si>
    <t>Residential - Space Heating - Middle Income  - Oil LPG - HEAT - E</t>
  </si>
  <si>
    <t>Residential - Space Heating - Middle Income  - Natural Gas - HEAT - N</t>
  </si>
  <si>
    <t>*Residential - Water Heating - Middle Income  with geysers</t>
  </si>
  <si>
    <t>Residential - Water Heating - Middle Income  - Electricity - GEY - E</t>
  </si>
  <si>
    <t>Residential - Water Heating - Middle Income  - Electricity - SWH - Low pressure</t>
  </si>
  <si>
    <t>*Residential - Water Heating - Middle Income  without geysers</t>
  </si>
  <si>
    <t>Residential - Water Heating - Middle Income  - Electricity - Kettle - E</t>
  </si>
  <si>
    <t>Residential - Water Heating - Middle Income  - Oil Paraffin - KETPR - E</t>
  </si>
  <si>
    <t>Residential - Water Heating - Middle Income  - Biomass Wood - KETBI - E</t>
  </si>
  <si>
    <t>Residential - Water Heating - Middle Income  - Coal - STOV - E</t>
  </si>
  <si>
    <t>Residential - Water Heating - Middle Income  - Oil LPG - KETLPG - E</t>
  </si>
  <si>
    <t>Residential - Water Heating - Middle Income  - Natural Gas - GEY - N</t>
  </si>
  <si>
    <t xml:space="preserve">*Residential - Refrigeration - Middle Income </t>
  </si>
  <si>
    <t>Residential - Refrigeration - Middle Income  - Electricity - REF - E</t>
  </si>
  <si>
    <t xml:space="preserve">*Residential - Other - Middle Income </t>
  </si>
  <si>
    <t>Residential - Other - Middle Income  - Electricity - OTH - E</t>
  </si>
  <si>
    <t>*Residential - Other - Middle Income  - Oil Paraffin - OTH - E</t>
  </si>
  <si>
    <t xml:space="preserve">*Residential - Lighting - High Income </t>
  </si>
  <si>
    <t>Residential - Lighting - High Income  - Electricity - INC - E</t>
  </si>
  <si>
    <t xml:space="preserve">*Residential - Cooking - High Income </t>
  </si>
  <si>
    <t>Residential - Cooking - High Income  - Electricity - STOV - E</t>
  </si>
  <si>
    <t>Residential - Cooking - High Income  - Oil LPG - STOV - E</t>
  </si>
  <si>
    <t>Residential - Cooking - High Income  - Biomass Wood - STOV - E</t>
  </si>
  <si>
    <t>Residential - Cooking - High Income  - Oil Paraffin - PRIMUS - E</t>
  </si>
  <si>
    <t>Residential - Cooking - High Income  - Natural Gas - STOV - E</t>
  </si>
  <si>
    <t xml:space="preserve">*Residential - Space Heating - High Income </t>
  </si>
  <si>
    <t>Residential - Space Heating - High Income  - Electricity - HEATFIN - E</t>
  </si>
  <si>
    <t>Residential - Space Heating - High Income  - Oil Paraffin - HEAT - E</t>
  </si>
  <si>
    <t>Residential - Space Heating - High Income  - Biomass Wood - STOV - E</t>
  </si>
  <si>
    <t>Residential - Space Heating - High Income  - Coal - STOV - E</t>
  </si>
  <si>
    <t>Residential - Space Heating - High Income  - Oil LPG - HEAT - E</t>
  </si>
  <si>
    <t>Residential - Space Heating - High Income  - Natural Gas - HEAT - N</t>
  </si>
  <si>
    <t xml:space="preserve">*Residential - Water Heating - High Income </t>
  </si>
  <si>
    <t>Residential - Water Heating - High Income  - Electricity - GEY - E</t>
  </si>
  <si>
    <t>Residential - Water Heating - High Income  - Electricity - HP - N</t>
  </si>
  <si>
    <t>Residential - Water Heating - High Income  - Electricity - SWH - E</t>
  </si>
  <si>
    <t>* Residential - Water Heating - High Income  - Oil Paraffin - STOV - E</t>
  </si>
  <si>
    <t>*Residential - Water Heating - High Income  - Oil LPG - STOV - E</t>
  </si>
  <si>
    <t>* Residential - Water Heating - High Income  - Natural Gas - HEAT - N</t>
  </si>
  <si>
    <t>*Residential - Refrigeration - High Income  - Electricity - REF - E</t>
  </si>
  <si>
    <t xml:space="preserve">*Residential - Other - High Income </t>
  </si>
  <si>
    <t>Residential - Other - High Income  - Electricity - OTH - E</t>
  </si>
  <si>
    <t>U</t>
  </si>
  <si>
    <t xml:space="preserve">EFF </t>
  </si>
  <si>
    <t>Comm-OUT</t>
  </si>
  <si>
    <t>REGION1</t>
  </si>
  <si>
    <t>RLELOKEOKE</t>
  </si>
  <si>
    <t>Residential - Lighting - Low Income  -Paraffin - PAR - E</t>
  </si>
  <si>
    <t>UNIT</t>
  </si>
  <si>
    <t>Attribute</t>
  </si>
  <si>
    <t>DEMAND</t>
  </si>
  <si>
    <t>nothing</t>
  </si>
  <si>
    <t>INVCOST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</si>
</sst>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3" formatCode="_(* #,##0.00_);_(* \(#,##0.00\);_(* &quot;-&quot;??_);_(@_)"/>
    <numFmt numFmtId="164" formatCode="_-* #,##0.00_-;\-* #,##0.00_-;_-* &quot;-&quot;??_-;_-@_-"/>
    <numFmt numFmtId="165" formatCode="_ * #,##0.00_ ;_ * \-#,##0.00_ ;_ * &quot;-&quot;??_ ;_ @_ "/>
    <numFmt numFmtId="166" formatCode="0.0"/>
    <numFmt numFmtId="167" formatCode="0.000"/>
    <numFmt numFmtId="168" formatCode="0.0%"/>
    <numFmt numFmtId="169" formatCode="0.0000"/>
    <numFmt numFmtId="170" formatCode="_ * #,##0_ ;_ * \-#,##0_ ;_ * &quot;-&quot;??_ ;_ @_ "/>
    <numFmt numFmtId="171" formatCode="#,##0.00\ ;&quot; -&quot;#,##0.00\ ;&quot; -&quot;#\ ;@\ "/>
    <numFmt numFmtId="172" formatCode="[$-809]General"/>
    <numFmt numFmtId="173" formatCode="#,##0.00&quot; &quot;;&quot; -&quot;#,##0.00&quot; &quot;;&quot; -&quot;#&quot; &quot;;@&quot; &quot;"/>
    <numFmt numFmtId="174" formatCode="[$£-809]#,##0.00;[Red]&quot;-&quot;[$£-809]#,##0.00"/>
    <numFmt numFmtId="175" formatCode="&quot;R&quot;\ #,##0.00"/>
    <numFmt numFmtId="176" formatCode="_-* #,##0_-;\-* #,##0_-;_-* &quot;-&quot;??_-;_-@_-"/>
    <numFmt numFmtId="177" formatCode="_-* #,##0.0_-;\-* #,##0.0_-;_-* &quot;-&quot;??_-;_-@_-"/>
    <numFmt numFmtId="178" formatCode="_-* #,##0.00000_-;\-* #,##0.00000_-;_-* &quot;-&quot;??_-;_-@_-"/>
    <numFmt numFmtId="179" formatCode="##,##0"/>
    <numFmt numFmtId="180" formatCode="_(* #,##0.000_);_(* \(#,##0.000\);_(* &quot;-&quot;??_);_(@_)"/>
    <numFmt numFmtId="181" formatCode="_(* #,##0.00000_);_(* \(#,##0.00000\);_(* &quot;-&quot;??_);_(@_)"/>
    <numFmt numFmtId="182" formatCode="0_);\(0\)"/>
    <numFmt numFmtId="183" formatCode="0.00000%"/>
    <numFmt numFmtId="184" formatCode="0.000%"/>
    <numFmt numFmtId="185" formatCode="0.0000%"/>
  </numFmts>
  <fonts count="101">
    <font>
      <sz val="10"/>
      <name val="Arial"/>
    </font>
    <font>
      <sz val="11"/>
      <color theme="1"/>
      <name val="Calibri"/>
      <family val="2"/>
      <scheme val="minor"/>
    </font>
    <font>
      <sz val="10"/>
      <name val="Arial"/>
      <family val="2"/>
    </font>
    <font>
      <sz val="11"/>
      <name val="Times New Roman"/>
      <family val="1"/>
    </font>
    <font>
      <sz val="12"/>
      <name val="Times New Roman"/>
      <family val="1"/>
    </font>
    <font>
      <b/>
      <sz val="10"/>
      <name val="Arial"/>
      <family val="2"/>
    </font>
    <font>
      <sz val="12"/>
      <name val="Arial"/>
      <family val="2"/>
    </font>
    <font>
      <b/>
      <sz val="8"/>
      <name val="Arial"/>
      <family val="2"/>
    </font>
    <font>
      <sz val="8"/>
      <name val="Arial"/>
      <family val="2"/>
    </font>
    <font>
      <b/>
      <sz val="10"/>
      <color indexed="81"/>
      <name val="Tahoma"/>
      <family val="2"/>
    </font>
    <font>
      <sz val="10"/>
      <color indexed="81"/>
      <name val="Tahoma"/>
      <family val="2"/>
    </font>
    <font>
      <sz val="10"/>
      <color indexed="10"/>
      <name val="Arial"/>
      <family val="2"/>
    </font>
    <font>
      <b/>
      <sz val="10"/>
      <name val="Arial"/>
      <family val="2"/>
    </font>
    <font>
      <sz val="10"/>
      <name val="Arial"/>
      <family val="2"/>
    </font>
    <font>
      <sz val="10"/>
      <color indexed="14"/>
      <name val="Arial"/>
      <family val="2"/>
    </font>
    <font>
      <sz val="10"/>
      <color indexed="14"/>
      <name val="Arial"/>
      <family val="2"/>
    </font>
    <font>
      <sz val="10"/>
      <name val="Arial Unicode MS"/>
      <family val="2"/>
    </font>
    <font>
      <sz val="10"/>
      <name val="Verdana"/>
      <family val="2"/>
    </font>
    <font>
      <sz val="9"/>
      <color indexed="81"/>
      <name val="Tahoma"/>
      <family val="2"/>
    </font>
    <font>
      <b/>
      <sz val="9"/>
      <color indexed="81"/>
      <name val="Tahoma"/>
      <family val="2"/>
    </font>
    <font>
      <sz val="9"/>
      <color indexed="81"/>
      <name val="Arial"/>
      <family val="2"/>
    </font>
    <font>
      <b/>
      <sz val="9"/>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sz val="10"/>
      <color theme="4"/>
      <name val="Arial"/>
      <family val="2"/>
    </font>
    <font>
      <b/>
      <sz val="11"/>
      <color rgb="FFFA7D00"/>
      <name val="Calibri"/>
      <family val="2"/>
      <scheme val="minor"/>
    </font>
    <font>
      <sz val="10"/>
      <color theme="1"/>
      <name val="Verdana1"/>
    </font>
    <font>
      <sz val="10"/>
      <color theme="1"/>
      <name val="Arial Unicode MS"/>
      <family val="2"/>
    </font>
    <font>
      <sz val="10"/>
      <color theme="6" tint="-0.24994659260841701"/>
      <name val="Arial"/>
      <family val="2"/>
    </font>
    <font>
      <b/>
      <i/>
      <sz val="16"/>
      <color theme="1"/>
      <name val="Arial1"/>
    </font>
    <font>
      <u/>
      <sz val="10"/>
      <color theme="10"/>
      <name val="Arial"/>
      <family val="2"/>
    </font>
    <font>
      <sz val="11"/>
      <color rgb="FF3F3F76"/>
      <name val="Calibri"/>
      <family val="2"/>
      <scheme val="minor"/>
    </font>
    <font>
      <sz val="10"/>
      <color theme="9" tint="-0.24994659260841701"/>
      <name val="Arial"/>
      <family val="2"/>
    </font>
    <font>
      <sz val="11"/>
      <color theme="1"/>
      <name val="Arial1"/>
    </font>
    <font>
      <b/>
      <i/>
      <u/>
      <sz val="11"/>
      <color theme="1"/>
      <name val="Arial1"/>
    </font>
    <font>
      <b/>
      <sz val="11"/>
      <color theme="1"/>
      <name val="Calibri"/>
      <family val="2"/>
      <scheme val="minor"/>
    </font>
    <font>
      <sz val="11"/>
      <color rgb="FFFF0000"/>
      <name val="Calibri"/>
      <family val="2"/>
      <scheme val="minor"/>
    </font>
    <font>
      <b/>
      <sz val="10"/>
      <color rgb="FFFF0000"/>
      <name val="Arial"/>
      <family val="2"/>
    </font>
    <font>
      <sz val="10"/>
      <color rgb="FFFF0000"/>
      <name val="Arial"/>
      <family val="2"/>
    </font>
    <font>
      <sz val="8"/>
      <color theme="1"/>
      <name val="Calibri"/>
      <family val="2"/>
      <scheme val="minor"/>
    </font>
    <font>
      <sz val="10"/>
      <color theme="3" tint="0.39997558519241921"/>
      <name val="Arial"/>
      <family val="2"/>
    </font>
    <font>
      <sz val="11"/>
      <color rgb="FF000000"/>
      <name val="Calibri"/>
      <family val="2"/>
    </font>
    <font>
      <sz val="10"/>
      <color theme="3"/>
      <name val="Arial"/>
      <family val="2"/>
    </font>
    <font>
      <b/>
      <sz val="10"/>
      <color theme="3"/>
      <name val="Arial"/>
      <family val="2"/>
    </font>
    <font>
      <b/>
      <sz val="8"/>
      <color rgb="FF800080"/>
      <name val="Arial"/>
      <family val="2"/>
    </font>
    <font>
      <sz val="10"/>
      <color theme="9" tint="-0.249977111117893"/>
      <name val="Arial"/>
      <family val="2"/>
    </font>
    <font>
      <sz val="10"/>
      <color theme="5" tint="-0.249977111117893"/>
      <name val="Arial"/>
      <family val="2"/>
    </font>
    <font>
      <b/>
      <sz val="11"/>
      <color rgb="FF3F3F76"/>
      <name val="Calibri"/>
      <family val="2"/>
      <scheme val="minor"/>
    </font>
    <font>
      <b/>
      <sz val="9"/>
      <color theme="4" tint="-0.499984740745262"/>
      <name val="Arial"/>
      <family val="2"/>
    </font>
    <font>
      <b/>
      <sz val="9"/>
      <color theme="4" tint="-0.249977111117893"/>
      <name val="Arial"/>
      <family val="2"/>
    </font>
    <font>
      <b/>
      <sz val="12"/>
      <name val="Arial"/>
      <family val="2"/>
    </font>
    <font>
      <b/>
      <sz val="10"/>
      <color theme="0"/>
      <name val="Arial"/>
      <family val="2"/>
    </font>
    <font>
      <sz val="10"/>
      <color theme="1"/>
      <name val="Arial"/>
      <family val="2"/>
    </font>
    <font>
      <sz val="10"/>
      <name val="Tahoma"/>
      <family val="2"/>
    </font>
    <font>
      <sz val="10"/>
      <name val="Tahoma"/>
      <family val="2"/>
    </font>
    <font>
      <sz val="10"/>
      <color theme="0"/>
      <name val="Arial"/>
      <family val="2"/>
    </font>
    <font>
      <b/>
      <sz val="10"/>
      <name val="Tahoma"/>
      <family val="2"/>
    </font>
    <font>
      <sz val="8"/>
      <color theme="4"/>
      <name val="Arial"/>
      <family val="2"/>
    </font>
    <font>
      <b/>
      <sz val="8"/>
      <color theme="4"/>
      <name val="Arial"/>
      <family val="2"/>
    </font>
    <font>
      <b/>
      <sz val="8"/>
      <color rgb="FF3F3F76"/>
      <name val="Calibri"/>
      <family val="2"/>
      <scheme val="minor"/>
    </font>
    <font>
      <b/>
      <sz val="8"/>
      <color rgb="FFFA7D00"/>
      <name val="Calibri"/>
      <family val="2"/>
      <scheme val="minor"/>
    </font>
    <font>
      <sz val="8"/>
      <color rgb="FF3F3F76"/>
      <name val="Calibri"/>
      <family val="2"/>
      <scheme val="minor"/>
    </font>
    <font>
      <sz val="8"/>
      <color rgb="FFFF0000"/>
      <name val="Arial"/>
      <family val="2"/>
    </font>
    <font>
      <sz val="8"/>
      <name val="Times New Roman"/>
      <family val="1"/>
    </font>
    <font>
      <sz val="8"/>
      <name val="Calibri"/>
      <family val="2"/>
      <scheme val="minor"/>
    </font>
    <font>
      <sz val="8"/>
      <color theme="5" tint="-0.249977111117893"/>
      <name val="Arial"/>
      <family val="2"/>
    </font>
    <font>
      <b/>
      <sz val="8"/>
      <color theme="1"/>
      <name val="Calibri"/>
      <family val="2"/>
      <scheme val="minor"/>
    </font>
    <font>
      <u/>
      <sz val="10"/>
      <color theme="11"/>
      <name val="Arial"/>
      <family val="2"/>
    </font>
    <font>
      <sz val="12"/>
      <name val="Calibri"/>
      <family val="2"/>
      <scheme val="minor"/>
    </font>
    <font>
      <sz val="10"/>
      <color rgb="FF1F497D"/>
      <name val="Arial"/>
      <family val="2"/>
    </font>
    <font>
      <b/>
      <u/>
      <sz val="8"/>
      <name val="Arial"/>
      <family val="2"/>
    </font>
    <font>
      <sz val="18"/>
      <name val="Arial"/>
      <family val="2"/>
    </font>
    <font>
      <b/>
      <sz val="10"/>
      <color rgb="FFFFFFFF"/>
      <name val="Calibri"/>
      <family val="2"/>
      <scheme val="minor"/>
    </font>
    <font>
      <b/>
      <u/>
      <sz val="18"/>
      <name val="Arial"/>
      <family val="2"/>
    </font>
    <font>
      <u/>
      <sz val="18"/>
      <name val="Arial"/>
      <family val="2"/>
    </font>
    <font>
      <b/>
      <u/>
      <sz val="16"/>
      <name val="Arial"/>
      <family val="2"/>
    </font>
    <font>
      <sz val="8"/>
      <color rgb="FF963634"/>
      <name val="Arial"/>
      <family val="2"/>
    </font>
    <font>
      <b/>
      <u/>
      <sz val="12"/>
      <name val="Arial"/>
      <family val="2"/>
    </font>
    <font>
      <u/>
      <sz val="10"/>
      <name val="Arial"/>
      <family val="2"/>
    </font>
    <font>
      <b/>
      <u/>
      <sz val="10"/>
      <name val="Arial"/>
      <family val="2"/>
    </font>
    <font>
      <b/>
      <sz val="11"/>
      <name val="Calibri"/>
      <family val="2"/>
      <scheme val="minor"/>
    </font>
    <font>
      <sz val="10"/>
      <color rgb="FFFF0000"/>
      <name val="Tahoma"/>
      <family val="2"/>
    </font>
    <font>
      <sz val="10"/>
      <color theme="6" tint="-0.249977111117893"/>
      <name val="Tahoma"/>
      <family val="2"/>
    </font>
    <font>
      <b/>
      <sz val="8"/>
      <color theme="3" tint="0.39997558519241921"/>
      <name val="Arial"/>
      <family val="2"/>
    </font>
    <font>
      <sz val="8"/>
      <color theme="3" tint="0.59999389629810485"/>
      <name val="Arial"/>
      <family val="2"/>
    </font>
    <font>
      <sz val="11"/>
      <color rgb="FF006100"/>
      <name val="Calibri"/>
      <family val="2"/>
      <scheme val="minor"/>
    </font>
    <font>
      <sz val="12"/>
      <name val="Calibri"/>
      <family val="2"/>
    </font>
    <font>
      <b/>
      <sz val="11"/>
      <color rgb="FF000000"/>
      <name val="Calibri"/>
      <family val="2"/>
    </font>
    <font>
      <b/>
      <sz val="10"/>
      <color rgb="FF000000"/>
      <name val="Tahoma"/>
      <family val="2"/>
    </font>
    <font>
      <sz val="10"/>
      <color rgb="FF000000"/>
      <name val="Tahoma"/>
      <family val="2"/>
    </font>
    <font>
      <sz val="18"/>
      <name val="Tahoma"/>
      <family val="2"/>
    </font>
    <font>
      <b/>
      <sz val="8"/>
      <color rgb="FF000000"/>
      <name val="Tahoma"/>
      <family val="2"/>
    </font>
    <font>
      <sz val="8"/>
      <color rgb="FF000000"/>
      <name val="Tahoma"/>
      <family val="2"/>
    </font>
    <font>
      <sz val="18"/>
      <color rgb="FFFF0000"/>
      <name val="Tahoma"/>
      <family val="2"/>
    </font>
    <font>
      <sz val="10"/>
      <color theme="5"/>
      <name val="Arial"/>
      <family val="2"/>
    </font>
    <font>
      <sz val="8"/>
      <color theme="1"/>
      <name val="Arial"/>
      <family val="2"/>
    </font>
    <font>
      <b/>
      <sz val="8"/>
      <color theme="1"/>
      <name val="Arial"/>
      <family val="2"/>
    </font>
    <font>
      <sz val="8"/>
      <color indexed="8"/>
      <name val="Arial"/>
      <family val="2"/>
    </font>
    <font>
      <sz val="12"/>
      <color rgb="FFFF0000"/>
      <name val="Arial"/>
      <family val="2"/>
    </font>
    <font>
      <sz val="8"/>
      <color rgb="FF800080"/>
      <name val="Arial"/>
      <family val="2"/>
    </font>
  </fonts>
  <fills count="52">
    <fill>
      <patternFill patternType="none"/>
    </fill>
    <fill>
      <patternFill patternType="gray125"/>
    </fill>
    <fill>
      <patternFill patternType="solid">
        <fgColor indexed="44"/>
        <bgColor indexed="64"/>
      </patternFill>
    </fill>
    <fill>
      <patternFill patternType="solid">
        <fgColor indexed="42"/>
        <bgColor indexed="64"/>
      </patternFill>
    </fill>
    <fill>
      <patternFill patternType="solid">
        <fgColor theme="7"/>
      </patternFill>
    </fill>
    <fill>
      <patternFill patternType="solid">
        <fgColor rgb="FFFFC7CE"/>
      </patternFill>
    </fill>
    <fill>
      <patternFill patternType="solid">
        <fgColor rgb="FFF2F2F2"/>
      </patternFill>
    </fill>
    <fill>
      <patternFill patternType="solid">
        <fgColor rgb="FFFFCC99"/>
      </patternFill>
    </fill>
    <fill>
      <patternFill patternType="solid">
        <fgColor rgb="FFFFCC99"/>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79998168889431442"/>
        <bgColor indexed="64"/>
      </patternFill>
    </fill>
    <fill>
      <patternFill patternType="solid">
        <fgColor rgb="FFC0C0C0"/>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bgColor theme="4"/>
      </patternFill>
    </fill>
    <fill>
      <patternFill patternType="solid">
        <fgColor theme="6" tint="0.79998168889431442"/>
        <bgColor theme="4" tint="0.59999389629810485"/>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9"/>
        <bgColor indexed="64"/>
      </patternFill>
    </fill>
    <fill>
      <patternFill patternType="solid">
        <fgColor theme="2" tint="-9.9978637043366805E-2"/>
        <bgColor indexed="64"/>
      </patternFill>
    </fill>
    <fill>
      <patternFill patternType="solid">
        <fgColor indexed="43"/>
        <bgColor indexed="64"/>
      </patternFill>
    </fill>
    <fill>
      <patternFill patternType="solid">
        <fgColor indexed="20"/>
        <bgColor indexed="64"/>
      </patternFill>
    </fill>
    <fill>
      <patternFill patternType="solid">
        <fgColor theme="6"/>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C0C0C0"/>
        <bgColor rgb="FF000000"/>
      </patternFill>
    </fill>
    <fill>
      <patternFill patternType="solid">
        <fgColor theme="7" tint="0.59999389629810485"/>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rgb="FF283645"/>
        <bgColor indexed="64"/>
      </patternFill>
    </fill>
    <fill>
      <patternFill patternType="solid">
        <fgColor rgb="FFDDDDDD"/>
        <bgColor indexed="64"/>
      </patternFill>
    </fill>
    <fill>
      <patternFill patternType="solid">
        <fgColor rgb="FFFCD5B4"/>
        <bgColor rgb="FF000000"/>
      </patternFill>
    </fill>
    <fill>
      <patternFill patternType="solid">
        <fgColor indexed="13"/>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C6EFCE"/>
      </patternFill>
    </fill>
    <fill>
      <patternFill patternType="solid">
        <fgColor rgb="FFD9E1F2"/>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7" tint="0.39997558519241921"/>
        <bgColor indexed="64"/>
      </patternFill>
    </fill>
  </fills>
  <borders count="41">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style="medium">
        <color auto="1"/>
      </left>
      <right style="medium">
        <color auto="1"/>
      </right>
      <top/>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medium">
        <color auto="1"/>
      </bottom>
      <diagonal/>
    </border>
    <border>
      <left/>
      <right style="thin">
        <color auto="1"/>
      </right>
      <top style="thin">
        <color auto="1"/>
      </top>
      <bottom style="medium">
        <color auto="1"/>
      </bottom>
      <diagonal/>
    </border>
    <border>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rgb="FF7F7F7F"/>
      </right>
      <top style="thin">
        <color auto="1"/>
      </top>
      <bottom style="thin">
        <color rgb="FF7F7F7F"/>
      </bottom>
      <diagonal/>
    </border>
    <border>
      <left style="thin">
        <color rgb="FF7F7F7F"/>
      </left>
      <right style="thin">
        <color rgb="FF7F7F7F"/>
      </right>
      <top style="thin">
        <color auto="1"/>
      </top>
      <bottom style="thin">
        <color rgb="FF7F7F7F"/>
      </bottom>
      <diagonal/>
    </border>
    <border>
      <left style="thin">
        <color auto="1"/>
      </left>
      <right style="thin">
        <color rgb="FF7F7F7F"/>
      </right>
      <top style="thin">
        <color rgb="FF7F7F7F"/>
      </top>
      <bottom style="thin">
        <color rgb="FF7F7F7F"/>
      </bottom>
      <diagonal/>
    </border>
    <border>
      <left style="thin">
        <color theme="0"/>
      </left>
      <right/>
      <top/>
      <bottom/>
      <diagonal/>
    </border>
    <border>
      <left style="thin">
        <color theme="0"/>
      </left>
      <right/>
      <top style="thick">
        <color theme="0"/>
      </top>
      <bottom/>
      <diagonal/>
    </border>
    <border>
      <left/>
      <right style="thin">
        <color theme="0"/>
      </right>
      <top/>
      <bottom style="thick">
        <color theme="0"/>
      </bottom>
      <diagonal/>
    </border>
    <border>
      <left/>
      <right style="thin">
        <color theme="0"/>
      </right>
      <top style="thick">
        <color theme="0"/>
      </top>
      <bottom style="thin">
        <color theme="0"/>
      </bottom>
      <diagonal/>
    </border>
    <border>
      <left style="medium">
        <color auto="1"/>
      </left>
      <right style="medium">
        <color auto="1"/>
      </right>
      <top/>
      <bottom style="thin">
        <color auto="1"/>
      </bottom>
      <diagonal/>
    </border>
    <border>
      <left/>
      <right/>
      <top/>
      <bottom style="medium">
        <color rgb="FF8EA9DB"/>
      </bottom>
      <diagonal/>
    </border>
    <border>
      <left/>
      <right/>
      <top/>
      <bottom style="medium">
        <color rgb="FFB4C6E7"/>
      </bottom>
      <diagonal/>
    </border>
  </borders>
  <cellStyleXfs count="1161">
    <xf numFmtId="0" fontId="0" fillId="0" borderId="0"/>
    <xf numFmtId="0" fontId="23" fillId="4" borderId="0" applyNumberFormat="0" applyBorder="0" applyAlignment="0" applyProtection="0"/>
    <xf numFmtId="0" fontId="24" fillId="5" borderId="0" applyNumberFormat="0" applyBorder="0" applyAlignment="0" applyProtection="0"/>
    <xf numFmtId="0" fontId="24" fillId="5" borderId="0" applyNumberFormat="0" applyBorder="0" applyAlignment="0" applyProtection="0"/>
    <xf numFmtId="0" fontId="25" fillId="0" borderId="0" applyNumberFormat="0" applyFill="0" applyBorder="0" applyAlignment="0" applyProtection="0"/>
    <xf numFmtId="0" fontId="26" fillId="6" borderId="30" applyNumberFormat="0" applyAlignment="0" applyProtection="0"/>
    <xf numFmtId="164" fontId="2" fillId="0" borderId="0" applyFont="0" applyFill="0" applyBorder="0" applyAlignment="0" applyProtection="0"/>
    <xf numFmtId="171" fontId="16" fillId="0" borderId="0" applyFill="0" applyBorder="0" applyAlignment="0" applyProtection="0"/>
    <xf numFmtId="165" fontId="2" fillId="0" borderId="0" applyFont="0" applyFill="0" applyBorder="0" applyAlignment="0" applyProtection="0"/>
    <xf numFmtId="172" fontId="27" fillId="0" borderId="0"/>
    <xf numFmtId="0" fontId="17" fillId="0" borderId="0"/>
    <xf numFmtId="173" fontId="28" fillId="0" borderId="0"/>
    <xf numFmtId="4" fontId="29" fillId="0" borderId="0" applyNumberFormat="0" applyFill="0" applyBorder="0" applyAlignment="0" applyProtection="0">
      <alignment horizontal="center"/>
    </xf>
    <xf numFmtId="0" fontId="30" fillId="0" borderId="0">
      <alignment horizontal="center"/>
    </xf>
    <xf numFmtId="0" fontId="30" fillId="0" borderId="0">
      <alignment horizontal="center" textRotation="9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2" fillId="7" borderId="30" applyNumberFormat="0" applyAlignment="0" applyProtection="0"/>
    <xf numFmtId="174" fontId="32" fillId="8" borderId="30" applyNumberFormat="0" applyAlignment="0" applyProtection="0"/>
    <xf numFmtId="0" fontId="33" fillId="0" borderId="0" applyNumberFormat="0" applyFill="0" applyBorder="0" applyAlignment="0" applyProtection="0"/>
    <xf numFmtId="0" fontId="34" fillId="0" borderId="0"/>
    <xf numFmtId="0" fontId="2" fillId="0" borderId="0"/>
    <xf numFmtId="0" fontId="2" fillId="0" borderId="0"/>
    <xf numFmtId="0" fontId="22" fillId="0" borderId="0"/>
    <xf numFmtId="0" fontId="22" fillId="0" borderId="0"/>
    <xf numFmtId="9" fontId="2" fillId="0" borderId="0" applyFont="0" applyFill="0" applyBorder="0" applyAlignment="0" applyProtection="0"/>
    <xf numFmtId="9" fontId="17" fillId="0" borderId="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0" fontId="35" fillId="0" borderId="0"/>
    <xf numFmtId="174" fontId="35" fillId="0" borderId="0"/>
    <xf numFmtId="0" fontId="7" fillId="0" borderId="0">
      <alignment horizontal="left"/>
    </xf>
    <xf numFmtId="0" fontId="54" fillId="0" borderId="0"/>
    <xf numFmtId="0" fontId="8" fillId="0" borderId="0">
      <alignment horizontal="left"/>
    </xf>
    <xf numFmtId="0" fontId="8" fillId="0" borderId="0">
      <alignment horizontal="center" vertical="center" wrapText="1"/>
    </xf>
    <xf numFmtId="0" fontId="8" fillId="0" borderId="0">
      <alignment horizontal="left" vertical="center" wrapText="1"/>
    </xf>
    <xf numFmtId="0" fontId="8" fillId="0" borderId="0">
      <alignment horizontal="right"/>
    </xf>
    <xf numFmtId="9" fontId="55" fillId="0" borderId="0" applyFont="0" applyFill="0" applyBorder="0" applyAlignment="0" applyProtection="0"/>
    <xf numFmtId="165" fontId="55" fillId="0" borderId="0" applyFont="0" applyFill="0" applyBorder="0" applyAlignment="0" applyProtection="0"/>
    <xf numFmtId="9" fontId="54" fillId="0" borderId="0" applyFon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2" fillId="0" borderId="0">
      <protection locked="0"/>
    </xf>
    <xf numFmtId="0" fontId="2" fillId="29" borderId="0">
      <protection locked="0"/>
    </xf>
    <xf numFmtId="0" fontId="2" fillId="2" borderId="16">
      <alignment vertical="center"/>
      <protection locked="0"/>
    </xf>
    <xf numFmtId="0" fontId="2" fillId="2" borderId="22">
      <alignment horizontal="center" vertical="center"/>
      <protection locked="0"/>
    </xf>
    <xf numFmtId="0" fontId="5" fillId="2" borderId="0">
      <alignment vertical="center"/>
      <protection locked="0"/>
    </xf>
    <xf numFmtId="0" fontId="2" fillId="30" borderId="0">
      <protection locked="0"/>
    </xf>
    <xf numFmtId="0" fontId="5" fillId="0" borderId="0">
      <protection locked="0"/>
    </xf>
    <xf numFmtId="0" fontId="2" fillId="29" borderId="0">
      <protection locked="0"/>
    </xf>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86" fillId="46" borderId="0" applyNumberFormat="0" applyBorder="0" applyAlignment="0" applyProtection="0"/>
  </cellStyleXfs>
  <cellXfs count="684">
    <xf numFmtId="0" fontId="0" fillId="0" borderId="0" xfId="0"/>
    <xf numFmtId="0" fontId="2" fillId="0" borderId="0" xfId="0" applyFont="1"/>
    <xf numFmtId="166" fontId="0" fillId="0" borderId="0" xfId="0" applyNumberFormat="1"/>
    <xf numFmtId="2" fontId="0" fillId="0" borderId="0" xfId="0" applyNumberFormat="1"/>
    <xf numFmtId="0" fontId="2" fillId="0" borderId="0" xfId="0" applyFont="1" applyAlignment="1">
      <alignment horizontal="left"/>
    </xf>
    <xf numFmtId="0" fontId="5" fillId="0" borderId="0" xfId="0" applyFont="1"/>
    <xf numFmtId="0" fontId="0" fillId="10" borderId="0" xfId="0" applyFill="1"/>
    <xf numFmtId="167" fontId="0" fillId="0" borderId="0" xfId="0" applyNumberFormat="1"/>
    <xf numFmtId="1" fontId="0" fillId="0" borderId="0" xfId="0" applyNumberFormat="1"/>
    <xf numFmtId="0" fontId="22" fillId="0" borderId="0" xfId="23"/>
    <xf numFmtId="0" fontId="37" fillId="0" borderId="0" xfId="23" applyFont="1"/>
    <xf numFmtId="0" fontId="36" fillId="0" borderId="0" xfId="23" applyFont="1"/>
    <xf numFmtId="9" fontId="0" fillId="0" borderId="0" xfId="0" applyNumberFormat="1"/>
    <xf numFmtId="0" fontId="5" fillId="0" borderId="0" xfId="0" applyFont="1" applyAlignment="1">
      <alignment horizontal="center" wrapText="1"/>
    </xf>
    <xf numFmtId="0" fontId="39" fillId="0" borderId="0" xfId="0" applyFont="1"/>
    <xf numFmtId="0" fontId="0" fillId="0" borderId="0" xfId="0" applyAlignment="1">
      <alignment wrapText="1"/>
    </xf>
    <xf numFmtId="0" fontId="2" fillId="0" borderId="15" xfId="0" applyFont="1" applyBorder="1"/>
    <xf numFmtId="9" fontId="0" fillId="0" borderId="0" xfId="28" applyFont="1"/>
    <xf numFmtId="0" fontId="0" fillId="0" borderId="15" xfId="0" applyBorder="1"/>
    <xf numFmtId="10" fontId="0" fillId="0" borderId="0" xfId="28" applyNumberFormat="1" applyFont="1"/>
    <xf numFmtId="0" fontId="7" fillId="0" borderId="0" xfId="0" applyFont="1"/>
    <xf numFmtId="0" fontId="8" fillId="0" borderId="0" xfId="0" applyFont="1"/>
    <xf numFmtId="0" fontId="0" fillId="0" borderId="21" xfId="0" applyBorder="1"/>
    <xf numFmtId="2" fontId="0" fillId="0" borderId="15" xfId="0" applyNumberFormat="1" applyBorder="1"/>
    <xf numFmtId="1" fontId="5" fillId="0" borderId="0" xfId="0" applyNumberFormat="1" applyFont="1"/>
    <xf numFmtId="0" fontId="13" fillId="0" borderId="0" xfId="0" applyFont="1"/>
    <xf numFmtId="0" fontId="13" fillId="0" borderId="0" xfId="0" applyFont="1" applyAlignment="1">
      <alignment horizontal="center"/>
    </xf>
    <xf numFmtId="0" fontId="5" fillId="2" borderId="0" xfId="0" applyFont="1" applyFill="1" applyAlignment="1">
      <alignment horizontal="center" wrapText="1"/>
    </xf>
    <xf numFmtId="0" fontId="5" fillId="3" borderId="23" xfId="0" applyFont="1" applyFill="1" applyBorder="1" applyAlignment="1">
      <alignment horizontal="center" wrapText="1"/>
    </xf>
    <xf numFmtId="0" fontId="44" fillId="0" borderId="0" xfId="0" applyFont="1" applyAlignment="1">
      <alignment horizontal="center" wrapText="1"/>
    </xf>
    <xf numFmtId="0" fontId="43" fillId="0" borderId="0" xfId="0" applyFont="1" applyAlignment="1" applyProtection="1">
      <alignment horizontal="left"/>
      <protection locked="0"/>
    </xf>
    <xf numFmtId="0" fontId="43" fillId="0" borderId="0" xfId="0" applyFont="1" applyAlignment="1">
      <alignment horizontal="center"/>
    </xf>
    <xf numFmtId="0" fontId="45" fillId="0" borderId="0" xfId="0" applyFont="1"/>
    <xf numFmtId="0" fontId="8" fillId="0" borderId="0" xfId="0" applyFont="1" applyAlignment="1">
      <alignment horizontal="center"/>
    </xf>
    <xf numFmtId="2" fontId="8" fillId="0" borderId="0" xfId="0" applyNumberFormat="1" applyFont="1"/>
    <xf numFmtId="0" fontId="0" fillId="17" borderId="0" xfId="0" applyFill="1"/>
    <xf numFmtId="0" fontId="31" fillId="0" borderId="0" xfId="15" applyAlignment="1" applyProtection="1"/>
    <xf numFmtId="0" fontId="0" fillId="0" borderId="0" xfId="0" applyAlignment="1">
      <alignment horizontal="center"/>
    </xf>
    <xf numFmtId="0" fontId="0" fillId="0" borderId="0" xfId="0" applyAlignment="1">
      <alignment horizontal="center" wrapText="1"/>
    </xf>
    <xf numFmtId="0" fontId="0" fillId="0" borderId="0" xfId="0" applyAlignment="1" applyProtection="1">
      <alignment horizontal="center"/>
      <protection locked="0"/>
    </xf>
    <xf numFmtId="2" fontId="41" fillId="0" borderId="0" xfId="4" applyNumberFormat="1" applyFont="1" applyFill="1" applyAlignment="1">
      <alignment horizontal="center"/>
    </xf>
    <xf numFmtId="0" fontId="5" fillId="0" borderId="0" xfId="0" applyFont="1" applyAlignment="1">
      <alignment horizontal="center"/>
    </xf>
    <xf numFmtId="2" fontId="11" fillId="0" borderId="0" xfId="0" applyNumberFormat="1" applyFont="1" applyAlignment="1">
      <alignment horizontal="center"/>
    </xf>
    <xf numFmtId="0" fontId="43" fillId="0" borderId="0" xfId="0" applyFont="1" applyAlignment="1" applyProtection="1">
      <alignment horizontal="center"/>
      <protection locked="0"/>
    </xf>
    <xf numFmtId="9" fontId="11" fillId="0" borderId="0" xfId="25" applyFont="1" applyFill="1" applyBorder="1" applyAlignment="1">
      <alignment horizontal="center"/>
    </xf>
    <xf numFmtId="0" fontId="12" fillId="3" borderId="23" xfId="0" applyFont="1" applyFill="1" applyBorder="1"/>
    <xf numFmtId="0" fontId="0" fillId="0" borderId="14" xfId="0" applyBorder="1"/>
    <xf numFmtId="0" fontId="0" fillId="0" borderId="14" xfId="0" applyBorder="1" applyAlignment="1" applyProtection="1">
      <alignment horizontal="left"/>
      <protection locked="0"/>
    </xf>
    <xf numFmtId="0" fontId="43" fillId="0" borderId="0" xfId="0" applyFont="1"/>
    <xf numFmtId="166" fontId="8" fillId="0" borderId="0" xfId="0" applyNumberFormat="1" applyFont="1"/>
    <xf numFmtId="9" fontId="0" fillId="0" borderId="0" xfId="25" applyFont="1"/>
    <xf numFmtId="0" fontId="2" fillId="0" borderId="0" xfId="0" applyFont="1" applyAlignment="1" applyProtection="1">
      <alignment horizontal="center"/>
      <protection locked="0"/>
    </xf>
    <xf numFmtId="174" fontId="2" fillId="0" borderId="0" xfId="21" applyNumberFormat="1"/>
    <xf numFmtId="0" fontId="2" fillId="0" borderId="26" xfId="0" applyFont="1" applyBorder="1"/>
    <xf numFmtId="0" fontId="2" fillId="0" borderId="25" xfId="0" applyFont="1" applyBorder="1"/>
    <xf numFmtId="9" fontId="2" fillId="0" borderId="26" xfId="0" applyNumberFormat="1" applyFont="1" applyBorder="1"/>
    <xf numFmtId="9" fontId="2" fillId="0" borderId="0" xfId="0" applyNumberFormat="1" applyFont="1"/>
    <xf numFmtId="0" fontId="5" fillId="3" borderId="20" xfId="0" applyFont="1" applyFill="1" applyBorder="1" applyAlignment="1">
      <alignment horizontal="center" wrapText="1"/>
    </xf>
    <xf numFmtId="0" fontId="5" fillId="3" borderId="24" xfId="0" applyFont="1" applyFill="1" applyBorder="1" applyAlignment="1">
      <alignment horizontal="center" wrapText="1"/>
    </xf>
    <xf numFmtId="0" fontId="48" fillId="8" borderId="32" xfId="18" applyNumberFormat="1" applyFont="1" applyBorder="1" applyAlignment="1">
      <alignment horizontal="center"/>
    </xf>
    <xf numFmtId="17" fontId="0" fillId="0" borderId="0" xfId="0" applyNumberFormat="1"/>
    <xf numFmtId="176" fontId="0" fillId="0" borderId="0" xfId="6" applyNumberFormat="1" applyFont="1"/>
    <xf numFmtId="0" fontId="5" fillId="3" borderId="0" xfId="0" applyFont="1" applyFill="1" applyAlignment="1">
      <alignment horizontal="center" wrapText="1"/>
    </xf>
    <xf numFmtId="10" fontId="0" fillId="0" borderId="0" xfId="25" applyNumberFormat="1" applyFont="1"/>
    <xf numFmtId="22" fontId="0" fillId="0" borderId="0" xfId="0" applyNumberFormat="1"/>
    <xf numFmtId="14" fontId="0" fillId="0" borderId="0" xfId="0" applyNumberFormat="1"/>
    <xf numFmtId="9" fontId="47" fillId="0" borderId="0" xfId="25" applyFont="1" applyFill="1" applyBorder="1"/>
    <xf numFmtId="10" fontId="0" fillId="0" borderId="0" xfId="6" applyNumberFormat="1" applyFont="1"/>
    <xf numFmtId="0" fontId="49" fillId="0" borderId="0" xfId="0" applyFont="1"/>
    <xf numFmtId="0" fontId="50" fillId="0" borderId="0" xfId="0" applyFont="1"/>
    <xf numFmtId="0" fontId="2" fillId="0" borderId="0" xfId="0" applyFont="1" applyAlignment="1">
      <alignment horizontal="center"/>
    </xf>
    <xf numFmtId="0" fontId="31" fillId="0" borderId="0" xfId="15" applyAlignment="1" applyProtection="1">
      <alignment horizontal="center"/>
    </xf>
    <xf numFmtId="0" fontId="3" fillId="0" borderId="15" xfId="0" applyFont="1" applyBorder="1" applyAlignment="1">
      <alignment vertical="top" wrapText="1"/>
    </xf>
    <xf numFmtId="0" fontId="4" fillId="0" borderId="15" xfId="0" applyFont="1" applyBorder="1"/>
    <xf numFmtId="0" fontId="5" fillId="0" borderId="15" xfId="0" applyFont="1" applyBorder="1"/>
    <xf numFmtId="0" fontId="2" fillId="0" borderId="21" xfId="0" applyFont="1" applyBorder="1"/>
    <xf numFmtId="0" fontId="52" fillId="19" borderId="0" xfId="0" applyFont="1" applyFill="1"/>
    <xf numFmtId="0" fontId="52" fillId="19" borderId="34" xfId="0" applyFont="1" applyFill="1" applyBorder="1" applyAlignment="1">
      <alignment horizontal="center"/>
    </xf>
    <xf numFmtId="0" fontId="53" fillId="20" borderId="35" xfId="0" applyFont="1" applyFill="1" applyBorder="1"/>
    <xf numFmtId="2" fontId="53" fillId="20" borderId="35" xfId="0" applyNumberFormat="1" applyFont="1" applyFill="1" applyBorder="1"/>
    <xf numFmtId="0" fontId="53" fillId="20" borderId="37" xfId="0" applyFont="1" applyFill="1" applyBorder="1"/>
    <xf numFmtId="0" fontId="52" fillId="19" borderId="36" xfId="0" applyFont="1" applyFill="1" applyBorder="1"/>
    <xf numFmtId="0" fontId="0" fillId="21" borderId="0" xfId="0" applyFill="1"/>
    <xf numFmtId="0" fontId="53" fillId="20" borderId="0" xfId="0" applyFont="1" applyFill="1"/>
    <xf numFmtId="2" fontId="53" fillId="20" borderId="0" xfId="0" applyNumberFormat="1" applyFont="1" applyFill="1"/>
    <xf numFmtId="0" fontId="54" fillId="0" borderId="0" xfId="32"/>
    <xf numFmtId="170" fontId="54" fillId="0" borderId="0" xfId="32" applyNumberFormat="1"/>
    <xf numFmtId="0" fontId="54" fillId="0" borderId="0" xfId="32" applyAlignment="1" applyProtection="1">
      <alignment vertical="top"/>
      <protection locked="0"/>
    </xf>
    <xf numFmtId="0" fontId="2" fillId="0" borderId="0" xfId="32" applyFont="1" applyAlignment="1" applyProtection="1">
      <alignment vertical="top"/>
      <protection locked="0"/>
    </xf>
    <xf numFmtId="0" fontId="2" fillId="0" borderId="1" xfId="32" applyFont="1" applyBorder="1" applyAlignment="1" applyProtection="1">
      <alignment vertical="top"/>
      <protection locked="0"/>
    </xf>
    <xf numFmtId="0" fontId="2" fillId="0" borderId="4" xfId="32" applyFont="1" applyBorder="1" applyAlignment="1" applyProtection="1">
      <alignment vertical="top"/>
      <protection locked="0"/>
    </xf>
    <xf numFmtId="0" fontId="2" fillId="13" borderId="0" xfId="32" applyFont="1" applyFill="1" applyAlignment="1" applyProtection="1">
      <alignment vertical="top"/>
      <protection locked="0"/>
    </xf>
    <xf numFmtId="9" fontId="0" fillId="0" borderId="18" xfId="37" applyFont="1" applyFill="1" applyBorder="1" applyAlignment="1" applyProtection="1">
      <alignment vertical="top"/>
      <protection locked="0"/>
    </xf>
    <xf numFmtId="170" fontId="0" fillId="0" borderId="1" xfId="38" applyNumberFormat="1" applyFont="1" applyFill="1" applyBorder="1" applyAlignment="1" applyProtection="1">
      <alignment vertical="top"/>
      <protection locked="0"/>
    </xf>
    <xf numFmtId="9" fontId="0" fillId="0" borderId="1" xfId="37" applyFont="1" applyFill="1" applyBorder="1" applyAlignment="1" applyProtection="1">
      <alignment vertical="top"/>
      <protection locked="0"/>
    </xf>
    <xf numFmtId="0" fontId="2" fillId="13" borderId="17" xfId="32" applyFont="1" applyFill="1" applyBorder="1" applyAlignment="1" applyProtection="1">
      <alignment vertical="top"/>
      <protection locked="0"/>
    </xf>
    <xf numFmtId="0" fontId="54" fillId="13" borderId="2" xfId="32" applyFill="1" applyBorder="1" applyAlignment="1" applyProtection="1">
      <alignment vertical="top"/>
      <protection locked="0"/>
    </xf>
    <xf numFmtId="0" fontId="54" fillId="13" borderId="0" xfId="32" applyFill="1" applyAlignment="1" applyProtection="1">
      <alignment vertical="top"/>
      <protection locked="0"/>
    </xf>
    <xf numFmtId="0" fontId="2" fillId="13" borderId="17" xfId="32" applyFont="1" applyFill="1" applyBorder="1"/>
    <xf numFmtId="0" fontId="2" fillId="23" borderId="2" xfId="32" applyFont="1" applyFill="1" applyBorder="1" applyAlignment="1" applyProtection="1">
      <alignment vertical="top"/>
      <protection locked="0"/>
    </xf>
    <xf numFmtId="0" fontId="54" fillId="23" borderId="2" xfId="32" applyFill="1" applyBorder="1" applyAlignment="1" applyProtection="1">
      <alignment vertical="top"/>
      <protection locked="0"/>
    </xf>
    <xf numFmtId="0" fontId="54" fillId="23" borderId="1" xfId="32" applyFill="1" applyBorder="1" applyAlignment="1" applyProtection="1">
      <alignment vertical="top"/>
      <protection locked="0"/>
    </xf>
    <xf numFmtId="0" fontId="54" fillId="23" borderId="4" xfId="32" applyFill="1" applyBorder="1" applyAlignment="1" applyProtection="1">
      <alignment vertical="top"/>
      <protection locked="0"/>
    </xf>
    <xf numFmtId="1" fontId="54" fillId="23" borderId="1" xfId="32" applyNumberFormat="1" applyFill="1" applyBorder="1" applyAlignment="1" applyProtection="1">
      <alignment vertical="top"/>
      <protection locked="0"/>
    </xf>
    <xf numFmtId="0" fontId="54" fillId="13" borderId="7" xfId="32" applyFill="1" applyBorder="1" applyAlignment="1" applyProtection="1">
      <alignment vertical="top"/>
      <protection locked="0"/>
    </xf>
    <xf numFmtId="170" fontId="0" fillId="0" borderId="1" xfId="38" applyNumberFormat="1" applyFont="1" applyFill="1" applyBorder="1"/>
    <xf numFmtId="0" fontId="0" fillId="0" borderId="25" xfId="0" applyBorder="1"/>
    <xf numFmtId="0" fontId="0" fillId="0" borderId="26" xfId="0" applyBorder="1"/>
    <xf numFmtId="0" fontId="2" fillId="0" borderId="0" xfId="0" applyFont="1" applyAlignment="1" applyProtection="1">
      <alignment horizontal="left"/>
      <protection locked="0"/>
    </xf>
    <xf numFmtId="43" fontId="53" fillId="20" borderId="35" xfId="0" applyNumberFormat="1" applyFont="1" applyFill="1" applyBorder="1"/>
    <xf numFmtId="9" fontId="0" fillId="0" borderId="15" xfId="0" applyNumberFormat="1" applyBorder="1"/>
    <xf numFmtId="1" fontId="0" fillId="0" borderId="15" xfId="0" applyNumberFormat="1" applyBorder="1"/>
    <xf numFmtId="0" fontId="31" fillId="0" borderId="0" xfId="15" applyFill="1" applyAlignment="1" applyProtection="1"/>
    <xf numFmtId="0" fontId="31" fillId="0" borderId="0" xfId="16" applyFill="1" applyAlignment="1" applyProtection="1">
      <alignment horizontal="left" vertical="top"/>
    </xf>
    <xf numFmtId="0" fontId="31" fillId="0" borderId="0" xfId="15" applyFill="1" applyAlignment="1" applyProtection="1">
      <alignment horizontal="center"/>
    </xf>
    <xf numFmtId="166" fontId="2" fillId="0" borderId="0" xfId="0" applyNumberFormat="1" applyFont="1"/>
    <xf numFmtId="0" fontId="12" fillId="0" borderId="0" xfId="0" applyFont="1" applyAlignment="1">
      <alignment horizontal="center"/>
    </xf>
    <xf numFmtId="168" fontId="15" fillId="0" borderId="0" xfId="28" applyNumberFormat="1" applyFont="1" applyFill="1" applyAlignment="1">
      <alignment horizontal="center"/>
    </xf>
    <xf numFmtId="2" fontId="14" fillId="0" borderId="0" xfId="0" applyNumberFormat="1" applyFont="1" applyAlignment="1">
      <alignment horizontal="center"/>
    </xf>
    <xf numFmtId="9" fontId="25" fillId="0" borderId="0" xfId="25" applyFont="1" applyFill="1" applyBorder="1"/>
    <xf numFmtId="0" fontId="7" fillId="0" borderId="0" xfId="0" applyFont="1" applyAlignment="1">
      <alignment horizontal="center"/>
    </xf>
    <xf numFmtId="0" fontId="8" fillId="0" borderId="0" xfId="0" applyFont="1" applyAlignment="1" applyProtection="1">
      <alignment horizontal="center"/>
      <protection locked="0"/>
    </xf>
    <xf numFmtId="0" fontId="60" fillId="8" borderId="32" xfId="18" applyNumberFormat="1" applyFont="1" applyBorder="1" applyAlignment="1">
      <alignment horizontal="center"/>
    </xf>
    <xf numFmtId="174" fontId="8" fillId="0" borderId="0" xfId="21" applyNumberFormat="1" applyFont="1"/>
    <xf numFmtId="0" fontId="8" fillId="0" borderId="26" xfId="0" applyFont="1" applyBorder="1"/>
    <xf numFmtId="0" fontId="8" fillId="0" borderId="25" xfId="0" applyFont="1" applyBorder="1"/>
    <xf numFmtId="168" fontId="8" fillId="0" borderId="0" xfId="25" applyNumberFormat="1" applyFont="1"/>
    <xf numFmtId="9" fontId="63" fillId="10" borderId="0" xfId="0" applyNumberFormat="1" applyFont="1" applyFill="1"/>
    <xf numFmtId="9" fontId="8" fillId="0" borderId="26" xfId="0" applyNumberFormat="1" applyFont="1" applyBorder="1"/>
    <xf numFmtId="9" fontId="8" fillId="0" borderId="0" xfId="0" applyNumberFormat="1" applyFont="1"/>
    <xf numFmtId="0" fontId="7" fillId="3" borderId="20" xfId="0" applyFont="1" applyFill="1" applyBorder="1" applyAlignment="1">
      <alignment horizontal="center" wrapText="1"/>
    </xf>
    <xf numFmtId="0" fontId="7" fillId="3" borderId="23" xfId="0" applyFont="1" applyFill="1" applyBorder="1" applyAlignment="1">
      <alignment horizontal="center" wrapText="1"/>
    </xf>
    <xf numFmtId="0" fontId="7" fillId="3" borderId="24" xfId="0" applyFont="1" applyFill="1" applyBorder="1" applyAlignment="1">
      <alignment horizontal="center" wrapText="1"/>
    </xf>
    <xf numFmtId="0" fontId="63" fillId="0" borderId="0" xfId="0" applyFont="1"/>
    <xf numFmtId="175" fontId="65" fillId="0" borderId="0" xfId="1" applyNumberFormat="1" applyFont="1" applyFill="1" applyAlignment="1">
      <alignment horizontal="center"/>
    </xf>
    <xf numFmtId="9" fontId="58" fillId="0" borderId="26" xfId="25" applyFont="1" applyBorder="1" applyAlignment="1">
      <alignment horizontal="center"/>
    </xf>
    <xf numFmtId="9" fontId="66" fillId="0" borderId="0" xfId="25" applyFont="1" applyBorder="1"/>
    <xf numFmtId="9" fontId="58" fillId="0" borderId="0" xfId="25" applyFont="1" applyBorder="1"/>
    <xf numFmtId="9" fontId="58" fillId="0" borderId="26" xfId="25" applyFont="1" applyFill="1" applyBorder="1"/>
    <xf numFmtId="9" fontId="58" fillId="0" borderId="0" xfId="25" applyFont="1" applyFill="1" applyBorder="1"/>
    <xf numFmtId="9" fontId="66" fillId="0" borderId="0" xfId="25" applyFont="1" applyFill="1" applyBorder="1"/>
    <xf numFmtId="0" fontId="67" fillId="0" borderId="0" xfId="0" applyFont="1"/>
    <xf numFmtId="0" fontId="1" fillId="0" borderId="0" xfId="23" applyFont="1"/>
    <xf numFmtId="166" fontId="2" fillId="11" borderId="0" xfId="0" applyNumberFormat="1" applyFont="1" applyFill="1"/>
    <xf numFmtId="0" fontId="5" fillId="0" borderId="20" xfId="0" applyFont="1" applyBorder="1" applyAlignment="1">
      <alignment horizontal="center" wrapText="1"/>
    </xf>
    <xf numFmtId="9" fontId="25" fillId="0" borderId="26" xfId="25" applyFont="1" applyFill="1" applyBorder="1"/>
    <xf numFmtId="0" fontId="6" fillId="0" borderId="0" xfId="0" applyFont="1"/>
    <xf numFmtId="1" fontId="8" fillId="0" borderId="0" xfId="0" applyNumberFormat="1" applyFont="1"/>
    <xf numFmtId="165" fontId="8" fillId="0" borderId="0" xfId="0" applyNumberFormat="1" applyFont="1"/>
    <xf numFmtId="9" fontId="8" fillId="0" borderId="0" xfId="25" applyFont="1" applyFill="1" applyAlignment="1">
      <alignment horizontal="center"/>
    </xf>
    <xf numFmtId="164" fontId="8" fillId="0" borderId="0" xfId="6" applyFont="1" applyFill="1" applyAlignment="1">
      <alignment horizontal="center"/>
    </xf>
    <xf numFmtId="177" fontId="8" fillId="0" borderId="0" xfId="6" applyNumberFormat="1" applyFont="1" applyFill="1" applyAlignment="1">
      <alignment horizontal="center"/>
    </xf>
    <xf numFmtId="178" fontId="8" fillId="0" borderId="0" xfId="6" applyNumberFormat="1" applyFont="1" applyFill="1" applyAlignment="1">
      <alignment horizontal="center"/>
    </xf>
    <xf numFmtId="164" fontId="8" fillId="0" borderId="0" xfId="6" applyFont="1" applyFill="1"/>
    <xf numFmtId="170" fontId="8" fillId="0" borderId="0" xfId="0" applyNumberFormat="1" applyFont="1"/>
    <xf numFmtId="1" fontId="8" fillId="0" borderId="0" xfId="0" applyNumberFormat="1" applyFont="1" applyAlignment="1">
      <alignment horizontal="center"/>
    </xf>
    <xf numFmtId="9" fontId="64" fillId="0" borderId="0" xfId="25" applyFont="1" applyFill="1"/>
    <xf numFmtId="0" fontId="8" fillId="0" borderId="0" xfId="0" applyFont="1" applyAlignment="1">
      <alignment horizontal="right"/>
    </xf>
    <xf numFmtId="0" fontId="8" fillId="0" borderId="0" xfId="0" applyFont="1" applyAlignment="1">
      <alignment horizontal="left" indent="12"/>
    </xf>
    <xf numFmtId="0" fontId="0" fillId="12" borderId="0" xfId="0" applyFill="1"/>
    <xf numFmtId="9" fontId="66" fillId="12" borderId="0" xfId="25" applyFont="1" applyFill="1" applyBorder="1"/>
    <xf numFmtId="0" fontId="8" fillId="12" borderId="0" xfId="0" applyFont="1" applyFill="1"/>
    <xf numFmtId="0" fontId="8" fillId="12" borderId="25" xfId="0" applyFont="1" applyFill="1" applyBorder="1"/>
    <xf numFmtId="0" fontId="17" fillId="10" borderId="0" xfId="0" applyFont="1" applyFill="1"/>
    <xf numFmtId="0" fontId="0" fillId="27" borderId="0" xfId="0" applyFill="1"/>
    <xf numFmtId="0" fontId="2" fillId="18" borderId="0" xfId="0" applyFont="1" applyFill="1" applyAlignment="1" applyProtection="1">
      <alignment horizontal="left"/>
      <protection locked="0"/>
    </xf>
    <xf numFmtId="0" fontId="43" fillId="18" borderId="0" xfId="0" applyFont="1" applyFill="1" applyAlignment="1" applyProtection="1">
      <alignment horizontal="left"/>
      <protection locked="0"/>
    </xf>
    <xf numFmtId="0" fontId="43" fillId="18" borderId="0" xfId="0" applyFont="1" applyFill="1" applyAlignment="1" applyProtection="1">
      <alignment horizontal="center"/>
      <protection locked="0"/>
    </xf>
    <xf numFmtId="2" fontId="41" fillId="18" borderId="0" xfId="4" applyNumberFormat="1" applyFont="1" applyFill="1" applyAlignment="1">
      <alignment horizontal="center"/>
    </xf>
    <xf numFmtId="0" fontId="0" fillId="18" borderId="0" xfId="0" applyFill="1"/>
    <xf numFmtId="167" fontId="6" fillId="18" borderId="0" xfId="0" applyNumberFormat="1" applyFont="1" applyFill="1"/>
    <xf numFmtId="9" fontId="58" fillId="18" borderId="26" xfId="25" applyFont="1" applyFill="1" applyBorder="1" applyAlignment="1">
      <alignment horizontal="center"/>
    </xf>
    <xf numFmtId="9" fontId="66" fillId="18" borderId="0" xfId="25" applyFont="1" applyFill="1" applyBorder="1"/>
    <xf numFmtId="0" fontId="8" fillId="18" borderId="0" xfId="0" applyFont="1" applyFill="1"/>
    <xf numFmtId="9" fontId="58" fillId="18" borderId="0" xfId="25" applyFont="1" applyFill="1" applyBorder="1"/>
    <xf numFmtId="0" fontId="8" fillId="18" borderId="25" xfId="0" applyFont="1" applyFill="1" applyBorder="1"/>
    <xf numFmtId="9" fontId="58" fillId="18" borderId="26" xfId="25" applyFont="1" applyFill="1" applyBorder="1"/>
    <xf numFmtId="9" fontId="47" fillId="18" borderId="0" xfId="25" applyFont="1" applyFill="1" applyBorder="1"/>
    <xf numFmtId="0" fontId="2" fillId="18" borderId="25" xfId="0" applyFont="1" applyFill="1" applyBorder="1"/>
    <xf numFmtId="9" fontId="25" fillId="18" borderId="26" xfId="25" applyFont="1" applyFill="1" applyBorder="1"/>
    <xf numFmtId="9" fontId="25" fillId="18" borderId="0" xfId="25" applyFont="1" applyFill="1" applyBorder="1"/>
    <xf numFmtId="9" fontId="25" fillId="18" borderId="25" xfId="25" applyFont="1" applyFill="1" applyBorder="1"/>
    <xf numFmtId="9" fontId="2" fillId="18" borderId="0" xfId="25" applyFont="1" applyFill="1" applyBorder="1"/>
    <xf numFmtId="0" fontId="0" fillId="22" borderId="0" xfId="0" applyFill="1"/>
    <xf numFmtId="0" fontId="7" fillId="22" borderId="0" xfId="0" applyFont="1" applyFill="1"/>
    <xf numFmtId="0" fontId="8" fillId="22" borderId="0" xfId="0" applyFont="1" applyFill="1" applyAlignment="1">
      <alignment horizontal="center"/>
    </xf>
    <xf numFmtId="164" fontId="59" fillId="22" borderId="0" xfId="4" applyNumberFormat="1" applyFont="1" applyFill="1" applyAlignment="1">
      <alignment horizontal="center"/>
    </xf>
    <xf numFmtId="0" fontId="8" fillId="22" borderId="0" xfId="0" applyFont="1" applyFill="1"/>
    <xf numFmtId="0" fontId="2" fillId="22" borderId="0" xfId="0" applyFont="1" applyFill="1"/>
    <xf numFmtId="2" fontId="13" fillId="0" borderId="0" xfId="0" applyNumberFormat="1" applyFont="1"/>
    <xf numFmtId="167" fontId="69" fillId="18" borderId="0" xfId="0" applyNumberFormat="1" applyFont="1" applyFill="1"/>
    <xf numFmtId="2" fontId="69" fillId="18" borderId="0" xfId="4" applyNumberFormat="1" applyFont="1" applyFill="1" applyAlignment="1">
      <alignment horizontal="center"/>
    </xf>
    <xf numFmtId="0" fontId="0" fillId="26" borderId="0" xfId="0" applyFill="1"/>
    <xf numFmtId="0" fontId="13" fillId="26" borderId="0" xfId="0" applyFont="1" applyFill="1"/>
    <xf numFmtId="0" fontId="5" fillId="26" borderId="23" xfId="0" applyFont="1" applyFill="1" applyBorder="1" applyAlignment="1">
      <alignment horizontal="center" wrapText="1"/>
    </xf>
    <xf numFmtId="0" fontId="0" fillId="24" borderId="0" xfId="0" applyFill="1"/>
    <xf numFmtId="0" fontId="13" fillId="24" borderId="0" xfId="0" applyFont="1" applyFill="1"/>
    <xf numFmtId="0" fontId="5" fillId="24" borderId="23" xfId="0" applyFont="1" applyFill="1" applyBorder="1" applyAlignment="1">
      <alignment horizontal="center" wrapText="1"/>
    </xf>
    <xf numFmtId="168" fontId="66" fillId="18" borderId="0" xfId="25" applyNumberFormat="1" applyFont="1" applyFill="1" applyBorder="1"/>
    <xf numFmtId="0" fontId="7" fillId="2" borderId="22" xfId="0" applyFont="1" applyFill="1" applyBorder="1" applyAlignment="1">
      <alignment horizontal="center" wrapText="1"/>
    </xf>
    <xf numFmtId="0" fontId="5" fillId="26" borderId="19" xfId="0" applyFont="1" applyFill="1" applyBorder="1" applyAlignment="1">
      <alignment horizontal="center" wrapText="1"/>
    </xf>
    <xf numFmtId="0" fontId="13" fillId="0" borderId="22" xfId="0" applyFont="1" applyBorder="1" applyAlignment="1">
      <alignment horizontal="center"/>
    </xf>
    <xf numFmtId="168" fontId="15" fillId="0" borderId="22" xfId="28" applyNumberFormat="1" applyFont="1" applyFill="1" applyBorder="1" applyAlignment="1">
      <alignment horizontal="center"/>
    </xf>
    <xf numFmtId="0" fontId="5" fillId="0" borderId="22" xfId="0" applyFont="1" applyBorder="1" applyAlignment="1">
      <alignment horizontal="center" wrapText="1"/>
    </xf>
    <xf numFmtId="2" fontId="41" fillId="18" borderId="22" xfId="4" applyNumberFormat="1" applyFont="1" applyFill="1" applyBorder="1" applyAlignment="1">
      <alignment horizontal="center"/>
    </xf>
    <xf numFmtId="2" fontId="41" fillId="0" borderId="22" xfId="4" applyNumberFormat="1" applyFont="1" applyFill="1" applyBorder="1" applyAlignment="1">
      <alignment horizontal="center"/>
    </xf>
    <xf numFmtId="2" fontId="46" fillId="0" borderId="0" xfId="19" applyNumberFormat="1" applyFont="1" applyAlignment="1">
      <alignment horizontal="center"/>
    </xf>
    <xf numFmtId="2" fontId="46" fillId="18" borderId="0" xfId="19" applyNumberFormat="1" applyFont="1" applyFill="1" applyAlignment="1">
      <alignment horizontal="center"/>
    </xf>
    <xf numFmtId="1" fontId="6" fillId="18" borderId="0" xfId="0" applyNumberFormat="1" applyFont="1" applyFill="1"/>
    <xf numFmtId="2" fontId="5" fillId="2" borderId="0" xfId="0" applyNumberFormat="1" applyFont="1" applyFill="1" applyAlignment="1">
      <alignment horizontal="center" wrapText="1"/>
    </xf>
    <xf numFmtId="2" fontId="5" fillId="3" borderId="23" xfId="0" applyNumberFormat="1" applyFont="1" applyFill="1" applyBorder="1" applyAlignment="1">
      <alignment horizontal="center" wrapText="1"/>
    </xf>
    <xf numFmtId="2" fontId="0" fillId="0" borderId="0" xfId="0" applyNumberFormat="1" applyAlignment="1">
      <alignment horizontal="center" wrapText="1"/>
    </xf>
    <xf numFmtId="2" fontId="43" fillId="0" borderId="0" xfId="0" applyNumberFormat="1" applyFont="1" applyAlignment="1">
      <alignment horizontal="center"/>
    </xf>
    <xf numFmtId="2" fontId="44" fillId="0" borderId="0" xfId="0" applyNumberFormat="1" applyFont="1" applyAlignment="1">
      <alignment horizontal="center" wrapText="1"/>
    </xf>
    <xf numFmtId="0" fontId="38" fillId="2" borderId="0" xfId="0" applyFont="1" applyFill="1" applyAlignment="1">
      <alignment horizontal="center" wrapText="1"/>
    </xf>
    <xf numFmtId="0" fontId="38" fillId="3" borderId="23" xfId="0" applyFont="1" applyFill="1" applyBorder="1" applyAlignment="1">
      <alignment horizontal="center" wrapText="1"/>
    </xf>
    <xf numFmtId="0" fontId="54" fillId="13" borderId="17" xfId="32" applyFill="1" applyBorder="1" applyAlignment="1" applyProtection="1">
      <alignment vertical="top"/>
      <protection locked="0"/>
    </xf>
    <xf numFmtId="0" fontId="2" fillId="25" borderId="0" xfId="32" applyFont="1" applyFill="1" applyAlignment="1" applyProtection="1">
      <alignment vertical="top"/>
      <protection locked="0"/>
    </xf>
    <xf numFmtId="0" fontId="54" fillId="25" borderId="0" xfId="32" applyFill="1" applyAlignment="1" applyProtection="1">
      <alignment vertical="top"/>
      <protection locked="0"/>
    </xf>
    <xf numFmtId="0" fontId="55" fillId="25" borderId="0" xfId="32" applyFont="1" applyFill="1"/>
    <xf numFmtId="0" fontId="54" fillId="25" borderId="0" xfId="32" applyFill="1"/>
    <xf numFmtId="0" fontId="0" fillId="13" borderId="0" xfId="32" applyFont="1" applyFill="1" applyAlignment="1" applyProtection="1">
      <alignment vertical="top"/>
      <protection locked="0"/>
    </xf>
    <xf numFmtId="0" fontId="0" fillId="13" borderId="0" xfId="32" applyFont="1" applyFill="1"/>
    <xf numFmtId="170" fontId="5" fillId="0" borderId="0" xfId="0" applyNumberFormat="1" applyFont="1"/>
    <xf numFmtId="170" fontId="57" fillId="0" borderId="0" xfId="32" applyNumberFormat="1" applyFont="1"/>
    <xf numFmtId="9" fontId="0" fillId="0" borderId="38" xfId="37" applyFont="1" applyFill="1" applyBorder="1" applyAlignment="1" applyProtection="1">
      <alignment vertical="top"/>
      <protection locked="0"/>
    </xf>
    <xf numFmtId="0" fontId="0" fillId="22" borderId="15" xfId="0" applyFill="1" applyBorder="1"/>
    <xf numFmtId="0" fontId="0" fillId="22" borderId="15" xfId="0" applyFill="1" applyBorder="1" applyProtection="1">
      <protection locked="0"/>
    </xf>
    <xf numFmtId="0" fontId="54" fillId="0" borderId="15" xfId="32" applyBorder="1"/>
    <xf numFmtId="170" fontId="0" fillId="0" borderId="15" xfId="38" applyNumberFormat="1" applyFont="1" applyFill="1" applyBorder="1" applyAlignment="1" applyProtection="1">
      <alignment vertical="top"/>
      <protection locked="0"/>
    </xf>
    <xf numFmtId="0" fontId="5" fillId="15" borderId="15" xfId="0" applyFont="1" applyFill="1" applyBorder="1"/>
    <xf numFmtId="0" fontId="5" fillId="15" borderId="15" xfId="0" applyFont="1" applyFill="1" applyBorder="1" applyProtection="1">
      <protection locked="0"/>
    </xf>
    <xf numFmtId="170" fontId="5" fillId="15" borderId="15" xfId="38" applyNumberFormat="1" applyFont="1" applyFill="1" applyBorder="1" applyAlignment="1" applyProtection="1">
      <alignment vertical="top"/>
      <protection locked="0"/>
    </xf>
    <xf numFmtId="0" fontId="5" fillId="0" borderId="15" xfId="0" applyFont="1" applyBorder="1" applyProtection="1">
      <protection locked="0"/>
    </xf>
    <xf numFmtId="170" fontId="5" fillId="0" borderId="15" xfId="38" applyNumberFormat="1" applyFont="1" applyFill="1" applyBorder="1" applyAlignment="1" applyProtection="1">
      <alignment vertical="top"/>
      <protection locked="0"/>
    </xf>
    <xf numFmtId="0" fontId="0" fillId="25" borderId="15" xfId="0" applyFill="1" applyBorder="1"/>
    <xf numFmtId="0" fontId="5" fillId="25" borderId="15" xfId="0" applyFont="1" applyFill="1" applyBorder="1"/>
    <xf numFmtId="0" fontId="0" fillId="25" borderId="0" xfId="0" applyFill="1"/>
    <xf numFmtId="0" fontId="2" fillId="25" borderId="1" xfId="32" applyFont="1" applyFill="1" applyBorder="1" applyAlignment="1" applyProtection="1">
      <alignment vertical="top"/>
      <protection locked="0"/>
    </xf>
    <xf numFmtId="0" fontId="2" fillId="25" borderId="4" xfId="32" applyFont="1" applyFill="1" applyBorder="1" applyAlignment="1" applyProtection="1">
      <alignment vertical="top"/>
      <protection locked="0"/>
    </xf>
    <xf numFmtId="167" fontId="2" fillId="0" borderId="0" xfId="0" applyNumberFormat="1" applyFont="1"/>
    <xf numFmtId="0" fontId="71" fillId="0" borderId="0" xfId="0" applyFont="1"/>
    <xf numFmtId="0" fontId="54" fillId="10" borderId="0" xfId="32" applyFill="1"/>
    <xf numFmtId="0" fontId="0" fillId="31" borderId="0" xfId="0" applyFill="1"/>
    <xf numFmtId="166" fontId="2" fillId="31" borderId="0" xfId="2" applyNumberFormat="1" applyFont="1" applyFill="1" applyAlignment="1">
      <alignment horizontal="center"/>
    </xf>
    <xf numFmtId="166" fontId="2" fillId="31" borderId="0" xfId="4" applyNumberFormat="1" applyFont="1" applyFill="1" applyAlignment="1">
      <alignment horizontal="center"/>
    </xf>
    <xf numFmtId="166" fontId="0" fillId="31" borderId="0" xfId="0" applyNumberFormat="1" applyFill="1" applyAlignment="1">
      <alignment horizontal="center"/>
    </xf>
    <xf numFmtId="0" fontId="54" fillId="0" borderId="1" xfId="32" applyBorder="1"/>
    <xf numFmtId="1" fontId="54" fillId="0" borderId="1" xfId="32" applyNumberFormat="1" applyBorder="1" applyAlignment="1" applyProtection="1">
      <alignment vertical="top"/>
      <protection locked="0"/>
    </xf>
    <xf numFmtId="0" fontId="5" fillId="26" borderId="0" xfId="0" applyFont="1" applyFill="1"/>
    <xf numFmtId="0" fontId="0" fillId="32" borderId="0" xfId="0" applyFill="1"/>
    <xf numFmtId="0" fontId="39" fillId="0" borderId="0" xfId="0" applyFont="1" applyAlignment="1" applyProtection="1">
      <alignment horizontal="left"/>
      <protection locked="0"/>
    </xf>
    <xf numFmtId="0" fontId="39" fillId="0" borderId="0" xfId="0" applyFont="1" applyAlignment="1" applyProtection="1">
      <alignment horizontal="center"/>
      <protection locked="0"/>
    </xf>
    <xf numFmtId="9" fontId="63" fillId="0" borderId="0" xfId="25" applyFont="1" applyFill="1" applyBorder="1"/>
    <xf numFmtId="9" fontId="63" fillId="18" borderId="0" xfId="25" applyFont="1" applyFill="1" applyBorder="1"/>
    <xf numFmtId="0" fontId="63" fillId="0" borderId="25" xfId="0" applyFont="1" applyBorder="1"/>
    <xf numFmtId="0" fontId="0" fillId="9" borderId="0" xfId="0" applyFill="1"/>
    <xf numFmtId="0" fontId="0" fillId="34" borderId="0" xfId="0" applyFill="1"/>
    <xf numFmtId="1" fontId="54" fillId="0" borderId="9" xfId="32" applyNumberFormat="1" applyBorder="1" applyAlignment="1" applyProtection="1">
      <alignment vertical="top"/>
      <protection locked="0"/>
    </xf>
    <xf numFmtId="0" fontId="54" fillId="35" borderId="17" xfId="0" applyFont="1" applyFill="1" applyBorder="1" applyAlignment="1" applyProtection="1">
      <alignment vertical="top"/>
      <protection locked="0"/>
    </xf>
    <xf numFmtId="1" fontId="54" fillId="0" borderId="6" xfId="32" applyNumberFormat="1" applyBorder="1" applyAlignment="1" applyProtection="1">
      <alignment vertical="top"/>
      <protection locked="0"/>
    </xf>
    <xf numFmtId="0" fontId="54" fillId="13" borderId="8" xfId="32" applyFill="1" applyBorder="1" applyAlignment="1" applyProtection="1">
      <alignment vertical="top"/>
      <protection locked="0"/>
    </xf>
    <xf numFmtId="0" fontId="54" fillId="13" borderId="10" xfId="32" applyFill="1" applyBorder="1" applyAlignment="1" applyProtection="1">
      <alignment vertical="top"/>
      <protection locked="0"/>
    </xf>
    <xf numFmtId="0" fontId="54" fillId="13" borderId="5" xfId="32" applyFill="1" applyBorder="1" applyAlignment="1" applyProtection="1">
      <alignment vertical="top"/>
      <protection locked="0"/>
    </xf>
    <xf numFmtId="0" fontId="54" fillId="13" borderId="4" xfId="32" applyFill="1" applyBorder="1" applyAlignment="1" applyProtection="1">
      <alignment vertical="top"/>
      <protection locked="0"/>
    </xf>
    <xf numFmtId="0" fontId="50" fillId="36" borderId="0" xfId="0" applyFont="1" applyFill="1"/>
    <xf numFmtId="0" fontId="2" fillId="36" borderId="0" xfId="0" applyFont="1" applyFill="1"/>
    <xf numFmtId="0" fontId="0" fillId="36" borderId="0" xfId="0" applyFill="1"/>
    <xf numFmtId="0" fontId="2" fillId="26" borderId="0" xfId="0" applyFont="1" applyFill="1"/>
    <xf numFmtId="0" fontId="49" fillId="9" borderId="0" xfId="0" applyFont="1" applyFill="1"/>
    <xf numFmtId="0" fontId="2" fillId="9" borderId="0" xfId="0" applyFont="1" applyFill="1"/>
    <xf numFmtId="0" fontId="50" fillId="9" borderId="0" xfId="0" applyFont="1" applyFill="1"/>
    <xf numFmtId="2" fontId="7" fillId="0" borderId="0" xfId="0" applyNumberFormat="1" applyFont="1" applyAlignment="1">
      <alignment horizontal="center"/>
    </xf>
    <xf numFmtId="2" fontId="2" fillId="0" borderId="0" xfId="0" applyNumberFormat="1" applyFont="1" applyAlignment="1" applyProtection="1">
      <alignment horizontal="center"/>
      <protection locked="0"/>
    </xf>
    <xf numFmtId="2" fontId="2" fillId="0" borderId="0" xfId="0" applyNumberFormat="1" applyFont="1"/>
    <xf numFmtId="2" fontId="2" fillId="22" borderId="0" xfId="0" applyNumberFormat="1" applyFont="1" applyFill="1"/>
    <xf numFmtId="2" fontId="8" fillId="0" borderId="26" xfId="0" applyNumberFormat="1" applyFont="1" applyBorder="1"/>
    <xf numFmtId="2" fontId="7" fillId="3" borderId="20" xfId="0" applyNumberFormat="1" applyFont="1" applyFill="1" applyBorder="1" applyAlignment="1">
      <alignment horizontal="center" wrapText="1"/>
    </xf>
    <xf numFmtId="2" fontId="5" fillId="0" borderId="0" xfId="0" applyNumberFormat="1" applyFont="1"/>
    <xf numFmtId="166" fontId="5" fillId="0" borderId="0" xfId="0" applyNumberFormat="1" applyFont="1"/>
    <xf numFmtId="168" fontId="0" fillId="0" borderId="0" xfId="25" applyNumberFormat="1" applyFont="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2" fillId="2" borderId="16" xfId="263" applyAlignment="1">
      <alignment vertical="center" wrapText="1"/>
      <protection locked="0"/>
    </xf>
    <xf numFmtId="0" fontId="2" fillId="29" borderId="0" xfId="262">
      <protection locked="0"/>
    </xf>
    <xf numFmtId="0" fontId="30" fillId="0" borderId="0" xfId="13" applyAlignment="1" applyProtection="1">
      <protection locked="0"/>
    </xf>
    <xf numFmtId="0" fontId="0" fillId="38" borderId="0" xfId="0" applyFill="1" applyProtection="1">
      <protection locked="0"/>
    </xf>
    <xf numFmtId="0" fontId="0" fillId="38" borderId="0" xfId="0" applyFill="1"/>
    <xf numFmtId="0" fontId="0" fillId="38" borderId="15" xfId="0" applyFill="1" applyBorder="1" applyProtection="1">
      <protection locked="0"/>
    </xf>
    <xf numFmtId="0" fontId="0" fillId="38" borderId="15" xfId="0" applyFill="1" applyBorder="1"/>
    <xf numFmtId="2" fontId="0" fillId="38" borderId="15" xfId="0" applyNumberFormat="1" applyFill="1" applyBorder="1"/>
    <xf numFmtId="2" fontId="0" fillId="38" borderId="15" xfId="25" applyNumberFormat="1" applyFont="1" applyFill="1" applyBorder="1"/>
    <xf numFmtId="0" fontId="5" fillId="38" borderId="15" xfId="0" applyFont="1" applyFill="1" applyBorder="1" applyProtection="1">
      <protection locked="0"/>
    </xf>
    <xf numFmtId="0" fontId="5" fillId="38" borderId="15" xfId="0" applyFont="1" applyFill="1" applyBorder="1"/>
    <xf numFmtId="43" fontId="0" fillId="0" borderId="0" xfId="0" applyNumberFormat="1"/>
    <xf numFmtId="10" fontId="66" fillId="18" borderId="0" xfId="25" applyNumberFormat="1" applyFont="1" applyFill="1" applyBorder="1"/>
    <xf numFmtId="10" fontId="66" fillId="0" borderId="0" xfId="25" applyNumberFormat="1" applyFont="1" applyFill="1" applyBorder="1"/>
    <xf numFmtId="0" fontId="0" fillId="32" borderId="0" xfId="0" applyFill="1" applyAlignment="1">
      <alignment horizontal="right"/>
    </xf>
    <xf numFmtId="167" fontId="0" fillId="32" borderId="0" xfId="0" applyNumberFormat="1" applyFill="1" applyAlignment="1">
      <alignment horizontal="left"/>
    </xf>
    <xf numFmtId="0" fontId="0" fillId="16" borderId="0" xfId="0" applyFill="1" applyAlignment="1">
      <alignment wrapText="1"/>
    </xf>
    <xf numFmtId="9" fontId="0" fillId="16" borderId="0" xfId="25" applyFont="1" applyFill="1" applyAlignment="1">
      <alignment wrapText="1"/>
    </xf>
    <xf numFmtId="0" fontId="5" fillId="22" borderId="0" xfId="0" applyFont="1" applyFill="1"/>
    <xf numFmtId="1" fontId="5" fillId="22" borderId="0" xfId="0" applyNumberFormat="1" applyFont="1" applyFill="1"/>
    <xf numFmtId="0" fontId="0" fillId="22" borderId="0" xfId="0" applyFill="1" applyAlignment="1">
      <alignment wrapText="1"/>
    </xf>
    <xf numFmtId="0" fontId="5" fillId="22" borderId="0" xfId="0" applyFont="1" applyFill="1" applyAlignment="1">
      <alignment wrapText="1"/>
    </xf>
    <xf numFmtId="1" fontId="2" fillId="29" borderId="0" xfId="262" applyNumberFormat="1">
      <protection locked="0"/>
    </xf>
    <xf numFmtId="166" fontId="0" fillId="0" borderId="0" xfId="0" applyNumberFormat="1" applyProtection="1">
      <protection locked="0"/>
    </xf>
    <xf numFmtId="1" fontId="0" fillId="9" borderId="0" xfId="0" applyNumberFormat="1" applyFill="1"/>
    <xf numFmtId="0" fontId="5" fillId="22" borderId="0" xfId="0" applyFont="1" applyFill="1" applyAlignment="1">
      <alignment horizontal="center" wrapText="1"/>
    </xf>
    <xf numFmtId="0" fontId="5" fillId="28" borderId="0" xfId="0" applyFont="1" applyFill="1"/>
    <xf numFmtId="9" fontId="5" fillId="28" borderId="0" xfId="25" applyFont="1" applyFill="1"/>
    <xf numFmtId="0" fontId="0" fillId="39" borderId="0" xfId="0" applyFill="1"/>
    <xf numFmtId="0" fontId="72" fillId="0" borderId="0" xfId="0" applyFont="1"/>
    <xf numFmtId="0" fontId="5" fillId="39" borderId="0" xfId="0" applyFont="1" applyFill="1"/>
    <xf numFmtId="0" fontId="5" fillId="32" borderId="0" xfId="0" applyFont="1" applyFill="1"/>
    <xf numFmtId="166" fontId="36" fillId="0" borderId="0" xfId="0" applyNumberFormat="1" applyFont="1"/>
    <xf numFmtId="168" fontId="0" fillId="32" borderId="0" xfId="25" applyNumberFormat="1" applyFont="1" applyFill="1"/>
    <xf numFmtId="166" fontId="0" fillId="39" borderId="0" xfId="0" applyNumberFormat="1" applyFill="1"/>
    <xf numFmtId="1" fontId="0" fillId="32" borderId="0" xfId="0" applyNumberFormat="1" applyFill="1"/>
    <xf numFmtId="1" fontId="0" fillId="32" borderId="0" xfId="25" applyNumberFormat="1" applyFont="1" applyFill="1"/>
    <xf numFmtId="0" fontId="0" fillId="14" borderId="0" xfId="0" applyFill="1"/>
    <xf numFmtId="0" fontId="5" fillId="12" borderId="0" xfId="0" applyFont="1" applyFill="1"/>
    <xf numFmtId="0" fontId="67" fillId="41" borderId="15" xfId="0" applyFont="1" applyFill="1" applyBorder="1" applyAlignment="1">
      <alignment horizontal="center" vertical="center" wrapText="1"/>
    </xf>
    <xf numFmtId="0" fontId="67" fillId="41" borderId="15" xfId="0" applyFont="1" applyFill="1" applyBorder="1" applyAlignment="1">
      <alignment horizontal="right" vertical="center" wrapText="1"/>
    </xf>
    <xf numFmtId="179" fontId="67" fillId="0" borderId="15" xfId="0" applyNumberFormat="1" applyFont="1" applyBorder="1" applyAlignment="1">
      <alignment horizontal="center" vertical="center"/>
    </xf>
    <xf numFmtId="0" fontId="40" fillId="0" borderId="0" xfId="0" applyFont="1"/>
    <xf numFmtId="179" fontId="40" fillId="0" borderId="15" xfId="0" applyNumberFormat="1" applyFont="1" applyBorder="1" applyAlignment="1">
      <alignment horizontal="center" vertical="center"/>
    </xf>
    <xf numFmtId="3" fontId="0" fillId="0" borderId="0" xfId="0" applyNumberFormat="1" applyAlignment="1">
      <alignment vertical="center" wrapText="1"/>
    </xf>
    <xf numFmtId="0" fontId="5" fillId="0" borderId="0" xfId="0" applyFont="1" applyAlignment="1">
      <alignment horizontal="center" vertical="center" wrapText="1"/>
    </xf>
    <xf numFmtId="4" fontId="0" fillId="0" borderId="0" xfId="0" applyNumberFormat="1"/>
    <xf numFmtId="0" fontId="74" fillId="22" borderId="0" xfId="0" applyFont="1" applyFill="1"/>
    <xf numFmtId="0" fontId="76" fillId="22" borderId="0" xfId="0" applyFont="1" applyFill="1"/>
    <xf numFmtId="2" fontId="61" fillId="9" borderId="31" xfId="5" applyNumberFormat="1" applyFont="1" applyFill="1" applyBorder="1"/>
    <xf numFmtId="0" fontId="61" fillId="9" borderId="32" xfId="5" applyFont="1" applyFill="1" applyBorder="1"/>
    <xf numFmtId="0" fontId="8" fillId="9" borderId="27" xfId="21" applyFont="1" applyFill="1" applyBorder="1"/>
    <xf numFmtId="0" fontId="8" fillId="9" borderId="27" xfId="0" applyFont="1" applyFill="1" applyBorder="1"/>
    <xf numFmtId="0" fontId="8" fillId="9" borderId="28" xfId="0" applyFont="1" applyFill="1" applyBorder="1"/>
    <xf numFmtId="2" fontId="8" fillId="9" borderId="26" xfId="0" applyNumberFormat="1" applyFont="1" applyFill="1" applyBorder="1"/>
    <xf numFmtId="0" fontId="8" fillId="9" borderId="0" xfId="0" applyFont="1" applyFill="1"/>
    <xf numFmtId="0" fontId="8" fillId="9" borderId="25" xfId="0" applyFont="1" applyFill="1" applyBorder="1"/>
    <xf numFmtId="2" fontId="61" fillId="9" borderId="33" xfId="5" applyNumberFormat="1" applyFont="1" applyFill="1" applyBorder="1"/>
    <xf numFmtId="9" fontId="62" fillId="9" borderId="30" xfId="17" applyNumberFormat="1" applyFont="1" applyFill="1"/>
    <xf numFmtId="0" fontId="61" fillId="9" borderId="30" xfId="5" applyFont="1" applyFill="1"/>
    <xf numFmtId="9" fontId="8" fillId="9" borderId="0" xfId="0" applyNumberFormat="1" applyFont="1" applyFill="1"/>
    <xf numFmtId="0" fontId="8" fillId="33" borderId="0" xfId="0" applyFont="1" applyFill="1"/>
    <xf numFmtId="9" fontId="77" fillId="0" borderId="0" xfId="0" applyNumberFormat="1" applyFont="1"/>
    <xf numFmtId="1" fontId="6" fillId="18" borderId="0" xfId="25" applyNumberFormat="1" applyFont="1" applyFill="1"/>
    <xf numFmtId="1" fontId="6" fillId="42" borderId="0" xfId="0" applyNumberFormat="1" applyFont="1" applyFill="1"/>
    <xf numFmtId="0" fontId="0" fillId="32" borderId="17" xfId="0" applyFill="1" applyBorder="1"/>
    <xf numFmtId="0" fontId="0" fillId="32" borderId="2" xfId="0" applyFill="1" applyBorder="1"/>
    <xf numFmtId="0" fontId="0" fillId="32" borderId="4" xfId="0" applyFill="1" applyBorder="1"/>
    <xf numFmtId="168" fontId="0" fillId="38" borderId="0" xfId="25" applyNumberFormat="1" applyFont="1" applyFill="1"/>
    <xf numFmtId="166" fontId="0" fillId="38" borderId="0" xfId="0" applyNumberFormat="1" applyFill="1"/>
    <xf numFmtId="1" fontId="0" fillId="38" borderId="0" xfId="0" applyNumberFormat="1" applyFill="1"/>
    <xf numFmtId="166" fontId="5" fillId="38" borderId="0" xfId="0" applyNumberFormat="1" applyFont="1" applyFill="1"/>
    <xf numFmtId="1" fontId="5" fillId="38" borderId="0" xfId="0" applyNumberFormat="1" applyFont="1" applyFill="1"/>
    <xf numFmtId="1" fontId="36" fillId="38" borderId="0" xfId="0" applyNumberFormat="1" applyFont="1" applyFill="1"/>
    <xf numFmtId="9" fontId="0" fillId="32" borderId="0" xfId="25" applyFont="1" applyFill="1"/>
    <xf numFmtId="9" fontId="1" fillId="32" borderId="0" xfId="25" applyFont="1" applyFill="1"/>
    <xf numFmtId="10" fontId="0" fillId="32" borderId="0" xfId="25" applyNumberFormat="1" applyFont="1" applyFill="1"/>
    <xf numFmtId="0" fontId="5" fillId="38" borderId="0" xfId="0" applyFont="1" applyFill="1"/>
    <xf numFmtId="168" fontId="0" fillId="32" borderId="0" xfId="0" applyNumberFormat="1" applyFill="1"/>
    <xf numFmtId="0" fontId="8" fillId="33" borderId="0" xfId="21" applyFont="1" applyFill="1"/>
    <xf numFmtId="0" fontId="7" fillId="3" borderId="0" xfId="0" applyFont="1" applyFill="1" applyAlignment="1">
      <alignment horizontal="center" wrapText="1"/>
    </xf>
    <xf numFmtId="0" fontId="63" fillId="9" borderId="27" xfId="21" applyFont="1" applyFill="1" applyBorder="1"/>
    <xf numFmtId="0" fontId="51" fillId="0" borderId="0" xfId="0" applyFont="1"/>
    <xf numFmtId="167" fontId="0" fillId="39" borderId="0" xfId="0" applyNumberFormat="1" applyFill="1"/>
    <xf numFmtId="167" fontId="0" fillId="39" borderId="0" xfId="25" applyNumberFormat="1" applyFont="1" applyFill="1"/>
    <xf numFmtId="0" fontId="6" fillId="18" borderId="0" xfId="0" applyFont="1" applyFill="1"/>
    <xf numFmtId="9" fontId="0" fillId="39" borderId="0" xfId="25" applyFont="1" applyFill="1"/>
    <xf numFmtId="10" fontId="0" fillId="39" borderId="0" xfId="25" applyNumberFormat="1" applyFont="1" applyFill="1"/>
    <xf numFmtId="0" fontId="5" fillId="21" borderId="0" xfId="0" applyFont="1" applyFill="1"/>
    <xf numFmtId="167" fontId="0" fillId="18" borderId="0" xfId="0" applyNumberFormat="1" applyFill="1"/>
    <xf numFmtId="168" fontId="66" fillId="0" borderId="0" xfId="25" applyNumberFormat="1" applyFont="1" applyFill="1" applyBorder="1"/>
    <xf numFmtId="168" fontId="8" fillId="0" borderId="0" xfId="25" applyNumberFormat="1" applyFont="1" applyFill="1" applyBorder="1"/>
    <xf numFmtId="0" fontId="0" fillId="43" borderId="0" xfId="0" applyFill="1"/>
    <xf numFmtId="2" fontId="6" fillId="18" borderId="0" xfId="0" applyNumberFormat="1" applyFont="1" applyFill="1"/>
    <xf numFmtId="168" fontId="0" fillId="0" borderId="0" xfId="28" applyNumberFormat="1" applyFont="1"/>
    <xf numFmtId="0" fontId="78" fillId="0" borderId="0" xfId="0" applyFont="1"/>
    <xf numFmtId="0" fontId="39" fillId="32" borderId="0" xfId="0" applyFont="1" applyFill="1"/>
    <xf numFmtId="0" fontId="79" fillId="0" borderId="0" xfId="0" applyFont="1"/>
    <xf numFmtId="168" fontId="0" fillId="0" borderId="15" xfId="25" applyNumberFormat="1" applyFont="1" applyBorder="1"/>
    <xf numFmtId="0" fontId="39" fillId="12" borderId="0" xfId="0" applyFont="1" applyFill="1"/>
    <xf numFmtId="0" fontId="80" fillId="0" borderId="0" xfId="0" applyFont="1"/>
    <xf numFmtId="168" fontId="0" fillId="0" borderId="15" xfId="0" applyNumberFormat="1" applyBorder="1"/>
    <xf numFmtId="0" fontId="0" fillId="0" borderId="0" xfId="0" applyAlignment="1">
      <alignment horizontal="right"/>
    </xf>
    <xf numFmtId="168" fontId="24" fillId="5" borderId="0" xfId="2" applyNumberFormat="1" applyBorder="1"/>
    <xf numFmtId="9" fontId="8" fillId="26" borderId="15" xfId="25" applyFont="1" applyFill="1" applyBorder="1" applyAlignment="1">
      <alignment horizontal="center"/>
    </xf>
    <xf numFmtId="0" fontId="8" fillId="26" borderId="15" xfId="0" applyFont="1" applyFill="1" applyBorder="1" applyAlignment="1">
      <alignment horizontal="center"/>
    </xf>
    <xf numFmtId="0" fontId="0" fillId="26" borderId="15" xfId="0" applyFill="1" applyBorder="1"/>
    <xf numFmtId="0" fontId="0" fillId="24" borderId="15" xfId="0" applyFill="1" applyBorder="1"/>
    <xf numFmtId="166" fontId="8" fillId="24" borderId="15" xfId="0" applyNumberFormat="1" applyFont="1" applyFill="1" applyBorder="1"/>
    <xf numFmtId="166" fontId="63" fillId="24" borderId="15" xfId="0" applyNumberFormat="1" applyFont="1" applyFill="1" applyBorder="1"/>
    <xf numFmtId="167" fontId="8" fillId="24" borderId="15" xfId="0" applyNumberFormat="1" applyFont="1" applyFill="1" applyBorder="1"/>
    <xf numFmtId="0" fontId="7" fillId="33" borderId="15" xfId="0" applyFont="1" applyFill="1" applyBorder="1" applyAlignment="1">
      <alignment horizontal="right"/>
    </xf>
    <xf numFmtId="167" fontId="8" fillId="24" borderId="0" xfId="0" applyNumberFormat="1" applyFont="1" applyFill="1"/>
    <xf numFmtId="166" fontId="63" fillId="24" borderId="0" xfId="0" applyNumberFormat="1" applyFont="1" applyFill="1"/>
    <xf numFmtId="166" fontId="8" fillId="24" borderId="0" xfId="0" applyNumberFormat="1" applyFont="1" applyFill="1"/>
    <xf numFmtId="43" fontId="54" fillId="0" borderId="0" xfId="32" applyNumberFormat="1"/>
    <xf numFmtId="9" fontId="54" fillId="0" borderId="0" xfId="25" applyFont="1"/>
    <xf numFmtId="9" fontId="54" fillId="0" borderId="0" xfId="32" applyNumberFormat="1"/>
    <xf numFmtId="1" fontId="54" fillId="0" borderId="0" xfId="32" applyNumberFormat="1"/>
    <xf numFmtId="0" fontId="57" fillId="0" borderId="0" xfId="32" applyFont="1"/>
    <xf numFmtId="0" fontId="2" fillId="22" borderId="8" xfId="32" applyFont="1" applyFill="1" applyBorder="1" applyAlignment="1" applyProtection="1">
      <alignment horizontal="center" vertical="top"/>
      <protection locked="0"/>
    </xf>
    <xf numFmtId="0" fontId="2" fillId="22" borderId="10" xfId="32" applyFont="1" applyFill="1" applyBorder="1" applyAlignment="1" applyProtection="1">
      <alignment horizontal="center" vertical="top"/>
      <protection locked="0"/>
    </xf>
    <xf numFmtId="0" fontId="2" fillId="22" borderId="5" xfId="32" applyFont="1" applyFill="1" applyBorder="1" applyAlignment="1" applyProtection="1">
      <alignment horizontal="center" vertical="top"/>
      <protection locked="0"/>
    </xf>
    <xf numFmtId="0" fontId="5" fillId="26" borderId="15" xfId="0" applyFont="1" applyFill="1" applyBorder="1" applyProtection="1">
      <protection locked="0"/>
    </xf>
    <xf numFmtId="0" fontId="57" fillId="44" borderId="14" xfId="32" applyFont="1" applyFill="1" applyBorder="1"/>
    <xf numFmtId="0" fontId="82" fillId="0" borderId="0" xfId="32" applyFont="1"/>
    <xf numFmtId="180" fontId="54" fillId="0" borderId="0" xfId="32" applyNumberFormat="1"/>
    <xf numFmtId="182" fontId="54" fillId="0" borderId="0" xfId="32" applyNumberFormat="1"/>
    <xf numFmtId="0" fontId="2" fillId="13" borderId="0" xfId="32" applyFont="1" applyFill="1"/>
    <xf numFmtId="182" fontId="54" fillId="45" borderId="0" xfId="32" applyNumberFormat="1" applyFill="1"/>
    <xf numFmtId="9" fontId="83" fillId="0" borderId="0" xfId="25" applyFont="1"/>
    <xf numFmtId="0" fontId="54" fillId="0" borderId="0" xfId="32" applyAlignment="1">
      <alignment wrapText="1"/>
    </xf>
    <xf numFmtId="0" fontId="57" fillId="44" borderId="14" xfId="32" applyFont="1" applyFill="1" applyBorder="1" applyAlignment="1">
      <alignment wrapText="1"/>
    </xf>
    <xf numFmtId="0" fontId="5" fillId="26" borderId="0" xfId="0" applyFont="1" applyFill="1" applyAlignment="1" applyProtection="1">
      <alignment wrapText="1"/>
      <protection locked="0"/>
    </xf>
    <xf numFmtId="0" fontId="2" fillId="0" borderId="0" xfId="0" applyFont="1" applyAlignment="1">
      <alignment wrapText="1"/>
    </xf>
    <xf numFmtId="0" fontId="57" fillId="0" borderId="29" xfId="32" applyFont="1" applyBorder="1"/>
    <xf numFmtId="9" fontId="54" fillId="0" borderId="0" xfId="25" applyFont="1" applyFill="1"/>
    <xf numFmtId="181" fontId="54" fillId="0" borderId="0" xfId="32" applyNumberFormat="1"/>
    <xf numFmtId="1" fontId="54" fillId="0" borderId="9" xfId="32" applyNumberFormat="1" applyBorder="1" applyAlignment="1" applyProtection="1">
      <alignment vertical="top" wrapText="1"/>
      <protection locked="0"/>
    </xf>
    <xf numFmtId="0" fontId="2" fillId="13" borderId="2" xfId="32" applyFont="1" applyFill="1" applyBorder="1" applyAlignment="1" applyProtection="1">
      <alignment vertical="top" wrapText="1"/>
      <protection locked="0"/>
    </xf>
    <xf numFmtId="0" fontId="2" fillId="0" borderId="1" xfId="32" applyFont="1" applyBorder="1" applyAlignment="1" applyProtection="1">
      <alignment vertical="top" wrapText="1"/>
      <protection locked="0"/>
    </xf>
    <xf numFmtId="0" fontId="2" fillId="0" borderId="4" xfId="32" applyFont="1" applyBorder="1" applyAlignment="1" applyProtection="1">
      <alignment vertical="top" wrapText="1"/>
      <protection locked="0"/>
    </xf>
    <xf numFmtId="10" fontId="83" fillId="0" borderId="0" xfId="25" applyNumberFormat="1" applyFont="1"/>
    <xf numFmtId="168" fontId="54" fillId="0" borderId="0" xfId="25" applyNumberFormat="1" applyFont="1"/>
    <xf numFmtId="0" fontId="2" fillId="22" borderId="15" xfId="0" applyFont="1" applyFill="1" applyBorder="1" applyProtection="1">
      <protection locked="0"/>
    </xf>
    <xf numFmtId="179" fontId="0" fillId="0" borderId="0" xfId="0" applyNumberFormat="1"/>
    <xf numFmtId="2" fontId="41" fillId="0" borderId="0" xfId="4" applyNumberFormat="1" applyFont="1" applyFill="1" applyBorder="1" applyAlignment="1">
      <alignment horizontal="center"/>
    </xf>
    <xf numFmtId="9" fontId="58" fillId="0" borderId="0" xfId="25" applyFont="1" applyBorder="1" applyAlignment="1">
      <alignment horizontal="center"/>
    </xf>
    <xf numFmtId="0" fontId="38" fillId="3" borderId="0" xfId="0" applyFont="1" applyFill="1" applyAlignment="1">
      <alignment horizontal="center" wrapText="1"/>
    </xf>
    <xf numFmtId="2" fontId="7" fillId="3" borderId="26" xfId="0" applyNumberFormat="1" applyFont="1" applyFill="1" applyBorder="1" applyAlignment="1">
      <alignment horizontal="center" wrapText="1"/>
    </xf>
    <xf numFmtId="0" fontId="7" fillId="3" borderId="25" xfId="0" applyFont="1" applyFill="1" applyBorder="1" applyAlignment="1">
      <alignment horizontal="center" wrapText="1"/>
    </xf>
    <xf numFmtId="1" fontId="66" fillId="0" borderId="0" xfId="25" applyNumberFormat="1" applyFont="1" applyFill="1" applyBorder="1"/>
    <xf numFmtId="183" fontId="0" fillId="0" borderId="0" xfId="25" applyNumberFormat="1" applyFont="1"/>
    <xf numFmtId="0" fontId="5" fillId="18" borderId="0" xfId="0" applyFont="1" applyFill="1"/>
    <xf numFmtId="10" fontId="8" fillId="9" borderId="0" xfId="0" applyNumberFormat="1" applyFont="1" applyFill="1"/>
    <xf numFmtId="168" fontId="0" fillId="0" borderId="0" xfId="0" applyNumberFormat="1"/>
    <xf numFmtId="184" fontId="0" fillId="0" borderId="0" xfId="0" applyNumberFormat="1"/>
    <xf numFmtId="9" fontId="54" fillId="9" borderId="0" xfId="25" applyFont="1" applyFill="1"/>
    <xf numFmtId="1" fontId="57" fillId="9" borderId="0" xfId="25" applyNumberFormat="1" applyFont="1" applyFill="1"/>
    <xf numFmtId="1" fontId="54" fillId="0" borderId="0" xfId="32" applyNumberFormat="1" applyAlignment="1">
      <alignment wrapText="1"/>
    </xf>
    <xf numFmtId="168" fontId="54" fillId="0" borderId="0" xfId="32" applyNumberFormat="1"/>
    <xf numFmtId="184" fontId="54" fillId="0" borderId="0" xfId="25" applyNumberFormat="1" applyFont="1"/>
    <xf numFmtId="10" fontId="8" fillId="9" borderId="26" xfId="25" applyNumberFormat="1" applyFont="1" applyFill="1" applyBorder="1"/>
    <xf numFmtId="184" fontId="66" fillId="0" borderId="0" xfId="25" applyNumberFormat="1" applyFont="1" applyFill="1" applyBorder="1"/>
    <xf numFmtId="168" fontId="8" fillId="9" borderId="0" xfId="25" applyNumberFormat="1" applyFont="1" applyFill="1" applyBorder="1"/>
    <xf numFmtId="9" fontId="85" fillId="0" borderId="0" xfId="25" applyFont="1" applyFill="1" applyBorder="1"/>
    <xf numFmtId="10" fontId="85" fillId="0" borderId="0" xfId="25" applyNumberFormat="1" applyFont="1" applyFill="1" applyBorder="1"/>
    <xf numFmtId="168" fontId="85" fillId="18" borderId="0" xfId="25" applyNumberFormat="1" applyFont="1" applyFill="1" applyBorder="1"/>
    <xf numFmtId="184" fontId="85" fillId="0" borderId="0" xfId="25" applyNumberFormat="1" applyFont="1" applyFill="1" applyBorder="1"/>
    <xf numFmtId="9" fontId="8" fillId="12" borderId="0" xfId="25" applyFont="1" applyFill="1" applyBorder="1"/>
    <xf numFmtId="166" fontId="8" fillId="24" borderId="26" xfId="0" applyNumberFormat="1" applyFont="1" applyFill="1" applyBorder="1"/>
    <xf numFmtId="166" fontId="8" fillId="24" borderId="22" xfId="0" applyNumberFormat="1" applyFont="1" applyFill="1" applyBorder="1"/>
    <xf numFmtId="0" fontId="57" fillId="0" borderId="0" xfId="32" applyFont="1" applyAlignment="1">
      <alignment wrapText="1"/>
    </xf>
    <xf numFmtId="166" fontId="5" fillId="24" borderId="0" xfId="0" applyNumberFormat="1" applyFont="1" applyFill="1"/>
    <xf numFmtId="166" fontId="2" fillId="24" borderId="0" xfId="0" applyNumberFormat="1" applyFont="1" applyFill="1"/>
    <xf numFmtId="10" fontId="86" fillId="46" borderId="0" xfId="1160" applyNumberFormat="1" applyBorder="1"/>
    <xf numFmtId="9" fontId="86" fillId="46" borderId="0" xfId="1160" applyNumberFormat="1"/>
    <xf numFmtId="9" fontId="86" fillId="46" borderId="0" xfId="1160" applyNumberFormat="1" applyBorder="1"/>
    <xf numFmtId="0" fontId="38" fillId="0" borderId="0" xfId="0" applyFont="1"/>
    <xf numFmtId="0" fontId="87" fillId="47" borderId="39" xfId="0" applyFont="1" applyFill="1" applyBorder="1"/>
    <xf numFmtId="0" fontId="88" fillId="47" borderId="39" xfId="0" applyFont="1" applyFill="1" applyBorder="1" applyAlignment="1">
      <alignment horizontal="center" vertical="center"/>
    </xf>
    <xf numFmtId="0" fontId="88" fillId="0" borderId="39" xfId="0" applyFont="1" applyBorder="1" applyAlignment="1">
      <alignment vertical="center"/>
    </xf>
    <xf numFmtId="0" fontId="87" fillId="0" borderId="39" xfId="0" applyFont="1" applyBorder="1"/>
    <xf numFmtId="0" fontId="42" fillId="0" borderId="0" xfId="0" applyFont="1" applyAlignment="1">
      <alignment horizontal="left" vertical="center" indent="1"/>
    </xf>
    <xf numFmtId="0" fontId="42" fillId="0" borderId="0" xfId="0" applyFont="1" applyAlignment="1">
      <alignment horizontal="center" vertical="center"/>
    </xf>
    <xf numFmtId="0" fontId="88" fillId="0" borderId="40" xfId="0" applyFont="1" applyBorder="1" applyAlignment="1">
      <alignment vertical="center"/>
    </xf>
    <xf numFmtId="0" fontId="87" fillId="0" borderId="40" xfId="0" applyFont="1" applyBorder="1"/>
    <xf numFmtId="185" fontId="66" fillId="0" borderId="0" xfId="25" applyNumberFormat="1" applyFont="1" applyFill="1" applyBorder="1"/>
    <xf numFmtId="0" fontId="2" fillId="25" borderId="15" xfId="0" applyFont="1" applyFill="1" applyBorder="1"/>
    <xf numFmtId="0" fontId="54" fillId="32" borderId="0" xfId="32" applyFill="1"/>
    <xf numFmtId="0" fontId="54" fillId="12" borderId="0" xfId="32" applyFill="1"/>
    <xf numFmtId="9" fontId="54" fillId="12" borderId="0" xfId="25" applyFont="1" applyFill="1"/>
    <xf numFmtId="9" fontId="54" fillId="12" borderId="0" xfId="32" applyNumberFormat="1" applyFill="1"/>
    <xf numFmtId="0" fontId="54" fillId="18" borderId="0" xfId="32" applyFill="1"/>
    <xf numFmtId="9" fontId="54" fillId="18" borderId="0" xfId="25" applyFont="1" applyFill="1"/>
    <xf numFmtId="0" fontId="82" fillId="38" borderId="7" xfId="32" applyFont="1" applyFill="1" applyBorder="1" applyAlignment="1">
      <alignment wrapText="1"/>
    </xf>
    <xf numFmtId="0" fontId="54" fillId="38" borderId="7" xfId="32" applyFill="1" applyBorder="1"/>
    <xf numFmtId="43" fontId="54" fillId="38" borderId="7" xfId="32" applyNumberFormat="1" applyFill="1" applyBorder="1"/>
    <xf numFmtId="0" fontId="82" fillId="48" borderId="0" xfId="32" applyFont="1" applyFill="1"/>
    <xf numFmtId="0" fontId="54" fillId="48" borderId="0" xfId="32" applyFill="1"/>
    <xf numFmtId="43" fontId="54" fillId="48" borderId="0" xfId="32" applyNumberFormat="1" applyFill="1"/>
    <xf numFmtId="0" fontId="82" fillId="38" borderId="3" xfId="32" applyFont="1" applyFill="1" applyBorder="1"/>
    <xf numFmtId="0" fontId="54" fillId="38" borderId="3" xfId="32" applyFill="1" applyBorder="1"/>
    <xf numFmtId="43" fontId="54" fillId="38" borderId="3" xfId="32" applyNumberFormat="1" applyFill="1" applyBorder="1"/>
    <xf numFmtId="0" fontId="54" fillId="38" borderId="6" xfId="32" applyFill="1" applyBorder="1" applyAlignment="1">
      <alignment horizontal="right" wrapText="1"/>
    </xf>
    <xf numFmtId="0" fontId="54" fillId="48" borderId="9" xfId="32" applyFill="1" applyBorder="1" applyAlignment="1">
      <alignment horizontal="right" wrapText="1"/>
    </xf>
    <xf numFmtId="0" fontId="54" fillId="38" borderId="11" xfId="32" applyFill="1" applyBorder="1" applyAlignment="1">
      <alignment horizontal="right" wrapText="1"/>
    </xf>
    <xf numFmtId="0" fontId="54" fillId="12" borderId="0" xfId="32" applyFill="1" applyAlignment="1">
      <alignment horizontal="right" wrapText="1"/>
    </xf>
    <xf numFmtId="0" fontId="54" fillId="18" borderId="0" xfId="32" applyFill="1" applyAlignment="1">
      <alignment horizontal="right" wrapText="1"/>
    </xf>
    <xf numFmtId="0" fontId="91" fillId="32" borderId="0" xfId="32" applyFont="1" applyFill="1"/>
    <xf numFmtId="0" fontId="54" fillId="37" borderId="0" xfId="32" applyFill="1" applyAlignment="1">
      <alignment horizontal="right"/>
    </xf>
    <xf numFmtId="0" fontId="54" fillId="37" borderId="0" xfId="32" applyFill="1"/>
    <xf numFmtId="9" fontId="54" fillId="37" borderId="0" xfId="25" applyFont="1" applyFill="1"/>
    <xf numFmtId="1" fontId="54" fillId="37" borderId="7" xfId="32" applyNumberFormat="1" applyFill="1" applyBorder="1"/>
    <xf numFmtId="1" fontId="54" fillId="37" borderId="0" xfId="32" applyNumberFormat="1" applyFill="1"/>
    <xf numFmtId="1" fontId="54" fillId="37" borderId="3" xfId="32" applyNumberFormat="1" applyFill="1" applyBorder="1"/>
    <xf numFmtId="1" fontId="54" fillId="14" borderId="0" xfId="32" applyNumberFormat="1" applyFill="1"/>
    <xf numFmtId="0" fontId="54" fillId="14" borderId="0" xfId="32" applyFill="1"/>
    <xf numFmtId="0" fontId="82" fillId="14" borderId="0" xfId="32" applyFont="1" applyFill="1"/>
    <xf numFmtId="9" fontId="54" fillId="14" borderId="0" xfId="25" applyFont="1" applyFill="1"/>
    <xf numFmtId="0" fontId="91" fillId="0" borderId="0" xfId="32" applyFont="1"/>
    <xf numFmtId="0" fontId="94" fillId="32" borderId="0" xfId="32" applyFont="1" applyFill="1"/>
    <xf numFmtId="0" fontId="94" fillId="0" borderId="0" xfId="32" applyFont="1"/>
    <xf numFmtId="0" fontId="5" fillId="0" borderId="0" xfId="0" applyFont="1" applyAlignment="1">
      <alignment wrapText="1"/>
    </xf>
    <xf numFmtId="0" fontId="5" fillId="18" borderId="0" xfId="0" applyFont="1" applyFill="1" applyAlignment="1">
      <alignment horizontal="center" wrapText="1"/>
    </xf>
    <xf numFmtId="166" fontId="0" fillId="44" borderId="0" xfId="0" applyNumberFormat="1" applyFill="1"/>
    <xf numFmtId="166" fontId="5" fillId="44" borderId="0" xfId="0" applyNumberFormat="1" applyFont="1" applyFill="1"/>
    <xf numFmtId="166" fontId="5" fillId="28" borderId="0" xfId="0" applyNumberFormat="1" applyFont="1" applyFill="1"/>
    <xf numFmtId="2" fontId="95" fillId="0" borderId="0" xfId="0" applyNumberFormat="1" applyFont="1"/>
    <xf numFmtId="4" fontId="95" fillId="0" borderId="0" xfId="0" applyNumberFormat="1" applyFont="1"/>
    <xf numFmtId="166" fontId="95" fillId="0" borderId="0" xfId="0" applyNumberFormat="1" applyFont="1"/>
    <xf numFmtId="0" fontId="95" fillId="0" borderId="0" xfId="0" applyFont="1"/>
    <xf numFmtId="2" fontId="43" fillId="0" borderId="0" xfId="4" applyNumberFormat="1" applyFont="1" applyFill="1" applyAlignment="1">
      <alignment horizontal="center"/>
    </xf>
    <xf numFmtId="2" fontId="43" fillId="0" borderId="0" xfId="19" applyNumberFormat="1" applyFont="1" applyFill="1" applyAlignment="1">
      <alignment horizontal="center"/>
    </xf>
    <xf numFmtId="169" fontId="43" fillId="0" borderId="0" xfId="19" applyNumberFormat="1" applyFont="1" applyFill="1" applyAlignment="1">
      <alignment horizontal="center"/>
    </xf>
    <xf numFmtId="167" fontId="43" fillId="0" borderId="0" xfId="19" applyNumberFormat="1" applyFont="1" applyFill="1" applyAlignment="1">
      <alignment horizontal="center"/>
    </xf>
    <xf numFmtId="2" fontId="53" fillId="0" borderId="0" xfId="0" applyNumberFormat="1" applyFont="1"/>
    <xf numFmtId="2" fontId="96" fillId="0" borderId="0" xfId="0" applyNumberFormat="1" applyFont="1"/>
    <xf numFmtId="2" fontId="96" fillId="0" borderId="0" xfId="19" applyNumberFormat="1" applyFont="1" applyAlignment="1">
      <alignment horizontal="center"/>
    </xf>
    <xf numFmtId="2" fontId="97" fillId="0" borderId="0" xfId="0" applyNumberFormat="1" applyFont="1"/>
    <xf numFmtId="2" fontId="97" fillId="0" borderId="0" xfId="19" applyNumberFormat="1" applyFont="1" applyAlignment="1">
      <alignment horizontal="center"/>
    </xf>
    <xf numFmtId="2" fontId="39" fillId="0" borderId="0" xfId="19" applyNumberFormat="1" applyFont="1" applyFill="1" applyAlignment="1">
      <alignment horizontal="center"/>
    </xf>
    <xf numFmtId="0" fontId="38" fillId="0" borderId="0" xfId="0" applyFont="1" applyAlignment="1">
      <alignment horizontal="center"/>
    </xf>
    <xf numFmtId="2" fontId="2" fillId="18" borderId="0" xfId="0" applyNumberFormat="1" applyFont="1" applyFill="1"/>
    <xf numFmtId="2" fontId="39" fillId="10" borderId="0" xfId="0" applyNumberFormat="1" applyFont="1" applyFill="1"/>
    <xf numFmtId="169" fontId="54" fillId="0" borderId="0" xfId="32" applyNumberFormat="1"/>
    <xf numFmtId="0" fontId="54" fillId="49" borderId="0" xfId="32" applyFill="1"/>
    <xf numFmtId="0" fontId="82" fillId="49" borderId="0" xfId="32" applyFont="1" applyFill="1"/>
    <xf numFmtId="9" fontId="54" fillId="49" borderId="0" xfId="25" applyFont="1" applyFill="1"/>
    <xf numFmtId="2" fontId="54" fillId="0" borderId="0" xfId="32" applyNumberFormat="1" applyAlignment="1">
      <alignment wrapText="1"/>
    </xf>
    <xf numFmtId="0" fontId="54" fillId="14" borderId="3" xfId="32" applyFill="1" applyBorder="1"/>
    <xf numFmtId="2" fontId="54" fillId="0" borderId="3" xfId="32" applyNumberFormat="1" applyBorder="1" applyAlignment="1">
      <alignment wrapText="1"/>
    </xf>
    <xf numFmtId="0" fontId="54" fillId="49" borderId="3" xfId="32" applyFill="1" applyBorder="1"/>
    <xf numFmtId="0" fontId="54" fillId="14" borderId="27" xfId="32" applyFill="1" applyBorder="1"/>
    <xf numFmtId="2" fontId="54" fillId="0" borderId="27" xfId="32" applyNumberFormat="1" applyBorder="1" applyAlignment="1">
      <alignment wrapText="1"/>
    </xf>
    <xf numFmtId="0" fontId="54" fillId="49" borderId="27" xfId="32" applyFill="1" applyBorder="1"/>
    <xf numFmtId="0" fontId="98" fillId="0" borderId="0" xfId="0" applyFont="1"/>
    <xf numFmtId="0" fontId="2" fillId="31" borderId="0" xfId="0" applyFont="1" applyFill="1"/>
    <xf numFmtId="2" fontId="2" fillId="44" borderId="15" xfId="0" applyNumberFormat="1" applyFont="1" applyFill="1" applyBorder="1" applyAlignment="1">
      <alignment wrapText="1"/>
    </xf>
    <xf numFmtId="166" fontId="2" fillId="44" borderId="15" xfId="0" applyNumberFormat="1" applyFont="1" applyFill="1" applyBorder="1" applyAlignment="1">
      <alignment wrapText="1"/>
    </xf>
    <xf numFmtId="0" fontId="0" fillId="44" borderId="15" xfId="0" applyFill="1" applyBorder="1" applyAlignment="1">
      <alignment wrapText="1"/>
    </xf>
    <xf numFmtId="2" fontId="5" fillId="44" borderId="15" xfId="0" applyNumberFormat="1" applyFont="1" applyFill="1" applyBorder="1"/>
    <xf numFmtId="166" fontId="5" fillId="44" borderId="15" xfId="0" applyNumberFormat="1" applyFont="1" applyFill="1" applyBorder="1"/>
    <xf numFmtId="166" fontId="0" fillId="44" borderId="15" xfId="0" applyNumberFormat="1" applyFill="1" applyBorder="1"/>
    <xf numFmtId="0" fontId="0" fillId="44" borderId="15" xfId="0" applyFill="1" applyBorder="1"/>
    <xf numFmtId="166" fontId="2" fillId="44" borderId="15" xfId="0" applyNumberFormat="1" applyFont="1" applyFill="1" applyBorder="1"/>
    <xf numFmtId="167" fontId="2" fillId="44" borderId="15" xfId="0" applyNumberFormat="1" applyFont="1" applyFill="1" applyBorder="1"/>
    <xf numFmtId="0" fontId="2" fillId="44" borderId="15" xfId="0" applyFont="1" applyFill="1" applyBorder="1"/>
    <xf numFmtId="2" fontId="39" fillId="0" borderId="0" xfId="0" applyNumberFormat="1" applyFont="1"/>
    <xf numFmtId="166" fontId="39" fillId="44" borderId="15" xfId="0" applyNumberFormat="1" applyFont="1" applyFill="1" applyBorder="1"/>
    <xf numFmtId="0" fontId="5" fillId="3" borderId="23" xfId="0" applyFont="1" applyFill="1" applyBorder="1"/>
    <xf numFmtId="0" fontId="2" fillId="0" borderId="14" xfId="0" applyFont="1" applyBorder="1"/>
    <xf numFmtId="0" fontId="2" fillId="24" borderId="0" xfId="0" applyFont="1" applyFill="1" applyAlignment="1" applyProtection="1">
      <alignment horizontal="left"/>
      <protection locked="0"/>
    </xf>
    <xf numFmtId="0" fontId="43" fillId="24" borderId="0" xfId="0" applyFont="1" applyFill="1" applyAlignment="1" applyProtection="1">
      <alignment horizontal="left"/>
      <protection locked="0"/>
    </xf>
    <xf numFmtId="0" fontId="43" fillId="24" borderId="0" xfId="0" applyFont="1" applyFill="1" applyAlignment="1" applyProtection="1">
      <alignment horizontal="center"/>
      <protection locked="0"/>
    </xf>
    <xf numFmtId="2" fontId="43" fillId="24" borderId="0" xfId="19" applyNumberFormat="1" applyFont="1" applyFill="1" applyAlignment="1">
      <alignment horizontal="center"/>
    </xf>
    <xf numFmtId="0" fontId="43" fillId="24" borderId="0" xfId="0" applyFont="1" applyFill="1"/>
    <xf numFmtId="2" fontId="43" fillId="24" borderId="0" xfId="4" applyNumberFormat="1" applyFont="1" applyFill="1" applyAlignment="1">
      <alignment horizontal="center"/>
    </xf>
    <xf numFmtId="2" fontId="6" fillId="24" borderId="0" xfId="0" applyNumberFormat="1" applyFont="1" applyFill="1"/>
    <xf numFmtId="1" fontId="6" fillId="24" borderId="0" xfId="0" applyNumberFormat="1" applyFont="1" applyFill="1"/>
    <xf numFmtId="9" fontId="0" fillId="24" borderId="0" xfId="25" applyFont="1" applyFill="1"/>
    <xf numFmtId="168" fontId="0" fillId="24" borderId="0" xfId="25" applyNumberFormat="1" applyFont="1" applyFill="1"/>
    <xf numFmtId="2" fontId="56" fillId="24" borderId="0" xfId="4" applyNumberFormat="1" applyFont="1" applyFill="1" applyAlignment="1">
      <alignment horizontal="center"/>
    </xf>
    <xf numFmtId="0" fontId="8" fillId="24" borderId="0" xfId="0" applyFont="1" applyFill="1"/>
    <xf numFmtId="0" fontId="8" fillId="24" borderId="25" xfId="0" applyFont="1" applyFill="1" applyBorder="1"/>
    <xf numFmtId="9" fontId="66" fillId="24" borderId="0" xfId="25" applyFont="1" applyFill="1" applyBorder="1"/>
    <xf numFmtId="168" fontId="66" fillId="24" borderId="0" xfId="25" applyNumberFormat="1" applyFont="1" applyFill="1" applyBorder="1"/>
    <xf numFmtId="9" fontId="41" fillId="24" borderId="0" xfId="25" applyFont="1" applyFill="1" applyAlignment="1">
      <alignment horizontal="center"/>
    </xf>
    <xf numFmtId="168" fontId="41" fillId="24" borderId="0" xfId="25" applyNumberFormat="1" applyFont="1" applyFill="1" applyAlignment="1">
      <alignment horizontal="center"/>
    </xf>
    <xf numFmtId="2" fontId="41" fillId="24" borderId="0" xfId="4" applyNumberFormat="1" applyFont="1" applyFill="1" applyAlignment="1">
      <alignment horizontal="center"/>
    </xf>
    <xf numFmtId="169" fontId="56" fillId="24" borderId="0" xfId="4" applyNumberFormat="1" applyFont="1" applyFill="1" applyAlignment="1">
      <alignment horizontal="center"/>
    </xf>
    <xf numFmtId="0" fontId="70" fillId="24" borderId="0" xfId="0" applyFont="1" applyFill="1" applyAlignment="1" applyProtection="1">
      <alignment horizontal="center"/>
      <protection locked="0"/>
    </xf>
    <xf numFmtId="166" fontId="43" fillId="24" borderId="0" xfId="19" applyNumberFormat="1" applyFont="1" applyFill="1" applyAlignment="1">
      <alignment horizontal="center"/>
    </xf>
    <xf numFmtId="0" fontId="2" fillId="25" borderId="0" xfId="0" applyFont="1" applyFill="1" applyAlignment="1" applyProtection="1">
      <alignment horizontal="left"/>
      <protection locked="0"/>
    </xf>
    <xf numFmtId="0" fontId="43" fillId="25" borderId="0" xfId="0" applyFont="1" applyFill="1" applyAlignment="1" applyProtection="1">
      <alignment horizontal="left"/>
      <protection locked="0"/>
    </xf>
    <xf numFmtId="0" fontId="43" fillId="25" borderId="0" xfId="0" applyFont="1" applyFill="1"/>
    <xf numFmtId="0" fontId="44" fillId="25" borderId="0" xfId="0" applyFont="1" applyFill="1" applyAlignment="1">
      <alignment horizontal="center" wrapText="1"/>
    </xf>
    <xf numFmtId="9" fontId="5" fillId="25" borderId="0" xfId="28" applyFont="1" applyFill="1" applyAlignment="1">
      <alignment horizontal="center" wrapText="1"/>
    </xf>
    <xf numFmtId="0" fontId="5" fillId="25" borderId="0" xfId="0" applyFont="1" applyFill="1" applyAlignment="1">
      <alignment horizontal="center" wrapText="1"/>
    </xf>
    <xf numFmtId="2" fontId="13" fillId="25" borderId="0" xfId="0" applyNumberFormat="1" applyFont="1" applyFill="1"/>
    <xf numFmtId="0" fontId="13" fillId="25" borderId="0" xfId="0" applyFont="1" applyFill="1"/>
    <xf numFmtId="0" fontId="6" fillId="25" borderId="0" xfId="0" applyFont="1" applyFill="1"/>
    <xf numFmtId="0" fontId="8" fillId="25" borderId="0" xfId="0" applyFont="1" applyFill="1"/>
    <xf numFmtId="0" fontId="8" fillId="25" borderId="25" xfId="0" applyFont="1" applyFill="1" applyBorder="1"/>
    <xf numFmtId="0" fontId="43" fillId="25" borderId="0" xfId="0" applyFont="1" applyFill="1" applyAlignment="1" applyProtection="1">
      <alignment horizontal="center"/>
      <protection locked="0"/>
    </xf>
    <xf numFmtId="0" fontId="70" fillId="25" borderId="0" xfId="0" applyFont="1" applyFill="1" applyAlignment="1" applyProtection="1">
      <alignment horizontal="center"/>
      <protection locked="0"/>
    </xf>
    <xf numFmtId="2" fontId="43" fillId="25" borderId="0" xfId="19" applyNumberFormat="1" applyFont="1" applyFill="1" applyAlignment="1">
      <alignment horizontal="center"/>
    </xf>
    <xf numFmtId="166" fontId="43" fillId="25" borderId="0" xfId="19" applyNumberFormat="1" applyFont="1" applyFill="1" applyAlignment="1">
      <alignment horizontal="center"/>
    </xf>
    <xf numFmtId="2" fontId="43" fillId="25" borderId="0" xfId="4" applyNumberFormat="1" applyFont="1" applyFill="1" applyAlignment="1">
      <alignment horizontal="center"/>
    </xf>
    <xf numFmtId="2" fontId="6" fillId="25" borderId="0" xfId="0" applyNumberFormat="1" applyFont="1" applyFill="1"/>
    <xf numFmtId="1" fontId="6" fillId="25" borderId="0" xfId="0" applyNumberFormat="1" applyFont="1" applyFill="1"/>
    <xf numFmtId="9" fontId="0" fillId="25" borderId="0" xfId="25" applyFont="1" applyFill="1"/>
    <xf numFmtId="9" fontId="66" fillId="25" borderId="0" xfId="25" applyFont="1" applyFill="1" applyBorder="1"/>
    <xf numFmtId="0" fontId="0" fillId="25" borderId="0" xfId="0" applyFill="1" applyAlignment="1" applyProtection="1">
      <alignment horizontal="left"/>
      <protection locked="0"/>
    </xf>
    <xf numFmtId="168" fontId="66" fillId="25" borderId="0" xfId="25" applyNumberFormat="1" applyFont="1" applyFill="1" applyBorder="1"/>
    <xf numFmtId="0" fontId="0" fillId="0" borderId="0" xfId="0" applyAlignment="1" applyProtection="1">
      <alignment horizontal="left"/>
      <protection locked="0"/>
    </xf>
    <xf numFmtId="2" fontId="46" fillId="0" borderId="0" xfId="19" applyNumberFormat="1" applyFont="1" applyFill="1" applyAlignment="1">
      <alignment horizontal="center"/>
    </xf>
    <xf numFmtId="166" fontId="46" fillId="0" borderId="0" xfId="19" applyNumberFormat="1" applyFont="1" applyFill="1" applyAlignment="1">
      <alignment horizontal="center"/>
    </xf>
    <xf numFmtId="0" fontId="0" fillId="50" borderId="0" xfId="0" applyFill="1" applyAlignment="1" applyProtection="1">
      <alignment horizontal="left"/>
      <protection locked="0"/>
    </xf>
    <xf numFmtId="0" fontId="43" fillId="50" borderId="0" xfId="0" applyFont="1" applyFill="1" applyAlignment="1" applyProtection="1">
      <alignment horizontal="left"/>
      <protection locked="0"/>
    </xf>
    <xf numFmtId="0" fontId="43" fillId="50" borderId="0" xfId="0" applyFont="1" applyFill="1" applyAlignment="1" applyProtection="1">
      <alignment horizontal="center"/>
      <protection locked="0"/>
    </xf>
    <xf numFmtId="2" fontId="43" fillId="50" borderId="0" xfId="19" applyNumberFormat="1" applyFont="1" applyFill="1" applyAlignment="1">
      <alignment horizontal="center"/>
    </xf>
    <xf numFmtId="0" fontId="43" fillId="50" borderId="0" xfId="0" applyFont="1" applyFill="1"/>
    <xf numFmtId="2" fontId="43" fillId="50" borderId="0" xfId="4" applyNumberFormat="1" applyFont="1" applyFill="1" applyAlignment="1">
      <alignment horizontal="center"/>
    </xf>
    <xf numFmtId="0" fontId="13" fillId="50" borderId="0" xfId="0" applyFont="1" applyFill="1"/>
    <xf numFmtId="2" fontId="6" fillId="50" borderId="0" xfId="0" applyNumberFormat="1" applyFont="1" applyFill="1"/>
    <xf numFmtId="1" fontId="6" fillId="50" borderId="0" xfId="0" applyNumberFormat="1" applyFont="1" applyFill="1"/>
    <xf numFmtId="9" fontId="0" fillId="50" borderId="0" xfId="25" applyFont="1" applyFill="1"/>
    <xf numFmtId="0" fontId="0" fillId="50" borderId="0" xfId="0" applyFill="1"/>
    <xf numFmtId="9" fontId="66" fillId="50" borderId="0" xfId="25" applyFont="1" applyFill="1" applyBorder="1"/>
    <xf numFmtId="0" fontId="8" fillId="50" borderId="0" xfId="0" applyFont="1" applyFill="1"/>
    <xf numFmtId="168" fontId="66" fillId="50" borderId="0" xfId="25" applyNumberFormat="1" applyFont="1" applyFill="1" applyBorder="1"/>
    <xf numFmtId="0" fontId="8" fillId="50" borderId="25" xfId="0" applyFont="1" applyFill="1" applyBorder="1"/>
    <xf numFmtId="0" fontId="2" fillId="50" borderId="0" xfId="0" applyFont="1" applyFill="1" applyAlignment="1" applyProtection="1">
      <alignment horizontal="left"/>
      <protection locked="0"/>
    </xf>
    <xf numFmtId="10" fontId="66" fillId="50" borderId="0" xfId="25" applyNumberFormat="1" applyFont="1" applyFill="1" applyBorder="1"/>
    <xf numFmtId="9" fontId="77" fillId="50" borderId="0" xfId="0" applyNumberFormat="1" applyFont="1" applyFill="1"/>
    <xf numFmtId="2" fontId="2" fillId="50" borderId="0" xfId="0" applyNumberFormat="1" applyFont="1" applyFill="1"/>
    <xf numFmtId="9" fontId="84" fillId="50" borderId="0" xfId="25" applyFont="1" applyFill="1" applyBorder="1"/>
    <xf numFmtId="2" fontId="56" fillId="50" borderId="0" xfId="4" applyNumberFormat="1" applyFont="1" applyFill="1" applyAlignment="1">
      <alignment horizontal="center"/>
    </xf>
    <xf numFmtId="2" fontId="99" fillId="18" borderId="0" xfId="0" applyNumberFormat="1" applyFont="1" applyFill="1"/>
    <xf numFmtId="169" fontId="43" fillId="24" borderId="0" xfId="4" applyNumberFormat="1" applyFont="1" applyFill="1" applyAlignment="1">
      <alignment horizontal="center"/>
    </xf>
    <xf numFmtId="169" fontId="41" fillId="24" borderId="0" xfId="4" applyNumberFormat="1" applyFont="1" applyFill="1" applyAlignment="1">
      <alignment horizontal="center"/>
    </xf>
    <xf numFmtId="0" fontId="0" fillId="24" borderId="0" xfId="0" applyFill="1" applyAlignment="1" applyProtection="1">
      <alignment horizontal="left"/>
      <protection locked="0"/>
    </xf>
    <xf numFmtId="0" fontId="5" fillId="3" borderId="0" xfId="0" applyFont="1" applyFill="1"/>
    <xf numFmtId="167" fontId="46" fillId="0" borderId="0" xfId="19" applyNumberFormat="1" applyFont="1" applyFill="1" applyAlignment="1">
      <alignment horizontal="center"/>
    </xf>
    <xf numFmtId="167" fontId="43" fillId="24" borderId="0" xfId="19" applyNumberFormat="1" applyFont="1" applyFill="1" applyAlignment="1">
      <alignment horizontal="center"/>
    </xf>
    <xf numFmtId="167" fontId="43" fillId="25" borderId="0" xfId="19" applyNumberFormat="1" applyFont="1" applyFill="1" applyAlignment="1">
      <alignment horizontal="center"/>
    </xf>
    <xf numFmtId="167" fontId="43" fillId="50" borderId="0" xfId="19" applyNumberFormat="1" applyFont="1" applyFill="1" applyAlignment="1">
      <alignment horizontal="center"/>
    </xf>
    <xf numFmtId="10" fontId="8" fillId="18" borderId="0" xfId="0" applyNumberFormat="1" applyFont="1" applyFill="1"/>
    <xf numFmtId="10" fontId="8" fillId="0" borderId="0" xfId="0" applyNumberFormat="1" applyFont="1"/>
    <xf numFmtId="10" fontId="77" fillId="0" borderId="0" xfId="0" applyNumberFormat="1" applyFont="1"/>
    <xf numFmtId="10" fontId="86" fillId="46" borderId="0" xfId="1160" applyNumberFormat="1"/>
    <xf numFmtId="10" fontId="8" fillId="12" borderId="0" xfId="0" applyNumberFormat="1" applyFont="1" applyFill="1"/>
    <xf numFmtId="10" fontId="41" fillId="24" borderId="0" xfId="4" applyNumberFormat="1" applyFont="1" applyFill="1" applyAlignment="1">
      <alignment horizontal="center"/>
    </xf>
    <xf numFmtId="10" fontId="8" fillId="24" borderId="0" xfId="0" applyNumberFormat="1" applyFont="1" applyFill="1"/>
    <xf numFmtId="10" fontId="66" fillId="24" borderId="0" xfId="25" applyNumberFormat="1" applyFont="1" applyFill="1" applyBorder="1"/>
    <xf numFmtId="10" fontId="66" fillId="25" borderId="0" xfId="25" applyNumberFormat="1" applyFont="1" applyFill="1" applyBorder="1"/>
    <xf numFmtId="10" fontId="8" fillId="25" borderId="0" xfId="0" applyNumberFormat="1" applyFont="1" applyFill="1"/>
    <xf numFmtId="10" fontId="56" fillId="24" borderId="0" xfId="4" applyNumberFormat="1" applyFont="1" applyFill="1" applyAlignment="1">
      <alignment horizontal="center"/>
    </xf>
    <xf numFmtId="0" fontId="8" fillId="0" borderId="0" xfId="21" applyFont="1"/>
    <xf numFmtId="0" fontId="100" fillId="0" borderId="0" xfId="21" applyFont="1"/>
    <xf numFmtId="0" fontId="45" fillId="0" borderId="0" xfId="21" applyFont="1" applyAlignment="1">
      <alignment horizontal="center" wrapText="1"/>
    </xf>
    <xf numFmtId="0" fontId="45" fillId="0" borderId="0" xfId="21" applyFont="1"/>
    <xf numFmtId="2" fontId="8" fillId="0" borderId="0" xfId="21" applyNumberFormat="1" applyFont="1"/>
    <xf numFmtId="0" fontId="7" fillId="0" borderId="0" xfId="21" applyFont="1" applyAlignment="1">
      <alignment horizontal="center" wrapText="1"/>
    </xf>
    <xf numFmtId="0" fontId="7" fillId="0" borderId="0" xfId="21" applyFont="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73" fillId="40" borderId="15" xfId="0" applyFont="1" applyFill="1" applyBorder="1" applyAlignment="1">
      <alignment horizontal="center" vertical="center" wrapText="1"/>
    </xf>
    <xf numFmtId="0" fontId="67" fillId="41" borderId="15" xfId="0" applyFont="1" applyFill="1" applyBorder="1" applyAlignment="1">
      <alignment horizontal="center" vertical="center" wrapText="1"/>
    </xf>
    <xf numFmtId="0" fontId="2" fillId="2" borderId="16" xfId="263" applyAlignment="1">
      <alignment vertical="center" wrapText="1"/>
      <protection locked="0"/>
    </xf>
    <xf numFmtId="0" fontId="75" fillId="22" borderId="0" xfId="0" applyFont="1" applyFill="1" applyAlignment="1">
      <alignment horizontal="center" vertical="center" wrapText="1"/>
    </xf>
    <xf numFmtId="0" fontId="8" fillId="0" borderId="0" xfId="0" applyFont="1" applyAlignment="1">
      <alignment horizontal="center"/>
    </xf>
    <xf numFmtId="0" fontId="8" fillId="26" borderId="13" xfId="0" applyFont="1" applyFill="1" applyBorder="1" applyAlignment="1">
      <alignment horizontal="center"/>
    </xf>
    <xf numFmtId="0" fontId="8" fillId="26" borderId="16" xfId="0" applyFont="1" applyFill="1" applyBorder="1" applyAlignment="1">
      <alignment horizontal="center"/>
    </xf>
    <xf numFmtId="0" fontId="8" fillId="26" borderId="12" xfId="0" applyFont="1" applyFill="1" applyBorder="1" applyAlignment="1">
      <alignment horizontal="center"/>
    </xf>
    <xf numFmtId="0" fontId="81" fillId="34" borderId="27" xfId="23" applyFont="1" applyFill="1" applyBorder="1" applyAlignment="1">
      <alignment horizontal="center"/>
    </xf>
    <xf numFmtId="0" fontId="81" fillId="34" borderId="13" xfId="23" applyFont="1" applyFill="1" applyBorder="1" applyAlignment="1">
      <alignment horizontal="center" wrapText="1"/>
    </xf>
    <xf numFmtId="0" fontId="81" fillId="34" borderId="12" xfId="23" applyFont="1" applyFill="1" applyBorder="1" applyAlignment="1">
      <alignment horizontal="center" wrapText="1"/>
    </xf>
    <xf numFmtId="0" fontId="81" fillId="34" borderId="13" xfId="23" applyFont="1" applyFill="1" applyBorder="1" applyAlignment="1">
      <alignment horizontal="center"/>
    </xf>
    <xf numFmtId="0" fontId="81" fillId="34" borderId="12" xfId="23" applyFont="1" applyFill="1" applyBorder="1" applyAlignment="1">
      <alignment horizontal="center"/>
    </xf>
    <xf numFmtId="0" fontId="5" fillId="34" borderId="13" xfId="0" applyFont="1" applyFill="1" applyBorder="1" applyAlignment="1">
      <alignment horizontal="center"/>
    </xf>
    <xf numFmtId="0" fontId="5" fillId="34" borderId="12" xfId="0" applyFont="1"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10" borderId="0" xfId="0" applyFill="1" applyAlignment="1">
      <alignment horizontal="center" wrapText="1"/>
    </xf>
    <xf numFmtId="0" fontId="0" fillId="0" borderId="15" xfId="0" applyBorder="1" applyAlignment="1">
      <alignment horizontal="left"/>
    </xf>
    <xf numFmtId="43" fontId="82" fillId="51" borderId="7" xfId="25" applyNumberFormat="1" applyFont="1" applyFill="1" applyBorder="1"/>
    <xf numFmtId="168" fontId="82" fillId="51" borderId="7" xfId="32" applyNumberFormat="1" applyFont="1" applyFill="1" applyBorder="1"/>
    <xf numFmtId="43" fontId="82" fillId="51" borderId="0" xfId="25" applyNumberFormat="1" applyFont="1" applyFill="1" applyBorder="1"/>
    <xf numFmtId="168" fontId="82" fillId="51" borderId="0" xfId="32" applyNumberFormat="1" applyFont="1" applyFill="1"/>
    <xf numFmtId="43" fontId="82" fillId="51" borderId="3" xfId="25" applyNumberFormat="1" applyFont="1" applyFill="1" applyBorder="1"/>
    <xf numFmtId="168" fontId="82" fillId="51" borderId="3" xfId="32" applyNumberFormat="1" applyFont="1" applyFill="1" applyBorder="1"/>
    <xf numFmtId="0" fontId="8" fillId="9" borderId="0" xfId="0" applyFont="1" applyFill="1" applyAlignment="1">
      <alignment wrapText="1"/>
    </xf>
    <xf numFmtId="0" fontId="8" fillId="9" borderId="25" xfId="0" applyFont="1" applyFill="1" applyBorder="1" applyAlignment="1">
      <alignment wrapText="1"/>
    </xf>
    <xf numFmtId="0" fontId="8" fillId="33" borderId="0" xfId="0" applyFont="1" applyFill="1" applyAlignment="1">
      <alignment wrapText="1"/>
    </xf>
    <xf numFmtId="9" fontId="0" fillId="51" borderId="0" xfId="25" applyFont="1" applyFill="1"/>
    <xf numFmtId="168" fontId="0" fillId="51" borderId="0" xfId="25" applyNumberFormat="1" applyFont="1" applyFill="1"/>
    <xf numFmtId="10" fontId="0" fillId="51" borderId="0" xfId="25" applyNumberFormat="1" applyFont="1" applyFill="1"/>
  </cellXfs>
  <cellStyles count="1161">
    <cellStyle name="Accent4" xfId="1" builtinId="41"/>
    <cellStyle name="Bad" xfId="2" builtinId="27"/>
    <cellStyle name="Bad 2" xfId="3" xr:uid="{00000000-0005-0000-0000-000003000000}"/>
    <cellStyle name="Calc" xfId="4" xr:uid="{00000000-0005-0000-0000-000004000000}"/>
    <cellStyle name="Calculation" xfId="5" builtinId="22"/>
    <cellStyle name="cells" xfId="262" xr:uid="{00000000-0005-0000-0000-000006000000}"/>
    <cellStyle name="column field" xfId="264" xr:uid="{00000000-0005-0000-0000-000007000000}"/>
    <cellStyle name="Comma" xfId="6" builtinId="3"/>
    <cellStyle name="Comma 2" xfId="7" xr:uid="{00000000-0005-0000-0000-000009000000}"/>
    <cellStyle name="Comma 3" xfId="8" xr:uid="{00000000-0005-0000-0000-00000A000000}"/>
    <cellStyle name="Comma 4" xfId="38" xr:uid="{00000000-0005-0000-0000-00000B000000}"/>
    <cellStyle name="Excel Built-in Normal" xfId="9" xr:uid="{00000000-0005-0000-0000-00000C000000}"/>
    <cellStyle name="Excel Built-in Normal 2" xfId="10" xr:uid="{00000000-0005-0000-0000-00000D000000}"/>
    <cellStyle name="Excel_BuiltIn_Comma" xfId="11" xr:uid="{00000000-0005-0000-0000-00000E000000}"/>
    <cellStyle name="External" xfId="12" xr:uid="{00000000-0005-0000-0000-00000F000000}"/>
    <cellStyle name="field" xfId="266" xr:uid="{00000000-0005-0000-0000-000010000000}"/>
    <cellStyle name="field names" xfId="265" xr:uid="{00000000-0005-0000-0000-000011000000}"/>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oter" xfId="267" xr:uid="{00000000-0005-0000-0000-00006A040000}"/>
    <cellStyle name="Good" xfId="1160" builtinId="26"/>
    <cellStyle name="Heading" xfId="13" xr:uid="{00000000-0005-0000-0000-00006B040000}"/>
    <cellStyle name="Heading1" xfId="14" xr:uid="{00000000-0005-0000-0000-00006C040000}"/>
    <cellStyle name="Hyperlink" xfId="15" builtinId="8"/>
    <cellStyle name="Hyperlink 2" xfId="16" xr:uid="{00000000-0005-0000-0000-00006E040000}"/>
    <cellStyle name="Input" xfId="17" builtinId="20"/>
    <cellStyle name="Input 2" xfId="18" xr:uid="{00000000-0005-0000-0000-000070040000}"/>
    <cellStyle name="Linked" xfId="19" xr:uid="{00000000-0005-0000-0000-000071040000}"/>
    <cellStyle name="Normal" xfId="0" builtinId="0"/>
    <cellStyle name="Normal 2" xfId="20" xr:uid="{00000000-0005-0000-0000-000073040000}"/>
    <cellStyle name="Normal 2 2" xfId="21" xr:uid="{00000000-0005-0000-0000-000074040000}"/>
    <cellStyle name="Normal 3" xfId="22" xr:uid="{00000000-0005-0000-0000-000075040000}"/>
    <cellStyle name="Normal 3 2" xfId="23" xr:uid="{00000000-0005-0000-0000-000076040000}"/>
    <cellStyle name="Normal 4" xfId="24" xr:uid="{00000000-0005-0000-0000-000077040000}"/>
    <cellStyle name="Normal 5" xfId="32" xr:uid="{00000000-0005-0000-0000-000078040000}"/>
    <cellStyle name="Normal 6" xfId="261" xr:uid="{00000000-0005-0000-0000-000079040000}"/>
    <cellStyle name="Percent" xfId="25" builtinId="5"/>
    <cellStyle name="Percent 2" xfId="26" xr:uid="{00000000-0005-0000-0000-00007C040000}"/>
    <cellStyle name="Percent 2 2" xfId="27" xr:uid="{00000000-0005-0000-0000-00007D040000}"/>
    <cellStyle name="Percent 3" xfId="28" xr:uid="{00000000-0005-0000-0000-00007E040000}"/>
    <cellStyle name="Percent 4" xfId="37" xr:uid="{00000000-0005-0000-0000-00007F040000}"/>
    <cellStyle name="Percent 5" xfId="39" xr:uid="{00000000-0005-0000-0000-000080040000}"/>
    <cellStyle name="Result" xfId="29" xr:uid="{00000000-0005-0000-0000-000081040000}"/>
    <cellStyle name="Result2" xfId="30" xr:uid="{00000000-0005-0000-0000-000082040000}"/>
    <cellStyle name="rowfield" xfId="263" xr:uid="{00000000-0005-0000-0000-000083040000}"/>
    <cellStyle name="Style1" xfId="31" xr:uid="{00000000-0005-0000-0000-000084040000}"/>
    <cellStyle name="Style2" xfId="33" xr:uid="{00000000-0005-0000-0000-000085040000}"/>
    <cellStyle name="Style3" xfId="34" xr:uid="{00000000-0005-0000-0000-000086040000}"/>
    <cellStyle name="Style4" xfId="35" xr:uid="{00000000-0005-0000-0000-000087040000}"/>
    <cellStyle name="Style5" xfId="36" xr:uid="{00000000-0005-0000-0000-000088040000}"/>
    <cellStyle name="Test" xfId="268" xr:uid="{00000000-0005-0000-0000-000089040000}"/>
  </cellStyles>
  <dxfs count="3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ont>
        <color rgb="FF9C0006"/>
      </font>
      <fill>
        <patternFill>
          <bgColor rgb="FFFFC7CE"/>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92D050"/>
        </patternFill>
      </fill>
    </dxf>
    <dxf>
      <fill>
        <patternFill>
          <bgColor rgb="FFFF00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92D050"/>
        </patternFill>
      </fill>
    </dxf>
    <dxf>
      <fill>
        <patternFill>
          <bgColor rgb="FFFF00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b/>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8.xml"/><Relationship Id="rId3" Type="http://schemas.openxmlformats.org/officeDocument/2006/relationships/worksheet" Target="worksheets/sheet3.xml"/><Relationship Id="rId21" Type="http://schemas.openxmlformats.org/officeDocument/2006/relationships/externalLink" Target="externalLinks/externalLink3.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7.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29" Type="http://schemas.openxmlformats.org/officeDocument/2006/relationships/externalLink" Target="externalLinks/externalLink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6.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5.xml"/><Relationship Id="rId28" Type="http://schemas.openxmlformats.org/officeDocument/2006/relationships/externalLink" Target="externalLinks/externalLink10.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31" Type="http://schemas.openxmlformats.org/officeDocument/2006/relationships/externalLink" Target="externalLinks/externalLink1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 Id="rId27" Type="http://schemas.openxmlformats.org/officeDocument/2006/relationships/externalLink" Target="externalLinks/externalLink9.xml"/><Relationship Id="rId30" Type="http://schemas.openxmlformats.org/officeDocument/2006/relationships/externalLink" Target="externalLinks/externalLink12.xml"/><Relationship Id="rId35" Type="http://schemas.microsoft.com/office/2017/10/relationships/person" Target="persons/person.xml"/><Relationship Id="rId8" Type="http://schemas.openxmlformats.org/officeDocument/2006/relationships/worksheet" Target="worksheets/sheet8.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services'!$A$180</c:f>
          <c:strCache>
            <c:ptCount val="1"/>
            <c:pt idx="0">
              <c:v>SWH and HP High Income</c:v>
            </c:pt>
          </c:strCache>
        </c:strRef>
      </c:tx>
      <c:layout>
        <c:manualLayout>
          <c:xMode val="edge"/>
          <c:yMode val="edge"/>
          <c:x val="0.21005669781168501"/>
          <c:y val="0"/>
        </c:manualLayout>
      </c:layout>
      <c:overlay val="0"/>
      <c:txPr>
        <a:bodyPr/>
        <a:lstStyle/>
        <a:p>
          <a:pPr>
            <a:defRPr sz="1400"/>
          </a:pPr>
          <a:endParaRPr lang="en-US"/>
        </a:p>
      </c:txPr>
    </c:title>
    <c:autoTitleDeleted val="0"/>
    <c:plotArea>
      <c:layout>
        <c:manualLayout>
          <c:layoutTarget val="inner"/>
          <c:xMode val="edge"/>
          <c:yMode val="edge"/>
          <c:x val="8.4772694552421396E-2"/>
          <c:y val="0.16172839506172801"/>
          <c:w val="0.864209885156761"/>
          <c:h val="0.60773694954797297"/>
        </c:manualLayout>
      </c:layout>
      <c:lineChart>
        <c:grouping val="standard"/>
        <c:varyColors val="0"/>
        <c:ser>
          <c:idx val="0"/>
          <c:order val="0"/>
          <c:tx>
            <c:strRef>
              <c:f>'access to services'!$C$181</c:f>
              <c:strCache>
                <c:ptCount val="1"/>
                <c:pt idx="0">
                  <c:v>high</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services'!$D$181:$L$181</c:f>
              <c:numCache>
                <c:formatCode>General</c:formatCode>
                <c:ptCount val="9"/>
                <c:pt idx="0">
                  <c:v>27950</c:v>
                </c:pt>
                <c:pt idx="1">
                  <c:v>58857.570340177561</c:v>
                </c:pt>
                <c:pt idx="2">
                  <c:v>200435.52081881356</c:v>
                </c:pt>
                <c:pt idx="3">
                  <c:v>644835.81944953371</c:v>
                </c:pt>
                <c:pt idx="4">
                  <c:v>1767791.3285220149</c:v>
                </c:pt>
                <c:pt idx="5">
                  <c:v>3528078.5781210754</c:v>
                </c:pt>
                <c:pt idx="6">
                  <c:v>4936368.239469626</c:v>
                </c:pt>
                <c:pt idx="7">
                  <c:v>5573805.5052590463</c:v>
                </c:pt>
                <c:pt idx="8">
                  <c:v>5787939.5827813214</c:v>
                </c:pt>
              </c:numCache>
            </c:numRef>
          </c:val>
          <c:smooth val="0"/>
          <c:extLst>
            <c:ext xmlns:c16="http://schemas.microsoft.com/office/drawing/2014/chart" uri="{C3380CC4-5D6E-409C-BE32-E72D297353CC}">
              <c16:uniqueId val="{00000000-7451-4C66-BF1B-F7101A9AA09A}"/>
            </c:ext>
          </c:extLst>
        </c:ser>
        <c:ser>
          <c:idx val="1"/>
          <c:order val="1"/>
          <c:tx>
            <c:strRef>
              <c:f>'access to services'!$C$182</c:f>
              <c:strCache>
                <c:ptCount val="1"/>
                <c:pt idx="0">
                  <c:v>low</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services'!$D$182:$L$182</c:f>
              <c:numCache>
                <c:formatCode>General</c:formatCode>
                <c:ptCount val="9"/>
                <c:pt idx="0">
                  <c:v>27950</c:v>
                </c:pt>
                <c:pt idx="1">
                  <c:v>58548.275416055978</c:v>
                </c:pt>
                <c:pt idx="2">
                  <c:v>194695.64237629084</c:v>
                </c:pt>
                <c:pt idx="3">
                  <c:v>583330.4215300451</c:v>
                </c:pt>
                <c:pt idx="4">
                  <c:v>1362591.5828017865</c:v>
                </c:pt>
                <c:pt idx="5">
                  <c:v>2207472.8269972703</c:v>
                </c:pt>
                <c:pt idx="6">
                  <c:v>2684342.6181293325</c:v>
                </c:pt>
                <c:pt idx="7">
                  <c:v>2861443.845201401</c:v>
                </c:pt>
                <c:pt idx="8">
                  <c:v>2916573.9106388506</c:v>
                </c:pt>
              </c:numCache>
            </c:numRef>
          </c:val>
          <c:smooth val="0"/>
          <c:extLst>
            <c:ext xmlns:c16="http://schemas.microsoft.com/office/drawing/2014/chart" uri="{C3380CC4-5D6E-409C-BE32-E72D297353CC}">
              <c16:uniqueId val="{00000001-7451-4C66-BF1B-F7101A9AA09A}"/>
            </c:ext>
          </c:extLst>
        </c:ser>
        <c:ser>
          <c:idx val="2"/>
          <c:order val="2"/>
          <c:tx>
            <c:strRef>
              <c:f>'access to services'!$C$183</c:f>
              <c:strCache>
                <c:ptCount val="1"/>
                <c:pt idx="0">
                  <c:v>medium</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services'!$D$183:$L$183</c:f>
              <c:numCache>
                <c:formatCode>General</c:formatCode>
                <c:ptCount val="9"/>
                <c:pt idx="0">
                  <c:v>27950</c:v>
                </c:pt>
                <c:pt idx="1">
                  <c:v>58754.109576479277</c:v>
                </c:pt>
                <c:pt idx="2">
                  <c:v>198484.98972358942</c:v>
                </c:pt>
                <c:pt idx="3">
                  <c:v>622941.83284232824</c:v>
                </c:pt>
                <c:pt idx="4">
                  <c:v>1608362.7366748778</c:v>
                </c:pt>
                <c:pt idx="5">
                  <c:v>2941500.8811973915</c:v>
                </c:pt>
                <c:pt idx="6">
                  <c:v>3857593.8519480298</c:v>
                </c:pt>
                <c:pt idx="7">
                  <c:v>4235522.1606349265</c:v>
                </c:pt>
                <c:pt idx="8">
                  <c:v>4357841.8257824276</c:v>
                </c:pt>
              </c:numCache>
            </c:numRef>
          </c:val>
          <c:smooth val="0"/>
          <c:extLst>
            <c:ext xmlns:c16="http://schemas.microsoft.com/office/drawing/2014/chart" uri="{C3380CC4-5D6E-409C-BE32-E72D297353CC}">
              <c16:uniqueId val="{00000002-7451-4C66-BF1B-F7101A9AA09A}"/>
            </c:ext>
          </c:extLst>
        </c:ser>
        <c:ser>
          <c:idx val="3"/>
          <c:order val="3"/>
          <c:tx>
            <c:strRef>
              <c:f>'access to services'!$A$162</c:f>
              <c:strCache>
                <c:ptCount val="1"/>
                <c:pt idx="0">
                  <c:v>Households (total)</c:v>
                </c:pt>
              </c:strCache>
            </c:strRef>
          </c:tx>
          <c:marker>
            <c:symbol val="none"/>
          </c:marker>
          <c:val>
            <c:numRef>
              <c:f>'access to services'!$B$168:$J$168</c:f>
              <c:numCache>
                <c:formatCode>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3-7451-4C66-BF1B-F7101A9AA09A}"/>
            </c:ext>
          </c:extLst>
        </c:ser>
        <c:ser>
          <c:idx val="4"/>
          <c:order val="4"/>
          <c:tx>
            <c:strRef>
              <c:f>'access to services'!$C$216</c:f>
              <c:strCache>
                <c:ptCount val="1"/>
                <c:pt idx="0">
                  <c:v>PAM HI</c:v>
                </c:pt>
              </c:strCache>
            </c:strRef>
          </c:tx>
          <c:spPr>
            <a:ln>
              <a:prstDash val="dash"/>
            </a:ln>
          </c:spPr>
          <c:marker>
            <c:symbol val="none"/>
          </c:marker>
          <c:val>
            <c:numRef>
              <c:f>'access to services'!$D$216:$L$216</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4-7451-4C66-BF1B-F7101A9AA09A}"/>
            </c:ext>
          </c:extLst>
        </c:ser>
        <c:dLbls>
          <c:showLegendKey val="0"/>
          <c:showVal val="0"/>
          <c:showCatName val="0"/>
          <c:showSerName val="0"/>
          <c:showPercent val="0"/>
          <c:showBubbleSize val="0"/>
        </c:dLbls>
        <c:smooth val="0"/>
        <c:axId val="143875808"/>
        <c:axId val="629546960"/>
      </c:lineChart>
      <c:catAx>
        <c:axId val="143875808"/>
        <c:scaling>
          <c:orientation val="minMax"/>
        </c:scaling>
        <c:delete val="0"/>
        <c:axPos val="b"/>
        <c:numFmt formatCode="General" sourceLinked="1"/>
        <c:majorTickMark val="out"/>
        <c:minorTickMark val="none"/>
        <c:tickLblPos val="nextTo"/>
        <c:crossAx val="629546960"/>
        <c:crosses val="autoZero"/>
        <c:auto val="1"/>
        <c:lblAlgn val="ctr"/>
        <c:lblOffset val="100"/>
        <c:noMultiLvlLbl val="0"/>
      </c:catAx>
      <c:valAx>
        <c:axId val="629546960"/>
        <c:scaling>
          <c:orientation val="minMax"/>
        </c:scaling>
        <c:delete val="0"/>
        <c:axPos val="l"/>
        <c:majorGridlines/>
        <c:numFmt formatCode="General" sourceLinked="1"/>
        <c:majorTickMark val="out"/>
        <c:minorTickMark val="none"/>
        <c:tickLblPos val="nextTo"/>
        <c:crossAx val="143875808"/>
        <c:crossesAt val="1"/>
        <c:crossBetween val="midCat"/>
        <c:dispUnits>
          <c:builtInUnit val="millions"/>
          <c:dispUnitsLbl/>
        </c:dispUnits>
      </c:valAx>
    </c:plotArea>
    <c:legend>
      <c:legendPos val="b"/>
      <c:layout>
        <c:manualLayout>
          <c:xMode val="edge"/>
          <c:yMode val="edge"/>
          <c:x val="3.7107988083768001E-2"/>
          <c:y val="0.85751288033440298"/>
          <c:w val="0.96289201191623197"/>
          <c:h val="0.13833947480702799"/>
        </c:manualLayout>
      </c:layout>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services'!$A$184</c:f>
          <c:strCache>
            <c:ptCount val="1"/>
            <c:pt idx="0">
              <c:v>SWH Middle Income</c:v>
            </c:pt>
          </c:strCache>
        </c:strRef>
      </c:tx>
      <c:layout>
        <c:manualLayout>
          <c:xMode val="edge"/>
          <c:yMode val="edge"/>
          <c:x val="0.37602002281360403"/>
          <c:y val="1.47783251231527E-2"/>
        </c:manualLayout>
      </c:layout>
      <c:overlay val="0"/>
      <c:txPr>
        <a:bodyPr/>
        <a:lstStyle/>
        <a:p>
          <a:pPr>
            <a:defRPr sz="1400"/>
          </a:pPr>
          <a:endParaRPr lang="en-US"/>
        </a:p>
      </c:txPr>
    </c:title>
    <c:autoTitleDeleted val="0"/>
    <c:plotArea>
      <c:layout>
        <c:manualLayout>
          <c:layoutTarget val="inner"/>
          <c:xMode val="edge"/>
          <c:yMode val="edge"/>
          <c:x val="9.6024452639622504E-2"/>
          <c:y val="0.16172839506172801"/>
          <c:w val="0.85295812706955898"/>
          <c:h val="0.60773694954797297"/>
        </c:manualLayout>
      </c:layout>
      <c:lineChart>
        <c:grouping val="standard"/>
        <c:varyColors val="0"/>
        <c:ser>
          <c:idx val="0"/>
          <c:order val="0"/>
          <c:tx>
            <c:strRef>
              <c:f>'access to services'!$C$184</c:f>
              <c:strCache>
                <c:ptCount val="1"/>
                <c:pt idx="0">
                  <c:v>high</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services'!$D$184:$L$184</c:f>
              <c:numCache>
                <c:formatCode>General</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0-0F57-4FF4-8B7A-D09E1F6A2118}"/>
            </c:ext>
          </c:extLst>
        </c:ser>
        <c:ser>
          <c:idx val="1"/>
          <c:order val="1"/>
          <c:tx>
            <c:strRef>
              <c:f>'access to services'!$C$185</c:f>
              <c:strCache>
                <c:ptCount val="1"/>
                <c:pt idx="0">
                  <c:v>low</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services'!$D$185:$L$185</c:f>
              <c:numCache>
                <c:formatCode>General</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0F57-4FF4-8B7A-D09E1F6A2118}"/>
            </c:ext>
          </c:extLst>
        </c:ser>
        <c:ser>
          <c:idx val="2"/>
          <c:order val="2"/>
          <c:tx>
            <c:strRef>
              <c:f>'access to services'!$C$186</c:f>
              <c:strCache>
                <c:ptCount val="1"/>
                <c:pt idx="0">
                  <c:v>medium</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services'!$D$186:$L$186</c:f>
              <c:numCache>
                <c:formatCode>General</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2-0F57-4FF4-8B7A-D09E1F6A2118}"/>
            </c:ext>
          </c:extLst>
        </c:ser>
        <c:ser>
          <c:idx val="3"/>
          <c:order val="3"/>
          <c:tx>
            <c:strRef>
              <c:f>'access to services'!$A$162</c:f>
              <c:strCache>
                <c:ptCount val="1"/>
                <c:pt idx="0">
                  <c:v>Households (total)</c:v>
                </c:pt>
              </c:strCache>
            </c:strRef>
          </c:tx>
          <c:marker>
            <c:symbol val="none"/>
          </c:marker>
          <c:val>
            <c:numRef>
              <c:f>'access to services'!$B$167:$J$167</c:f>
              <c:numCache>
                <c:formatCode>0</c:formatCode>
                <c:ptCount val="9"/>
                <c:pt idx="0">
                  <c:v>4620056.2305681948</c:v>
                </c:pt>
                <c:pt idx="1">
                  <c:v>4797835.8427264709</c:v>
                </c:pt>
                <c:pt idx="2">
                  <c:v>5094322.3246639483</c:v>
                </c:pt>
                <c:pt idx="3">
                  <c:v>5617035.6751867672</c:v>
                </c:pt>
                <c:pt idx="4">
                  <c:v>6159626.4877027264</c:v>
                </c:pt>
                <c:pt idx="5">
                  <c:v>6301239.9006334394</c:v>
                </c:pt>
                <c:pt idx="6">
                  <c:v>6429145.157404528</c:v>
                </c:pt>
                <c:pt idx="7">
                  <c:v>6652068.5606946982</c:v>
                </c:pt>
                <c:pt idx="8">
                  <c:v>6872504.7429159805</c:v>
                </c:pt>
              </c:numCache>
            </c:numRef>
          </c:val>
          <c:smooth val="0"/>
          <c:extLst>
            <c:ext xmlns:c16="http://schemas.microsoft.com/office/drawing/2014/chart" uri="{C3380CC4-5D6E-409C-BE32-E72D297353CC}">
              <c16:uniqueId val="{00000003-0F57-4FF4-8B7A-D09E1F6A2118}"/>
            </c:ext>
          </c:extLst>
        </c:ser>
        <c:ser>
          <c:idx val="4"/>
          <c:order val="4"/>
          <c:tx>
            <c:strRef>
              <c:f>'access to services'!$C$217</c:f>
              <c:strCache>
                <c:ptCount val="1"/>
                <c:pt idx="0">
                  <c:v>PAM MI total</c:v>
                </c:pt>
              </c:strCache>
            </c:strRef>
          </c:tx>
          <c:spPr>
            <a:ln>
              <a:prstDash val="dash"/>
            </a:ln>
          </c:spPr>
          <c:marker>
            <c:symbol val="none"/>
          </c:marker>
          <c:val>
            <c:numRef>
              <c:f>'access to services'!$D$217:$L$217</c:f>
              <c:numCache>
                <c:formatCode>0</c:formatCode>
                <c:ptCount val="9"/>
                <c:pt idx="0">
                  <c:v>0</c:v>
                </c:pt>
                <c:pt idx="1">
                  <c:v>0</c:v>
                </c:pt>
                <c:pt idx="2" formatCode="General">
                  <c:v>0</c:v>
                </c:pt>
                <c:pt idx="3" formatCode="General">
                  <c:v>0</c:v>
                </c:pt>
                <c:pt idx="4" formatCode="General">
                  <c:v>0</c:v>
                </c:pt>
                <c:pt idx="5" formatCode="General">
                  <c:v>0</c:v>
                </c:pt>
                <c:pt idx="6" formatCode="General">
                  <c:v>0</c:v>
                </c:pt>
                <c:pt idx="7" formatCode="General">
                  <c:v>0</c:v>
                </c:pt>
                <c:pt idx="8" formatCode="General">
                  <c:v>0</c:v>
                </c:pt>
              </c:numCache>
            </c:numRef>
          </c:val>
          <c:smooth val="0"/>
          <c:extLst>
            <c:ext xmlns:c16="http://schemas.microsoft.com/office/drawing/2014/chart" uri="{C3380CC4-5D6E-409C-BE32-E72D297353CC}">
              <c16:uniqueId val="{00000004-0F57-4FF4-8B7A-D09E1F6A2118}"/>
            </c:ext>
          </c:extLst>
        </c:ser>
        <c:ser>
          <c:idx val="5"/>
          <c:order val="5"/>
          <c:tx>
            <c:strRef>
              <c:f>'access to services'!$A$176</c:f>
              <c:strCache>
                <c:ptCount val="1"/>
                <c:pt idx="0">
                  <c:v>Middle income</c:v>
                </c:pt>
              </c:strCache>
            </c:strRef>
          </c:tx>
          <c:marker>
            <c:symbol val="none"/>
          </c:marker>
          <c:val>
            <c:numRef>
              <c:f>'access to services'!$B$177:$J$177</c:f>
              <c:numCache>
                <c:formatCode>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5-0F57-4FF4-8B7A-D09E1F6A2118}"/>
            </c:ext>
          </c:extLst>
        </c:ser>
        <c:dLbls>
          <c:showLegendKey val="0"/>
          <c:showVal val="0"/>
          <c:showCatName val="0"/>
          <c:showSerName val="0"/>
          <c:showPercent val="0"/>
          <c:showBubbleSize val="0"/>
        </c:dLbls>
        <c:smooth val="0"/>
        <c:axId val="629547744"/>
        <c:axId val="629548136"/>
      </c:lineChart>
      <c:catAx>
        <c:axId val="629547744"/>
        <c:scaling>
          <c:orientation val="minMax"/>
        </c:scaling>
        <c:delete val="0"/>
        <c:axPos val="b"/>
        <c:numFmt formatCode="General" sourceLinked="1"/>
        <c:majorTickMark val="out"/>
        <c:minorTickMark val="none"/>
        <c:tickLblPos val="nextTo"/>
        <c:crossAx val="629548136"/>
        <c:crosses val="autoZero"/>
        <c:auto val="1"/>
        <c:lblAlgn val="ctr"/>
        <c:lblOffset val="100"/>
        <c:noMultiLvlLbl val="0"/>
      </c:catAx>
      <c:valAx>
        <c:axId val="629548136"/>
        <c:scaling>
          <c:orientation val="minMax"/>
        </c:scaling>
        <c:delete val="0"/>
        <c:axPos val="l"/>
        <c:majorGridlines/>
        <c:numFmt formatCode="General" sourceLinked="1"/>
        <c:majorTickMark val="out"/>
        <c:minorTickMark val="none"/>
        <c:tickLblPos val="nextTo"/>
        <c:crossAx val="629547744"/>
        <c:crossesAt val="1"/>
        <c:crossBetween val="midCat"/>
        <c:dispUnits>
          <c:builtInUnit val="millions"/>
          <c:dispUnitsLbl/>
        </c:dispUnits>
      </c:valAx>
    </c:plotArea>
    <c:legend>
      <c:legendPos val="b"/>
      <c:layout>
        <c:manualLayout>
          <c:xMode val="edge"/>
          <c:yMode val="edge"/>
          <c:x val="3.7107988083768001E-2"/>
          <c:y val="0.80751460379025297"/>
          <c:w val="0.89459716269643497"/>
          <c:h val="0.192485396209747"/>
        </c:manualLayout>
      </c:layout>
      <c:overlay val="0"/>
    </c:legend>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services'!$A$194</c:f>
          <c:strCache>
            <c:ptCount val="1"/>
            <c:pt idx="0">
              <c:v>SWH Low Income</c:v>
            </c:pt>
          </c:strCache>
        </c:strRef>
      </c:tx>
      <c:layout>
        <c:manualLayout>
          <c:xMode val="edge"/>
          <c:yMode val="edge"/>
          <c:x val="0.29163183715959601"/>
          <c:y val="9.8522167487684695E-3"/>
        </c:manualLayout>
      </c:layout>
      <c:overlay val="0"/>
      <c:txPr>
        <a:bodyPr/>
        <a:lstStyle/>
        <a:p>
          <a:pPr>
            <a:defRPr sz="1400"/>
          </a:pPr>
          <a:endParaRPr lang="en-US"/>
        </a:p>
      </c:txPr>
    </c:title>
    <c:autoTitleDeleted val="0"/>
    <c:plotArea>
      <c:layout>
        <c:manualLayout>
          <c:layoutTarget val="inner"/>
          <c:xMode val="edge"/>
          <c:yMode val="edge"/>
          <c:x val="9.0398573596022005E-2"/>
          <c:y val="0.16172839506172801"/>
          <c:w val="0.85858400611315999"/>
          <c:h val="0.60773694954797297"/>
        </c:manualLayout>
      </c:layout>
      <c:lineChart>
        <c:grouping val="standard"/>
        <c:varyColors val="0"/>
        <c:ser>
          <c:idx val="0"/>
          <c:order val="0"/>
          <c:tx>
            <c:strRef>
              <c:f>'access to services'!$C$194</c:f>
              <c:strCache>
                <c:ptCount val="1"/>
                <c:pt idx="0">
                  <c:v>High</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services'!$D$194:$L$194</c:f>
              <c:numCache>
                <c:formatCode>0</c:formatCode>
                <c:ptCount val="9"/>
                <c:pt idx="0">
                  <c:v>1</c:v>
                </c:pt>
                <c:pt idx="1">
                  <c:v>1000</c:v>
                </c:pt>
                <c:pt idx="2" formatCode="General">
                  <c:v>2715.9633440993275</c:v>
                </c:pt>
                <c:pt idx="3" formatCode="General">
                  <c:v>13380.882990594493</c:v>
                </c:pt>
                <c:pt idx="4" formatCode="General">
                  <c:v>35962.22885997744</c:v>
                </c:pt>
                <c:pt idx="5" formatCode="General">
                  <c:v>94843.844357287977</c:v>
                </c:pt>
                <c:pt idx="6" formatCode="General">
                  <c:v>238502.31055409231</c:v>
                </c:pt>
                <c:pt idx="7" formatCode="General">
                  <c:v>538648.8354669346</c:v>
                </c:pt>
                <c:pt idx="8" formatCode="General">
                  <c:v>1003001.275816632</c:v>
                </c:pt>
              </c:numCache>
            </c:numRef>
          </c:val>
          <c:smooth val="0"/>
          <c:extLst>
            <c:ext xmlns:c16="http://schemas.microsoft.com/office/drawing/2014/chart" uri="{C3380CC4-5D6E-409C-BE32-E72D297353CC}">
              <c16:uniqueId val="{00000000-8933-427C-8D3C-0911BAA613AA}"/>
            </c:ext>
          </c:extLst>
        </c:ser>
        <c:ser>
          <c:idx val="1"/>
          <c:order val="1"/>
          <c:tx>
            <c:strRef>
              <c:f>'access to services'!$C$195</c:f>
              <c:strCache>
                <c:ptCount val="1"/>
                <c:pt idx="0">
                  <c:v>Middle</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services'!$D$195:$L$195</c:f>
              <c:numCache>
                <c:formatCode>0</c:formatCode>
                <c:ptCount val="9"/>
                <c:pt idx="0">
                  <c:v>1</c:v>
                </c:pt>
                <c:pt idx="1">
                  <c:v>1000</c:v>
                </c:pt>
                <c:pt idx="2" formatCode="General">
                  <c:v>4933.6541570118015</c:v>
                </c:pt>
                <c:pt idx="3" formatCode="General">
                  <c:v>13299.041479013369</c:v>
                </c:pt>
                <c:pt idx="4" formatCode="General">
                  <c:v>35347.950756263112</c:v>
                </c:pt>
                <c:pt idx="5" formatCode="General">
                  <c:v>90616.991662014232</c:v>
                </c:pt>
                <c:pt idx="6" formatCode="General">
                  <c:v>213319.71367365413</c:v>
                </c:pt>
                <c:pt idx="7" formatCode="General">
                  <c:v>425056.90767169988</c:v>
                </c:pt>
                <c:pt idx="8" formatCode="General">
                  <c:v>669539.44782187312</c:v>
                </c:pt>
              </c:numCache>
            </c:numRef>
          </c:val>
          <c:smooth val="0"/>
          <c:extLst>
            <c:ext xmlns:c16="http://schemas.microsoft.com/office/drawing/2014/chart" uri="{C3380CC4-5D6E-409C-BE32-E72D297353CC}">
              <c16:uniqueId val="{00000001-8933-427C-8D3C-0911BAA613AA}"/>
            </c:ext>
          </c:extLst>
        </c:ser>
        <c:ser>
          <c:idx val="2"/>
          <c:order val="2"/>
          <c:tx>
            <c:strRef>
              <c:f>'access to services'!$C$196</c:f>
              <c:strCache>
                <c:ptCount val="1"/>
                <c:pt idx="0">
                  <c:v>Low</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services'!$D$196:$L$196</c:f>
              <c:numCache>
                <c:formatCode>0</c:formatCode>
                <c:ptCount val="9"/>
                <c:pt idx="0">
                  <c:v>1</c:v>
                </c:pt>
                <c:pt idx="1">
                  <c:v>1000</c:v>
                </c:pt>
                <c:pt idx="2" formatCode="General">
                  <c:v>4940.0967095556862</c:v>
                </c:pt>
                <c:pt idx="3" formatCode="General">
                  <c:v>13353.49079411678</c:v>
                </c:pt>
                <c:pt idx="4" formatCode="General">
                  <c:v>35755.110943393913</c:v>
                </c:pt>
                <c:pt idx="5" formatCode="General">
                  <c:v>93391.75034988916</c:v>
                </c:pt>
                <c:pt idx="6" formatCode="General">
                  <c:v>229472.49450212307</c:v>
                </c:pt>
                <c:pt idx="7" formatCode="General">
                  <c:v>494590.79603907018</c:v>
                </c:pt>
                <c:pt idx="8" formatCode="General">
                  <c:v>860195.47309881181</c:v>
                </c:pt>
              </c:numCache>
            </c:numRef>
          </c:val>
          <c:smooth val="0"/>
          <c:extLst>
            <c:ext xmlns:c16="http://schemas.microsoft.com/office/drawing/2014/chart" uri="{C3380CC4-5D6E-409C-BE32-E72D297353CC}">
              <c16:uniqueId val="{00000002-8933-427C-8D3C-0911BAA613AA}"/>
            </c:ext>
          </c:extLst>
        </c:ser>
        <c:ser>
          <c:idx val="3"/>
          <c:order val="3"/>
          <c:tx>
            <c:strRef>
              <c:f>'access to services'!$A$162</c:f>
              <c:strCache>
                <c:ptCount val="1"/>
                <c:pt idx="0">
                  <c:v>Households (total)</c:v>
                </c:pt>
              </c:strCache>
            </c:strRef>
          </c:tx>
          <c:marker>
            <c:symbol val="none"/>
          </c:marker>
          <c:val>
            <c:numRef>
              <c:f>'access to services'!$B$166:$J$166</c:f>
              <c:numCache>
                <c:formatCode>0</c:formatCode>
                <c:ptCount val="9"/>
                <c:pt idx="0">
                  <c:v>6368181.1185857709</c:v>
                </c:pt>
                <c:pt idx="1">
                  <c:v>6144952.3670335356</c:v>
                </c:pt>
                <c:pt idx="2">
                  <c:v>5511359.4073537886</c:v>
                </c:pt>
                <c:pt idx="3">
                  <c:v>4989118.1730445521</c:v>
                </c:pt>
                <c:pt idx="4">
                  <c:v>4283186.5586367166</c:v>
                </c:pt>
                <c:pt idx="5">
                  <c:v>3747340.3020167807</c:v>
                </c:pt>
                <c:pt idx="6">
                  <c:v>3561739.6042965455</c:v>
                </c:pt>
                <c:pt idx="7">
                  <c:v>3420979.7403724575</c:v>
                </c:pt>
                <c:pt idx="8">
                  <c:v>3401351.4152201749</c:v>
                </c:pt>
              </c:numCache>
            </c:numRef>
          </c:val>
          <c:smooth val="0"/>
          <c:extLst>
            <c:ext xmlns:c16="http://schemas.microsoft.com/office/drawing/2014/chart" uri="{C3380CC4-5D6E-409C-BE32-E72D297353CC}">
              <c16:uniqueId val="{00000003-8933-427C-8D3C-0911BAA613AA}"/>
            </c:ext>
          </c:extLst>
        </c:ser>
        <c:ser>
          <c:idx val="4"/>
          <c:order val="4"/>
          <c:tx>
            <c:strRef>
              <c:f>'access to services'!$C$220</c:f>
              <c:strCache>
                <c:ptCount val="1"/>
                <c:pt idx="0">
                  <c:v>PAM LI</c:v>
                </c:pt>
              </c:strCache>
            </c:strRef>
          </c:tx>
          <c:spPr>
            <a:ln>
              <a:prstDash val="dash"/>
            </a:ln>
          </c:spPr>
          <c:marker>
            <c:symbol val="none"/>
          </c:marker>
          <c:val>
            <c:numRef>
              <c:f>'access to services'!$D$220:$L$220</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4-8933-427C-8D3C-0911BAA613AA}"/>
            </c:ext>
          </c:extLst>
        </c:ser>
        <c:dLbls>
          <c:showLegendKey val="0"/>
          <c:showVal val="0"/>
          <c:showCatName val="0"/>
          <c:showSerName val="0"/>
          <c:showPercent val="0"/>
          <c:showBubbleSize val="0"/>
        </c:dLbls>
        <c:smooth val="0"/>
        <c:axId val="504415448"/>
        <c:axId val="504415840"/>
      </c:lineChart>
      <c:catAx>
        <c:axId val="504415448"/>
        <c:scaling>
          <c:orientation val="minMax"/>
        </c:scaling>
        <c:delete val="0"/>
        <c:axPos val="b"/>
        <c:numFmt formatCode="General" sourceLinked="1"/>
        <c:majorTickMark val="out"/>
        <c:minorTickMark val="none"/>
        <c:tickLblPos val="nextTo"/>
        <c:crossAx val="504415840"/>
        <c:crosses val="autoZero"/>
        <c:auto val="1"/>
        <c:lblAlgn val="ctr"/>
        <c:lblOffset val="100"/>
        <c:noMultiLvlLbl val="0"/>
      </c:catAx>
      <c:valAx>
        <c:axId val="504415840"/>
        <c:scaling>
          <c:orientation val="minMax"/>
        </c:scaling>
        <c:delete val="0"/>
        <c:axPos val="l"/>
        <c:majorGridlines/>
        <c:numFmt formatCode="0" sourceLinked="1"/>
        <c:majorTickMark val="out"/>
        <c:minorTickMark val="none"/>
        <c:tickLblPos val="nextTo"/>
        <c:crossAx val="504415448"/>
        <c:crossesAt val="1"/>
        <c:crossBetween val="midCat"/>
        <c:dispUnits>
          <c:builtInUnit val="millions"/>
          <c:dispUnitsLbl/>
        </c:dispUnits>
      </c:valAx>
    </c:plotArea>
    <c:legend>
      <c:legendPos val="b"/>
      <c:layout>
        <c:manualLayout>
          <c:xMode val="edge"/>
          <c:yMode val="edge"/>
          <c:x val="3.7107988083768001E-2"/>
          <c:y val="0.85751288033440298"/>
          <c:w val="0.96289201191623197"/>
          <c:h val="9.8930607811954493E-2"/>
        </c:manualLayout>
      </c:layout>
      <c:overlay val="0"/>
    </c:legend>
    <c:plotVisOnly val="1"/>
    <c:dispBlanksAs val="gap"/>
    <c:showDLblsOverMax val="0"/>
  </c:chart>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services'!$A$215</c:f>
          <c:strCache>
            <c:ptCount val="1"/>
            <c:pt idx="0">
              <c:v>Scenario 3 requires 1.25 million SWH by 2019</c:v>
            </c:pt>
          </c:strCache>
        </c:strRef>
      </c:tx>
      <c:overlay val="0"/>
      <c:txPr>
        <a:bodyPr/>
        <a:lstStyle/>
        <a:p>
          <a:pPr>
            <a:defRPr sz="1200"/>
          </a:pPr>
          <a:endParaRPr lang="en-US"/>
        </a:p>
      </c:txPr>
    </c:title>
    <c:autoTitleDeleted val="0"/>
    <c:plotArea>
      <c:layout>
        <c:manualLayout>
          <c:layoutTarget val="inner"/>
          <c:xMode val="edge"/>
          <c:yMode val="edge"/>
          <c:x val="9.2812554680664905E-2"/>
          <c:y val="6.0185185185185203E-2"/>
          <c:w val="0.87107633420822395"/>
          <c:h val="0.69245589093030002"/>
        </c:manualLayout>
      </c:layout>
      <c:lineChart>
        <c:grouping val="standard"/>
        <c:varyColors val="0"/>
        <c:ser>
          <c:idx val="0"/>
          <c:order val="0"/>
          <c:tx>
            <c:strRef>
              <c:f>'access to services'!$C$216</c:f>
              <c:strCache>
                <c:ptCount val="1"/>
                <c:pt idx="0">
                  <c:v>PAM HI</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services'!$D$216:$L$216</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0-BA38-443A-9417-4395B1A8976C}"/>
            </c:ext>
          </c:extLst>
        </c:ser>
        <c:ser>
          <c:idx val="1"/>
          <c:order val="1"/>
          <c:tx>
            <c:strRef>
              <c:f>'access to services'!#REF!</c:f>
              <c:strCache>
                <c:ptCount val="1"/>
                <c:pt idx="0">
                  <c:v>#REF!</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services'!$D$217:$L$217</c:f>
              <c:numCache>
                <c:formatCode>0</c:formatCode>
                <c:ptCount val="9"/>
                <c:pt idx="0">
                  <c:v>0</c:v>
                </c:pt>
                <c:pt idx="1">
                  <c:v>0</c:v>
                </c:pt>
                <c:pt idx="2" formatCode="General">
                  <c:v>0</c:v>
                </c:pt>
                <c:pt idx="3" formatCode="General">
                  <c:v>0</c:v>
                </c:pt>
                <c:pt idx="4" formatCode="General">
                  <c:v>0</c:v>
                </c:pt>
                <c:pt idx="5" formatCode="General">
                  <c:v>0</c:v>
                </c:pt>
                <c:pt idx="6" formatCode="General">
                  <c:v>0</c:v>
                </c:pt>
                <c:pt idx="7" formatCode="General">
                  <c:v>0</c:v>
                </c:pt>
                <c:pt idx="8" formatCode="General">
                  <c:v>0</c:v>
                </c:pt>
              </c:numCache>
            </c:numRef>
          </c:val>
          <c:smooth val="0"/>
          <c:extLst>
            <c:ext xmlns:c16="http://schemas.microsoft.com/office/drawing/2014/chart" uri="{C3380CC4-5D6E-409C-BE32-E72D297353CC}">
              <c16:uniqueId val="{00000001-BA38-443A-9417-4395B1A8976C}"/>
            </c:ext>
          </c:extLst>
        </c:ser>
        <c:ser>
          <c:idx val="2"/>
          <c:order val="2"/>
          <c:tx>
            <c:strRef>
              <c:f>'access to services'!$C$220</c:f>
              <c:strCache>
                <c:ptCount val="1"/>
                <c:pt idx="0">
                  <c:v>PAM LI</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services'!$D$220:$L$220</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2-BA38-443A-9417-4395B1A8976C}"/>
            </c:ext>
          </c:extLst>
        </c:ser>
        <c:ser>
          <c:idx val="3"/>
          <c:order val="3"/>
          <c:tx>
            <c:strRef>
              <c:f>'access to services'!$C$221</c:f>
              <c:strCache>
                <c:ptCount val="1"/>
                <c:pt idx="0">
                  <c:v>Total</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services'!$D$221:$L$221</c:f>
              <c:numCache>
                <c:formatCode>General</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3-BA38-443A-9417-4395B1A8976C}"/>
            </c:ext>
          </c:extLst>
        </c:ser>
        <c:dLbls>
          <c:showLegendKey val="0"/>
          <c:showVal val="0"/>
          <c:showCatName val="0"/>
          <c:showSerName val="0"/>
          <c:showPercent val="0"/>
          <c:showBubbleSize val="0"/>
        </c:dLbls>
        <c:smooth val="0"/>
        <c:axId val="504416624"/>
        <c:axId val="504417016"/>
      </c:lineChart>
      <c:catAx>
        <c:axId val="504416624"/>
        <c:scaling>
          <c:orientation val="minMax"/>
        </c:scaling>
        <c:delete val="0"/>
        <c:axPos val="b"/>
        <c:numFmt formatCode="General" sourceLinked="1"/>
        <c:majorTickMark val="out"/>
        <c:minorTickMark val="none"/>
        <c:tickLblPos val="nextTo"/>
        <c:crossAx val="504417016"/>
        <c:crosses val="autoZero"/>
        <c:auto val="1"/>
        <c:lblAlgn val="ctr"/>
        <c:lblOffset val="100"/>
        <c:noMultiLvlLbl val="0"/>
      </c:catAx>
      <c:valAx>
        <c:axId val="504417016"/>
        <c:scaling>
          <c:orientation val="minMax"/>
        </c:scaling>
        <c:delete val="0"/>
        <c:axPos val="l"/>
        <c:majorGridlines/>
        <c:numFmt formatCode="General" sourceLinked="1"/>
        <c:majorTickMark val="out"/>
        <c:minorTickMark val="none"/>
        <c:tickLblPos val="nextTo"/>
        <c:crossAx val="504416624"/>
        <c:crosses val="autoZero"/>
        <c:crossBetween val="between"/>
        <c:dispUnits>
          <c:builtInUnit val="millions"/>
          <c:dispUnitsLbl/>
        </c:dispUnits>
      </c:valAx>
    </c:plotArea>
    <c:legend>
      <c:legendPos val="b"/>
      <c:overlay val="0"/>
    </c:legend>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2011_17'!$A$111:$C$111</c:f>
              <c:strCache>
                <c:ptCount val="3"/>
                <c:pt idx="0">
                  <c:v>Cooking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2011_17'!$D$111:$O$111</c15:sqref>
                  </c15:fullRef>
                </c:ext>
              </c:extLst>
              <c:f>('Census 2011_17'!$F$111,'Census 2011_17'!$O$111)</c:f>
              <c:numCache>
                <c:formatCode>0</c:formatCode>
                <c:ptCount val="2"/>
                <c:pt idx="0" formatCode="_ * #,##0_ ;_ * \-#,##0_ ;_ * &quot;-&quot;??_ ;_ @_ ">
                  <c:v>4087821.0046737627</c:v>
                </c:pt>
                <c:pt idx="1" formatCode="General">
                  <c:v>5035376.3812507456</c:v>
                </c:pt>
              </c:numCache>
            </c:numRef>
          </c:val>
          <c:extLst>
            <c:ext xmlns:c16="http://schemas.microsoft.com/office/drawing/2014/chart" uri="{C3380CC4-5D6E-409C-BE32-E72D297353CC}">
              <c16:uniqueId val="{00000000-EF06-4615-A11F-5683D7DB4C1C}"/>
            </c:ext>
          </c:extLst>
        </c:ser>
        <c:ser>
          <c:idx val="1"/>
          <c:order val="1"/>
          <c:tx>
            <c:strRef>
              <c:f>'Census 2011_17'!$A$112:$C$112</c:f>
              <c:strCache>
                <c:ptCount val="3"/>
                <c:pt idx="0">
                  <c:v>Cooking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2011_17'!$D$112:$O$112</c15:sqref>
                  </c15:fullRef>
                </c:ext>
              </c:extLst>
              <c:f>('Census 2011_17'!$F$112,'Census 2011_17'!$O$112)</c:f>
              <c:numCache>
                <c:formatCode>General</c:formatCode>
                <c:ptCount val="2"/>
                <c:pt idx="0" formatCode="_ * #,##0_ ;_ * \-#,##0_ ;_ * &quot;-&quot;??_ ;_ @_ ">
                  <c:v>160273.27776203959</c:v>
                </c:pt>
                <c:pt idx="1">
                  <c:v>252083.25552862149</c:v>
                </c:pt>
              </c:numCache>
            </c:numRef>
          </c:val>
          <c:extLst>
            <c:ext xmlns:c16="http://schemas.microsoft.com/office/drawing/2014/chart" uri="{C3380CC4-5D6E-409C-BE32-E72D297353CC}">
              <c16:uniqueId val="{00000001-EF06-4615-A11F-5683D7DB4C1C}"/>
            </c:ext>
          </c:extLst>
        </c:ser>
        <c:ser>
          <c:idx val="2"/>
          <c:order val="2"/>
          <c:tx>
            <c:strRef>
              <c:f>'Census 2011_17'!$A$113:$C$113</c:f>
              <c:strCache>
                <c:ptCount val="3"/>
                <c:pt idx="0">
                  <c:v>Cooking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2011_17'!$D$113:$O$113</c15:sqref>
                  </c15:fullRef>
                </c:ext>
              </c:extLst>
              <c:f>('Census 2011_17'!$F$113,'Census 2011_17'!$O$113)</c:f>
              <c:numCache>
                <c:formatCode>General</c:formatCode>
                <c:ptCount val="2"/>
                <c:pt idx="0" formatCode="_ * #,##0_ ;_ * \-#,##0_ ;_ * &quot;-&quot;??_ ;_ @_ ">
                  <c:v>812481.36042408273</c:v>
                </c:pt>
                <c:pt idx="1">
                  <c:v>955332.09294816176</c:v>
                </c:pt>
              </c:numCache>
            </c:numRef>
          </c:val>
          <c:extLst>
            <c:ext xmlns:c16="http://schemas.microsoft.com/office/drawing/2014/chart" uri="{C3380CC4-5D6E-409C-BE32-E72D297353CC}">
              <c16:uniqueId val="{00000002-EF06-4615-A11F-5683D7DB4C1C}"/>
            </c:ext>
          </c:extLst>
        </c:ser>
        <c:ser>
          <c:idx val="3"/>
          <c:order val="3"/>
          <c:tx>
            <c:strRef>
              <c:f>'Census 2011_17'!$A$114:$C$114</c:f>
              <c:strCache>
                <c:ptCount val="3"/>
                <c:pt idx="0">
                  <c:v>Cooking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2011_17'!$D$114:$O$114</c15:sqref>
                  </c15:fullRef>
                </c:ext>
              </c:extLst>
              <c:f>('Census 2011_17'!$F$114,'Census 2011_17'!$O$114)</c:f>
              <c:numCache>
                <c:formatCode>General</c:formatCode>
                <c:ptCount val="2"/>
                <c:pt idx="0" formatCode="_ * #,##0_ ;_ * \-#,##0_ ;_ * &quot;-&quot;??_ ;_ @_ ">
                  <c:v>1153870.361664877</c:v>
                </c:pt>
                <c:pt idx="1">
                  <c:v>1372344.095683275</c:v>
                </c:pt>
              </c:numCache>
            </c:numRef>
          </c:val>
          <c:extLst>
            <c:ext xmlns:c16="http://schemas.microsoft.com/office/drawing/2014/chart" uri="{C3380CC4-5D6E-409C-BE32-E72D297353CC}">
              <c16:uniqueId val="{00000003-EF06-4615-A11F-5683D7DB4C1C}"/>
            </c:ext>
          </c:extLst>
        </c:ser>
        <c:ser>
          <c:idx val="4"/>
          <c:order val="4"/>
          <c:tx>
            <c:strRef>
              <c:f>'Census 2011_17'!$A$115:$C$115</c:f>
              <c:strCache>
                <c:ptCount val="3"/>
                <c:pt idx="0">
                  <c:v>Cooking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2011_17'!$D$115:$O$115</c15:sqref>
                  </c15:fullRef>
                </c:ext>
              </c:extLst>
              <c:f>('Census 2011_17'!$F$115,'Census 2011_17'!$O$115)</c:f>
              <c:numCache>
                <c:formatCode>General</c:formatCode>
                <c:ptCount val="2"/>
                <c:pt idx="0" formatCode="_ * #,##0_ ;_ * \-#,##0_ ;_ * &quot;-&quot;??_ ;_ @_ ">
                  <c:v>54263.078515796238</c:v>
                </c:pt>
                <c:pt idx="1">
                  <c:v>40194.30393457281</c:v>
                </c:pt>
              </c:numCache>
            </c:numRef>
          </c:val>
          <c:extLst>
            <c:ext xmlns:c16="http://schemas.microsoft.com/office/drawing/2014/chart" uri="{C3380CC4-5D6E-409C-BE32-E72D297353CC}">
              <c16:uniqueId val="{00000004-EF06-4615-A11F-5683D7DB4C1C}"/>
            </c:ext>
          </c:extLst>
        </c:ser>
        <c:ser>
          <c:idx val="5"/>
          <c:order val="5"/>
          <c:tx>
            <c:strRef>
              <c:f>'Census 2011_17'!$A$116:$C$116</c:f>
              <c:strCache>
                <c:ptCount val="3"/>
                <c:pt idx="0">
                  <c:v>Cooking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2011_17'!$D$116:$O$116</c15:sqref>
                  </c15:fullRef>
                </c:ext>
              </c:extLst>
              <c:f>('Census 2011_17'!$F$116,'Census 2011_17'!$O$116)</c:f>
              <c:numCache>
                <c:formatCode>General</c:formatCode>
                <c:ptCount val="2"/>
                <c:pt idx="0" formatCode="_ * #,##0_ ;_ * \-#,##0_ ;_ * &quot;-&quot;??_ ;_ @_ ">
                  <c:v>28061.148597041283</c:v>
                </c:pt>
                <c:pt idx="1">
                  <c:v>8342.4438237741979</c:v>
                </c:pt>
              </c:numCache>
            </c:numRef>
          </c:val>
          <c:extLst>
            <c:ext xmlns:c16="http://schemas.microsoft.com/office/drawing/2014/chart" uri="{C3380CC4-5D6E-409C-BE32-E72D297353CC}">
              <c16:uniqueId val="{00000005-EF06-4615-A11F-5683D7DB4C1C}"/>
            </c:ext>
          </c:extLst>
        </c:ser>
        <c:ser>
          <c:idx val="6"/>
          <c:order val="6"/>
          <c:tx>
            <c:strRef>
              <c:f>'Census 2011_17'!$A$117:$C$117</c:f>
              <c:strCache>
                <c:ptCount val="3"/>
                <c:pt idx="0">
                  <c:v>Cooking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2011_17'!$D$117:$O$117</c15:sqref>
                  </c15:fullRef>
                </c:ext>
              </c:extLst>
              <c:f>('Census 2011_17'!$F$117,'Census 2011_17'!$O$117)</c:f>
              <c:numCache>
                <c:formatCode>General</c:formatCode>
                <c:ptCount val="2"/>
                <c:pt idx="0" formatCode="_ * #,##0_ ;_ * \-#,##0_ ;_ * &quot;-&quot;??_ ;_ @_ ">
                  <c:v>9076.1259727888028</c:v>
                </c:pt>
                <c:pt idx="1">
                  <c:v>7802.7506175123835</c:v>
                </c:pt>
              </c:numCache>
            </c:numRef>
          </c:val>
          <c:extLst>
            <c:ext xmlns:c16="http://schemas.microsoft.com/office/drawing/2014/chart" uri="{C3380CC4-5D6E-409C-BE32-E72D297353CC}">
              <c16:uniqueId val="{00000006-EF06-4615-A11F-5683D7DB4C1C}"/>
            </c:ext>
          </c:extLst>
        </c:ser>
        <c:ser>
          <c:idx val="7"/>
          <c:order val="7"/>
          <c:tx>
            <c:strRef>
              <c:f>'Census 2011_17'!$A$118:$C$118</c:f>
              <c:strCache>
                <c:ptCount val="3"/>
                <c:pt idx="0">
                  <c:v>Cooking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2011_17'!$D$118:$O$118</c15:sqref>
                  </c15:fullRef>
                </c:ext>
              </c:extLst>
              <c:f>('Census 2011_17'!$F$118,'Census 2011_17'!$O$118)</c:f>
              <c:numCache>
                <c:formatCode>General</c:formatCode>
                <c:ptCount val="2"/>
                <c:pt idx="0" formatCode="_ * #,##0_ ;_ * \-#,##0_ ;_ * &quot;-&quot;??_ ;_ @_ ">
                  <c:v>9757.2617573359421</c:v>
                </c:pt>
                <c:pt idx="1">
                  <c:v>10363.928491492848</c:v>
                </c:pt>
              </c:numCache>
            </c:numRef>
          </c:val>
          <c:extLst>
            <c:ext xmlns:c16="http://schemas.microsoft.com/office/drawing/2014/chart" uri="{C3380CC4-5D6E-409C-BE32-E72D297353CC}">
              <c16:uniqueId val="{00000007-EF06-4615-A11F-5683D7DB4C1C}"/>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2011_17'!$A$121:$C$121</c:f>
              <c:strCache>
                <c:ptCount val="3"/>
                <c:pt idx="0">
                  <c:v>Cooking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2011_17'!$D$121:$O$121</c15:sqref>
                  </c15:fullRef>
                </c:ext>
              </c:extLst>
              <c:f>('Census 2011_17'!$F$121,'Census 2011_17'!$O$121)</c:f>
              <c:numCache>
                <c:formatCode>0</c:formatCode>
                <c:ptCount val="2"/>
                <c:pt idx="0" formatCode="_ * #,##0_ ;_ * \-#,##0_ ;_ * &quot;-&quot;??_ ;_ @_ ">
                  <c:v>3435830.5027295714</c:v>
                </c:pt>
                <c:pt idx="1" formatCode="General">
                  <c:v>4197062.3111257274</c:v>
                </c:pt>
              </c:numCache>
            </c:numRef>
          </c:val>
          <c:extLst>
            <c:ext xmlns:c16="http://schemas.microsoft.com/office/drawing/2014/chart" uri="{C3380CC4-5D6E-409C-BE32-E72D297353CC}">
              <c16:uniqueId val="{00000000-34B4-4283-826C-9A5657DCE530}"/>
            </c:ext>
          </c:extLst>
        </c:ser>
        <c:ser>
          <c:idx val="1"/>
          <c:order val="1"/>
          <c:tx>
            <c:strRef>
              <c:f>'Census 2011_17'!$A$122:$C$122</c:f>
              <c:strCache>
                <c:ptCount val="3"/>
                <c:pt idx="0">
                  <c:v>Cooking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2011_17'!$D$122:$O$122</c15:sqref>
                  </c15:fullRef>
                </c:ext>
              </c:extLst>
              <c:f>('Census 2011_17'!$F$122,'Census 2011_17'!$O$122)</c:f>
              <c:numCache>
                <c:formatCode>General</c:formatCode>
                <c:ptCount val="2"/>
                <c:pt idx="0" formatCode="_ * #,##0_ ;_ * \-#,##0_ ;_ * &quot;-&quot;??_ ;_ @_ ">
                  <c:v>131714.17393537625</c:v>
                </c:pt>
                <c:pt idx="1">
                  <c:v>205441.89434393408</c:v>
                </c:pt>
              </c:numCache>
            </c:numRef>
          </c:val>
          <c:extLst>
            <c:ext xmlns:c16="http://schemas.microsoft.com/office/drawing/2014/chart" uri="{C3380CC4-5D6E-409C-BE32-E72D297353CC}">
              <c16:uniqueId val="{00000001-34B4-4283-826C-9A5657DCE530}"/>
            </c:ext>
          </c:extLst>
        </c:ser>
        <c:ser>
          <c:idx val="2"/>
          <c:order val="2"/>
          <c:tx>
            <c:strRef>
              <c:f>'Census 2011_17'!$A$123:$C$123</c:f>
              <c:strCache>
                <c:ptCount val="3"/>
                <c:pt idx="0">
                  <c:v>Cooking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2011_17'!$D$123:$O$123</c15:sqref>
                  </c15:fullRef>
                </c:ext>
              </c:extLst>
              <c:f>('Census 2011_17'!$F$123,'Census 2011_17'!$O$123)</c:f>
              <c:numCache>
                <c:formatCode>General</c:formatCode>
                <c:ptCount val="2"/>
                <c:pt idx="0" formatCode="_ * #,##0_ ;_ * \-#,##0_ ;_ * &quot;-&quot;??_ ;_ @_ ">
                  <c:v>368197.45285899984</c:v>
                </c:pt>
                <c:pt idx="1">
                  <c:v>429334.07571922371</c:v>
                </c:pt>
              </c:numCache>
            </c:numRef>
          </c:val>
          <c:extLst>
            <c:ext xmlns:c16="http://schemas.microsoft.com/office/drawing/2014/chart" uri="{C3380CC4-5D6E-409C-BE32-E72D297353CC}">
              <c16:uniqueId val="{00000002-34B4-4283-826C-9A5657DCE530}"/>
            </c:ext>
          </c:extLst>
        </c:ser>
        <c:ser>
          <c:idx val="3"/>
          <c:order val="3"/>
          <c:tx>
            <c:strRef>
              <c:f>'Census 2011_17'!$A$124:$C$124</c:f>
              <c:strCache>
                <c:ptCount val="3"/>
                <c:pt idx="0">
                  <c:v>Cooking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2011_17'!$D$124:$O$124</c15:sqref>
                  </c15:fullRef>
                </c:ext>
              </c:extLst>
              <c:f>('Census 2011_17'!$F$124,'Census 2011_17'!$O$124)</c:f>
              <c:numCache>
                <c:formatCode>General</c:formatCode>
                <c:ptCount val="2"/>
                <c:pt idx="0" formatCode="_ * #,##0_ ;_ * \-#,##0_ ;_ * &quot;-&quot;??_ ;_ @_ ">
                  <c:v>588016.51650784316</c:v>
                </c:pt>
                <c:pt idx="1">
                  <c:v>693536.2139641809</c:v>
                </c:pt>
              </c:numCache>
            </c:numRef>
          </c:val>
          <c:extLst>
            <c:ext xmlns:c16="http://schemas.microsoft.com/office/drawing/2014/chart" uri="{C3380CC4-5D6E-409C-BE32-E72D297353CC}">
              <c16:uniqueId val="{00000003-34B4-4283-826C-9A5657DCE530}"/>
            </c:ext>
          </c:extLst>
        </c:ser>
        <c:ser>
          <c:idx val="4"/>
          <c:order val="4"/>
          <c:tx>
            <c:strRef>
              <c:f>'Census 2011_17'!$A$125:$C$125</c:f>
              <c:strCache>
                <c:ptCount val="3"/>
                <c:pt idx="0">
                  <c:v>Cooking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2011_17'!$D$125:$O$125</c15:sqref>
                  </c15:fullRef>
                </c:ext>
              </c:extLst>
              <c:f>('Census 2011_17'!$F$125,'Census 2011_17'!$O$125)</c:f>
              <c:numCache>
                <c:formatCode>General</c:formatCode>
                <c:ptCount val="2"/>
                <c:pt idx="0" formatCode="_ * #,##0_ ;_ * \-#,##0_ ;_ * &quot;-&quot;??_ ;_ @_ ">
                  <c:v>41330.752947390385</c:v>
                </c:pt>
                <c:pt idx="1">
                  <c:v>30360.367114407229</c:v>
                </c:pt>
              </c:numCache>
            </c:numRef>
          </c:val>
          <c:extLst>
            <c:ext xmlns:c16="http://schemas.microsoft.com/office/drawing/2014/chart" uri="{C3380CC4-5D6E-409C-BE32-E72D297353CC}">
              <c16:uniqueId val="{00000004-34B4-4283-826C-9A5657DCE530}"/>
            </c:ext>
          </c:extLst>
        </c:ser>
        <c:ser>
          <c:idx val="5"/>
          <c:order val="5"/>
          <c:tx>
            <c:strRef>
              <c:f>'Census 2011_17'!$A$126:$C$126</c:f>
              <c:strCache>
                <c:ptCount val="3"/>
                <c:pt idx="0">
                  <c:v>Cooking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2011_17'!$D$126:$O$126</c15:sqref>
                  </c15:fullRef>
                </c:ext>
              </c:extLst>
              <c:f>('Census 2011_17'!$F$126,'Census 2011_17'!$O$126)</c:f>
              <c:numCache>
                <c:formatCode>General</c:formatCode>
                <c:ptCount val="2"/>
                <c:pt idx="0" formatCode="_ * #,##0_ ;_ * \-#,##0_ ;_ * &quot;-&quot;??_ ;_ @_ ">
                  <c:v>15177.720459499902</c:v>
                </c:pt>
                <c:pt idx="1">
                  <c:v>4474.7421571461582</c:v>
                </c:pt>
              </c:numCache>
            </c:numRef>
          </c:val>
          <c:extLst>
            <c:ext xmlns:c16="http://schemas.microsoft.com/office/drawing/2014/chart" uri="{C3380CC4-5D6E-409C-BE32-E72D297353CC}">
              <c16:uniqueId val="{00000005-34B4-4283-826C-9A5657DCE530}"/>
            </c:ext>
          </c:extLst>
        </c:ser>
        <c:ser>
          <c:idx val="6"/>
          <c:order val="6"/>
          <c:tx>
            <c:strRef>
              <c:f>'Census 2011_17'!$A$127:$C$127</c:f>
              <c:strCache>
                <c:ptCount val="3"/>
                <c:pt idx="0">
                  <c:v>Cooking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2011_17'!$D$127:$O$127</c15:sqref>
                  </c15:fullRef>
                </c:ext>
              </c:extLst>
              <c:f>('Census 2011_17'!$F$127,'Census 2011_17'!$O$127)</c:f>
              <c:numCache>
                <c:formatCode>General</c:formatCode>
                <c:ptCount val="2"/>
                <c:pt idx="0" formatCode="_ * #,##0_ ;_ * \-#,##0_ ;_ * &quot;-&quot;??_ ;_ @_ ">
                  <c:v>6772.1065546283799</c:v>
                </c:pt>
                <c:pt idx="1">
                  <c:v>5773.5723558002755</c:v>
                </c:pt>
              </c:numCache>
            </c:numRef>
          </c:val>
          <c:extLst>
            <c:ext xmlns:c16="http://schemas.microsoft.com/office/drawing/2014/chart" uri="{C3380CC4-5D6E-409C-BE32-E72D297353CC}">
              <c16:uniqueId val="{00000006-34B4-4283-826C-9A5657DCE530}"/>
            </c:ext>
          </c:extLst>
        </c:ser>
        <c:ser>
          <c:idx val="7"/>
          <c:order val="7"/>
          <c:tx>
            <c:strRef>
              <c:f>'Census 2011_17'!$A$128:$C$128</c:f>
              <c:strCache>
                <c:ptCount val="3"/>
                <c:pt idx="0">
                  <c:v>Cooking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2011_17'!$D$128:$O$128</c15:sqref>
                  </c15:fullRef>
                </c:ext>
              </c:extLst>
              <c:f>('Census 2011_17'!$F$128,'Census 2011_17'!$O$128)</c:f>
              <c:numCache>
                <c:formatCode>General</c:formatCode>
                <c:ptCount val="2"/>
                <c:pt idx="0" formatCode="_ * #,##0_ ;_ * \-#,##0_ ;_ * &quot;-&quot;??_ ;_ @_ ">
                  <c:v>6759.2602874594422</c:v>
                </c:pt>
                <c:pt idx="1">
                  <c:v>7119.8237185132712</c:v>
                </c:pt>
              </c:numCache>
            </c:numRef>
          </c:val>
          <c:extLst>
            <c:ext xmlns:c16="http://schemas.microsoft.com/office/drawing/2014/chart" uri="{C3380CC4-5D6E-409C-BE32-E72D297353CC}">
              <c16:uniqueId val="{00000007-34B4-4283-826C-9A5657DCE530}"/>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2011_17'!$A$131:$C$131</c:f>
              <c:strCache>
                <c:ptCount val="3"/>
                <c:pt idx="0">
                  <c:v>Cooking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2011_17'!$D$131:$O$131</c15:sqref>
                  </c15:fullRef>
                </c:ext>
              </c:extLst>
              <c:f>('Census 2011_17'!$F$131,'Census 2011_17'!$O$131)</c:f>
              <c:numCache>
                <c:formatCode>0</c:formatCode>
                <c:ptCount val="2"/>
                <c:pt idx="0" formatCode="_ * #,##0_ ;_ * \-#,##0_ ;_ * &quot;-&quot;??_ ;_ @_ ">
                  <c:v>3087798.6671653627</c:v>
                </c:pt>
                <c:pt idx="1" formatCode="General">
                  <c:v>3692349.1126473104</c:v>
                </c:pt>
              </c:numCache>
            </c:numRef>
          </c:val>
          <c:extLst>
            <c:ext xmlns:c16="http://schemas.microsoft.com/office/drawing/2014/chart" uri="{C3380CC4-5D6E-409C-BE32-E72D297353CC}">
              <c16:uniqueId val="{00000000-C45F-4088-BB52-371E9F8F5BFE}"/>
            </c:ext>
          </c:extLst>
        </c:ser>
        <c:ser>
          <c:idx val="1"/>
          <c:order val="1"/>
          <c:tx>
            <c:strRef>
              <c:f>'Census 2011_17'!$A$132:$C$132</c:f>
              <c:strCache>
                <c:ptCount val="3"/>
                <c:pt idx="0">
                  <c:v>Cooking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2011_17'!$D$132:$O$132</c15:sqref>
                  </c15:fullRef>
                </c:ext>
              </c:extLst>
              <c:f>('Census 2011_17'!$F$132,'Census 2011_17'!$O$132)</c:f>
              <c:numCache>
                <c:formatCode>General</c:formatCode>
                <c:ptCount val="2"/>
                <c:pt idx="0" formatCode="_ * #,##0_ ;_ * \-#,##0_ ;_ * &quot;-&quot;??_ ;_ @_ ">
                  <c:v>215628.23639258422</c:v>
                </c:pt>
                <c:pt idx="1">
                  <c:v>329232.13998518517</c:v>
                </c:pt>
              </c:numCache>
            </c:numRef>
          </c:val>
          <c:extLst>
            <c:ext xmlns:c16="http://schemas.microsoft.com/office/drawing/2014/chart" uri="{C3380CC4-5D6E-409C-BE32-E72D297353CC}">
              <c16:uniqueId val="{00000001-C45F-4088-BB52-371E9F8F5BFE}"/>
            </c:ext>
          </c:extLst>
        </c:ser>
        <c:ser>
          <c:idx val="2"/>
          <c:order val="2"/>
          <c:tx>
            <c:strRef>
              <c:f>'Census 2011_17'!$A$133:$C$133</c:f>
              <c:strCache>
                <c:ptCount val="3"/>
                <c:pt idx="0">
                  <c:v>Cooking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2011_17'!$D$133:$O$133</c15:sqref>
                  </c15:fullRef>
                </c:ext>
              </c:extLst>
              <c:f>('Census 2011_17'!$F$133,'Census 2011_17'!$O$133)</c:f>
              <c:numCache>
                <c:formatCode>General</c:formatCode>
                <c:ptCount val="2"/>
                <c:pt idx="0" formatCode="_ * #,##0_ ;_ * \-#,##0_ ;_ * &quot;-&quot;??_ ;_ @_ ">
                  <c:v>46658.228266917657</c:v>
                </c:pt>
                <c:pt idx="1">
                  <c:v>53257.762733822565</c:v>
                </c:pt>
              </c:numCache>
            </c:numRef>
          </c:val>
          <c:extLst>
            <c:ext xmlns:c16="http://schemas.microsoft.com/office/drawing/2014/chart" uri="{C3380CC4-5D6E-409C-BE32-E72D297353CC}">
              <c16:uniqueId val="{00000002-C45F-4088-BB52-371E9F8F5BFE}"/>
            </c:ext>
          </c:extLst>
        </c:ser>
        <c:ser>
          <c:idx val="3"/>
          <c:order val="3"/>
          <c:tx>
            <c:strRef>
              <c:f>'Census 2011_17'!$A$134:$C$134</c:f>
              <c:strCache>
                <c:ptCount val="3"/>
                <c:pt idx="0">
                  <c:v>Cooking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2011_17'!$D$134:$O$134</c15:sqref>
                  </c15:fullRef>
                </c:ext>
              </c:extLst>
              <c:f>('Census 2011_17'!$F$134,'Census 2011_17'!$O$134)</c:f>
              <c:numCache>
                <c:formatCode>General</c:formatCode>
                <c:ptCount val="2"/>
                <c:pt idx="0" formatCode="_ * #,##0_ ;_ * \-#,##0_ ;_ * &quot;-&quot;??_ ;_ @_ ">
                  <c:v>65718.702627079838</c:v>
                </c:pt>
                <c:pt idx="1">
                  <c:v>75876.745559416202</c:v>
                </c:pt>
              </c:numCache>
            </c:numRef>
          </c:val>
          <c:extLst>
            <c:ext xmlns:c16="http://schemas.microsoft.com/office/drawing/2014/chart" uri="{C3380CC4-5D6E-409C-BE32-E72D297353CC}">
              <c16:uniqueId val="{00000003-C45F-4088-BB52-371E9F8F5BFE}"/>
            </c:ext>
          </c:extLst>
        </c:ser>
        <c:ser>
          <c:idx val="4"/>
          <c:order val="4"/>
          <c:tx>
            <c:strRef>
              <c:f>'Census 2011_17'!$A$135:$C$135</c:f>
              <c:strCache>
                <c:ptCount val="3"/>
                <c:pt idx="0">
                  <c:v>Cooking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2011_17'!$D$135:$O$135</c15:sqref>
                  </c15:fullRef>
                </c:ext>
              </c:extLst>
              <c:f>('Census 2011_17'!$F$135,'Census 2011_17'!$O$135)</c:f>
              <c:numCache>
                <c:formatCode>General</c:formatCode>
                <c:ptCount val="2"/>
                <c:pt idx="0" formatCode="_ * #,##0_ ;_ * \-#,##0_ ;_ * &quot;-&quot;??_ ;_ @_ ">
                  <c:v>8577.4895668133522</c:v>
                </c:pt>
                <c:pt idx="1">
                  <c:v>6167.8527309642832</c:v>
                </c:pt>
              </c:numCache>
            </c:numRef>
          </c:val>
          <c:extLst>
            <c:ext xmlns:c16="http://schemas.microsoft.com/office/drawing/2014/chart" uri="{C3380CC4-5D6E-409C-BE32-E72D297353CC}">
              <c16:uniqueId val="{00000004-C45F-4088-BB52-371E9F8F5BFE}"/>
            </c:ext>
          </c:extLst>
        </c:ser>
        <c:ser>
          <c:idx val="5"/>
          <c:order val="5"/>
          <c:tx>
            <c:strRef>
              <c:f>'Census 2011_17'!$A$136:$C$136</c:f>
              <c:strCache>
                <c:ptCount val="3"/>
                <c:pt idx="0">
                  <c:v>Cooking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2011_17'!$D$136:$O$136</c15:sqref>
                  </c15:fullRef>
                </c:ext>
              </c:extLst>
              <c:f>('Census 2011_17'!$F$136,'Census 2011_17'!$O$136)</c:f>
              <c:numCache>
                <c:formatCode>General</c:formatCode>
                <c:ptCount val="2"/>
                <c:pt idx="0" formatCode="_ * #,##0_ ;_ * \-#,##0_ ;_ * &quot;-&quot;??_ ;_ @_ ">
                  <c:v>2110.4762134588191</c:v>
                </c:pt>
                <c:pt idx="1">
                  <c:v>609.09077648709797</c:v>
                </c:pt>
              </c:numCache>
            </c:numRef>
          </c:val>
          <c:extLst>
            <c:ext xmlns:c16="http://schemas.microsoft.com/office/drawing/2014/chart" uri="{C3380CC4-5D6E-409C-BE32-E72D297353CC}">
              <c16:uniqueId val="{00000005-C45F-4088-BB52-371E9F8F5BFE}"/>
            </c:ext>
          </c:extLst>
        </c:ser>
        <c:ser>
          <c:idx val="6"/>
          <c:order val="6"/>
          <c:tx>
            <c:strRef>
              <c:f>'Census 2011_17'!$A$137:$C$137</c:f>
              <c:strCache>
                <c:ptCount val="3"/>
                <c:pt idx="0">
                  <c:v>Cooking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2011_17'!$D$137:$O$137</c15:sqref>
                  </c15:fullRef>
                </c:ext>
              </c:extLst>
              <c:f>('Census 2011_17'!$F$137,'Census 2011_17'!$O$137)</c:f>
              <c:numCache>
                <c:formatCode>General</c:formatCode>
                <c:ptCount val="2"/>
                <c:pt idx="0" formatCode="_ * #,##0_ ;_ * \-#,##0_ ;_ * &quot;-&quot;??_ ;_ @_ ">
                  <c:v>6406.9930225828166</c:v>
                </c:pt>
                <c:pt idx="1">
                  <c:v>5347.0614679686996</c:v>
                </c:pt>
              </c:numCache>
            </c:numRef>
          </c:val>
          <c:extLst>
            <c:ext xmlns:c16="http://schemas.microsoft.com/office/drawing/2014/chart" uri="{C3380CC4-5D6E-409C-BE32-E72D297353CC}">
              <c16:uniqueId val="{00000006-C45F-4088-BB52-371E9F8F5BFE}"/>
            </c:ext>
          </c:extLst>
        </c:ser>
        <c:ser>
          <c:idx val="7"/>
          <c:order val="7"/>
          <c:tx>
            <c:strRef>
              <c:f>'Census 2011_17'!$A$138:$C$138</c:f>
              <c:strCache>
                <c:ptCount val="3"/>
                <c:pt idx="0">
                  <c:v>Cooking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2011_17'!$D$138:$O$138</c15:sqref>
                  </c15:fullRef>
                </c:ext>
              </c:extLst>
              <c:f>('Census 2011_17'!$F$138,'Census 2011_17'!$O$138)</c:f>
              <c:numCache>
                <c:formatCode>General</c:formatCode>
                <c:ptCount val="2"/>
                <c:pt idx="0" formatCode="_ * #,##0_ ;_ * \-#,##0_ ;_ * &quot;-&quot;??_ ;_ @_ ">
                  <c:v>12827.044605204619</c:v>
                </c:pt>
                <c:pt idx="1">
                  <c:v>13226.251321754638</c:v>
                </c:pt>
              </c:numCache>
            </c:numRef>
          </c:val>
          <c:extLst>
            <c:ext xmlns:c16="http://schemas.microsoft.com/office/drawing/2014/chart" uri="{C3380CC4-5D6E-409C-BE32-E72D297353CC}">
              <c16:uniqueId val="{00000007-C45F-4088-BB52-371E9F8F5BFE}"/>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2011_17'!$A$142:$C$142</c:f>
              <c:strCache>
                <c:ptCount val="3"/>
                <c:pt idx="0">
                  <c:v>Space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2011_17'!$D$142:$O$142</c15:sqref>
                  </c15:fullRef>
                </c:ext>
              </c:extLst>
              <c:f>('Census 2011_17'!$F$142,'Census 2011_17'!$O$142)</c:f>
              <c:numCache>
                <c:formatCode>0</c:formatCode>
                <c:ptCount val="2"/>
                <c:pt idx="0" formatCode="_ * #,##0_ ;_ * \-#,##0_ ;_ * &quot;-&quot;??_ ;_ @_ ">
                  <c:v>3081508.5867071724</c:v>
                </c:pt>
                <c:pt idx="1" formatCode="General">
                  <c:v>4291349.1386891333</c:v>
                </c:pt>
              </c:numCache>
            </c:numRef>
          </c:val>
          <c:extLst>
            <c:ext xmlns:c16="http://schemas.microsoft.com/office/drawing/2014/chart" uri="{C3380CC4-5D6E-409C-BE32-E72D297353CC}">
              <c16:uniqueId val="{00000000-9454-4FDA-BB02-3144C424A9E4}"/>
            </c:ext>
          </c:extLst>
        </c:ser>
        <c:ser>
          <c:idx val="1"/>
          <c:order val="1"/>
          <c:tx>
            <c:strRef>
              <c:f>'Census 2011_17'!$A$143:$C$143</c:f>
              <c:strCache>
                <c:ptCount val="3"/>
                <c:pt idx="0">
                  <c:v>Space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2011_17'!$D$143:$O$143</c15:sqref>
                  </c15:fullRef>
                </c:ext>
              </c:extLst>
              <c:f>('Census 2011_17'!$F$143,'Census 2011_17'!$O$143)</c:f>
              <c:numCache>
                <c:formatCode>General</c:formatCode>
                <c:ptCount val="2"/>
                <c:pt idx="0" formatCode="_ * #,##0_ ;_ * \-#,##0_ ;_ * &quot;-&quot;??_ ;_ @_ ">
                  <c:v>94123.381456433897</c:v>
                </c:pt>
                <c:pt idx="1">
                  <c:v>62818.775225126206</c:v>
                </c:pt>
              </c:numCache>
            </c:numRef>
          </c:val>
          <c:extLst>
            <c:ext xmlns:c16="http://schemas.microsoft.com/office/drawing/2014/chart" uri="{C3380CC4-5D6E-409C-BE32-E72D297353CC}">
              <c16:uniqueId val="{00000001-9454-4FDA-BB02-3144C424A9E4}"/>
            </c:ext>
          </c:extLst>
        </c:ser>
        <c:ser>
          <c:idx val="2"/>
          <c:order val="2"/>
          <c:tx>
            <c:strRef>
              <c:f>'Census 2011_17'!$A$144:$C$144</c:f>
              <c:strCache>
                <c:ptCount val="3"/>
                <c:pt idx="0">
                  <c:v>Space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2011_17'!$D$144:$O$144</c15:sqref>
                  </c15:fullRef>
                </c:ext>
              </c:extLst>
              <c:f>('Census 2011_17'!$F$144,'Census 2011_17'!$O$144)</c:f>
              <c:numCache>
                <c:formatCode>General</c:formatCode>
                <c:ptCount val="2"/>
                <c:pt idx="0" formatCode="_ * #,##0_ ;_ * \-#,##0_ ;_ * &quot;-&quot;??_ ;_ @_ ">
                  <c:v>685694.49919708585</c:v>
                </c:pt>
                <c:pt idx="1">
                  <c:v>647712.94436239137</c:v>
                </c:pt>
              </c:numCache>
            </c:numRef>
          </c:val>
          <c:extLst>
            <c:ext xmlns:c16="http://schemas.microsoft.com/office/drawing/2014/chart" uri="{C3380CC4-5D6E-409C-BE32-E72D297353CC}">
              <c16:uniqueId val="{00000002-9454-4FDA-BB02-3144C424A9E4}"/>
            </c:ext>
          </c:extLst>
        </c:ser>
        <c:ser>
          <c:idx val="3"/>
          <c:order val="3"/>
          <c:tx>
            <c:strRef>
              <c:f>'Census 2011_17'!$A$145:$C$145</c:f>
              <c:strCache>
                <c:ptCount val="3"/>
                <c:pt idx="0">
                  <c:v>Space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2011_17'!$D$145:$O$145</c15:sqref>
                  </c15:fullRef>
                </c:ext>
              </c:extLst>
              <c:f>('Census 2011_17'!$F$145,'Census 2011_17'!$O$145)</c:f>
              <c:numCache>
                <c:formatCode>General</c:formatCode>
                <c:ptCount val="2"/>
                <c:pt idx="0" formatCode="_ * #,##0_ ;_ * \-#,##0_ ;_ * &quot;-&quot;??_ ;_ @_ ">
                  <c:v>1355061.8881845069</c:v>
                </c:pt>
                <c:pt idx="1">
                  <c:v>1250150.8461852802</c:v>
                </c:pt>
              </c:numCache>
            </c:numRef>
          </c:val>
          <c:extLst>
            <c:ext xmlns:c16="http://schemas.microsoft.com/office/drawing/2014/chart" uri="{C3380CC4-5D6E-409C-BE32-E72D297353CC}">
              <c16:uniqueId val="{00000003-9454-4FDA-BB02-3144C424A9E4}"/>
            </c:ext>
          </c:extLst>
        </c:ser>
        <c:ser>
          <c:idx val="4"/>
          <c:order val="4"/>
          <c:tx>
            <c:strRef>
              <c:f>'Census 2011_17'!$A$146:$C$146</c:f>
              <c:strCache>
                <c:ptCount val="3"/>
                <c:pt idx="0">
                  <c:v>Space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2011_17'!$D$146:$O$146</c15:sqref>
                  </c15:fullRef>
                </c:ext>
              </c:extLst>
              <c:f>('Census 2011_17'!$F$146,'Census 2011_17'!$O$146)</c:f>
              <c:numCache>
                <c:formatCode>General</c:formatCode>
                <c:ptCount val="2"/>
                <c:pt idx="0" formatCode="_ * #,##0_ ;_ * \-#,##0_ ;_ * &quot;-&quot;??_ ;_ @_ ">
                  <c:v>151676.8164678452</c:v>
                </c:pt>
                <c:pt idx="1">
                  <c:v>104957.6396032787</c:v>
                </c:pt>
              </c:numCache>
            </c:numRef>
          </c:val>
          <c:extLst>
            <c:ext xmlns:c16="http://schemas.microsoft.com/office/drawing/2014/chart" uri="{C3380CC4-5D6E-409C-BE32-E72D297353CC}">
              <c16:uniqueId val="{00000004-9454-4FDA-BB02-3144C424A9E4}"/>
            </c:ext>
          </c:extLst>
        </c:ser>
        <c:ser>
          <c:idx val="5"/>
          <c:order val="5"/>
          <c:tx>
            <c:strRef>
              <c:f>'Census 2011_17'!$A$147:$C$147</c:f>
              <c:strCache>
                <c:ptCount val="3"/>
                <c:pt idx="0">
                  <c:v>Space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2011_17'!$D$147:$O$147</c15:sqref>
                  </c15:fullRef>
                </c:ext>
              </c:extLst>
              <c:f>('Census 2011_17'!$F$147,'Census 2011_17'!$O$147)</c:f>
              <c:numCache>
                <c:formatCode>General</c:formatCode>
                <c:ptCount val="2"/>
                <c:pt idx="0" formatCode="_ * #,##0_ ;_ * \-#,##0_ ;_ * &quot;-&quot;??_ ;_ @_ ">
                  <c:v>28609.435607041258</c:v>
                </c:pt>
                <c:pt idx="1">
                  <c:v>10828.001135017636</c:v>
                </c:pt>
              </c:numCache>
            </c:numRef>
          </c:val>
          <c:extLst>
            <c:ext xmlns:c16="http://schemas.microsoft.com/office/drawing/2014/chart" uri="{C3380CC4-5D6E-409C-BE32-E72D297353CC}">
              <c16:uniqueId val="{00000005-9454-4FDA-BB02-3144C424A9E4}"/>
            </c:ext>
          </c:extLst>
        </c:ser>
        <c:ser>
          <c:idx val="6"/>
          <c:order val="6"/>
          <c:tx>
            <c:strRef>
              <c:f>'Census 2011_17'!$A$148:$C$148</c:f>
              <c:strCache>
                <c:ptCount val="3"/>
                <c:pt idx="0">
                  <c:v>Space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2011_17'!$D$148:$O$148</c15:sqref>
                  </c15:fullRef>
                </c:ext>
              </c:extLst>
              <c:f>('Census 2011_17'!$F$148,'Census 2011_17'!$O$148)</c:f>
              <c:numCache>
                <c:formatCode>General</c:formatCode>
                <c:ptCount val="2"/>
                <c:pt idx="0" formatCode="_ * #,##0_ ;_ * \-#,##0_ ;_ * &quot;-&quot;??_ ;_ @_ ">
                  <c:v>12587.568865749339</c:v>
                </c:pt>
                <c:pt idx="1">
                  <c:v>7093.8272695773594</c:v>
                </c:pt>
              </c:numCache>
            </c:numRef>
          </c:val>
          <c:extLst>
            <c:ext xmlns:c16="http://schemas.microsoft.com/office/drawing/2014/chart" uri="{C3380CC4-5D6E-409C-BE32-E72D297353CC}">
              <c16:uniqueId val="{00000006-9454-4FDA-BB02-3144C424A9E4}"/>
            </c:ext>
          </c:extLst>
        </c:ser>
        <c:ser>
          <c:idx val="7"/>
          <c:order val="7"/>
          <c:tx>
            <c:strRef>
              <c:f>'Census 2011_17'!$A$149:$C$149</c:f>
              <c:strCache>
                <c:ptCount val="3"/>
                <c:pt idx="0">
                  <c:v>Space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2011_17'!$D$149:$O$149</c15:sqref>
                  </c15:fullRef>
                </c:ext>
              </c:extLst>
              <c:f>('Census 2011_17'!$F$149,'Census 2011_17'!$O$149)</c:f>
              <c:numCache>
                <c:formatCode>General</c:formatCode>
                <c:ptCount val="2"/>
                <c:pt idx="0" formatCode="_ * #,##0_ ;_ * \-#,##0_ ;_ * &quot;-&quot;??_ ;_ @_ ">
                  <c:v>1100.5935699999995</c:v>
                </c:pt>
                <c:pt idx="1">
                  <c:v>131606.67420979385</c:v>
                </c:pt>
              </c:numCache>
            </c:numRef>
          </c:val>
          <c:extLst>
            <c:ext xmlns:c16="http://schemas.microsoft.com/office/drawing/2014/chart" uri="{C3380CC4-5D6E-409C-BE32-E72D297353CC}">
              <c16:uniqueId val="{00000007-9454-4FDA-BB02-3144C424A9E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2011_17'!$A$152:$C$152</c:f>
              <c:strCache>
                <c:ptCount val="3"/>
                <c:pt idx="0">
                  <c:v>Space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2011_17'!$D$152:$O$152</c15:sqref>
                  </c15:fullRef>
                </c:ext>
              </c:extLst>
              <c:f>('Census 2011_17'!$F$152,'Census 2011_17'!$O$152)</c:f>
              <c:numCache>
                <c:formatCode>0</c:formatCode>
                <c:ptCount val="2"/>
                <c:pt idx="0" formatCode="_ * #,##0_ ;_ * \-#,##0_ ;_ * &quot;-&quot;??_ ;_ @_ ">
                  <c:v>2656996.5305898534</c:v>
                </c:pt>
                <c:pt idx="1" formatCode="General">
                  <c:v>3511590.8771485593</c:v>
                </c:pt>
              </c:numCache>
            </c:numRef>
          </c:val>
          <c:extLst>
            <c:ext xmlns:c16="http://schemas.microsoft.com/office/drawing/2014/chart" uri="{C3380CC4-5D6E-409C-BE32-E72D297353CC}">
              <c16:uniqueId val="{00000000-5CFE-443A-BBAE-F429B1833118}"/>
            </c:ext>
          </c:extLst>
        </c:ser>
        <c:ser>
          <c:idx val="1"/>
          <c:order val="1"/>
          <c:tx>
            <c:strRef>
              <c:f>'Census 2011_17'!$A$153:$C$153</c:f>
              <c:strCache>
                <c:ptCount val="3"/>
                <c:pt idx="0">
                  <c:v>Space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2011_17'!$D$153:$O$153</c15:sqref>
                  </c15:fullRef>
                </c:ext>
              </c:extLst>
              <c:f>('Census 2011_17'!$F$153,'Census 2011_17'!$O$153)</c:f>
              <c:numCache>
                <c:formatCode>General</c:formatCode>
                <c:ptCount val="2"/>
                <c:pt idx="0" formatCode="_ * #,##0_ ;_ * \-#,##0_ ;_ * &quot;-&quot;??_ ;_ @_ ">
                  <c:v>72914.466729936423</c:v>
                </c:pt>
                <c:pt idx="1">
                  <c:v>46183.634219135638</c:v>
                </c:pt>
              </c:numCache>
            </c:numRef>
          </c:val>
          <c:extLst>
            <c:ext xmlns:c16="http://schemas.microsoft.com/office/drawing/2014/chart" uri="{C3380CC4-5D6E-409C-BE32-E72D297353CC}">
              <c16:uniqueId val="{00000001-5CFE-443A-BBAE-F429B1833118}"/>
            </c:ext>
          </c:extLst>
        </c:ser>
        <c:ser>
          <c:idx val="2"/>
          <c:order val="2"/>
          <c:tx>
            <c:strRef>
              <c:f>'Census 2011_17'!$A$154:$C$154</c:f>
              <c:strCache>
                <c:ptCount val="3"/>
                <c:pt idx="0">
                  <c:v>Space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2011_17'!$D$154:$O$154</c15:sqref>
                  </c15:fullRef>
                </c:ext>
              </c:extLst>
              <c:f>('Census 2011_17'!$F$154,'Census 2011_17'!$O$154)</c:f>
              <c:numCache>
                <c:formatCode>General</c:formatCode>
                <c:ptCount val="2"/>
                <c:pt idx="0" formatCode="_ * #,##0_ ;_ * \-#,##0_ ;_ * &quot;-&quot;??_ ;_ @_ ">
                  <c:v>414965.12518417882</c:v>
                </c:pt>
                <c:pt idx="1">
                  <c:v>372002.59314277355</c:v>
                </c:pt>
              </c:numCache>
            </c:numRef>
          </c:val>
          <c:extLst>
            <c:ext xmlns:c16="http://schemas.microsoft.com/office/drawing/2014/chart" uri="{C3380CC4-5D6E-409C-BE32-E72D297353CC}">
              <c16:uniqueId val="{00000002-5CFE-443A-BBAE-F429B1833118}"/>
            </c:ext>
          </c:extLst>
        </c:ser>
        <c:ser>
          <c:idx val="3"/>
          <c:order val="3"/>
          <c:tx>
            <c:strRef>
              <c:f>'Census 2011_17'!$A$155:$C$155</c:f>
              <c:strCache>
                <c:ptCount val="3"/>
                <c:pt idx="0">
                  <c:v>Space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2011_17'!$D$155:$O$155</c15:sqref>
                  </c15:fullRef>
                </c:ext>
              </c:extLst>
              <c:f>('Census 2011_17'!$F$155,'Census 2011_17'!$O$155)</c:f>
              <c:numCache>
                <c:formatCode>General</c:formatCode>
                <c:ptCount val="2"/>
                <c:pt idx="0" formatCode="_ * #,##0_ ;_ * \-#,##0_ ;_ * &quot;-&quot;??_ ;_ @_ ">
                  <c:v>722136.4443125386</c:v>
                </c:pt>
                <c:pt idx="1">
                  <c:v>632273.5424742758</c:v>
                </c:pt>
              </c:numCache>
            </c:numRef>
          </c:val>
          <c:extLst>
            <c:ext xmlns:c16="http://schemas.microsoft.com/office/drawing/2014/chart" uri="{C3380CC4-5D6E-409C-BE32-E72D297353CC}">
              <c16:uniqueId val="{00000003-5CFE-443A-BBAE-F429B1833118}"/>
            </c:ext>
          </c:extLst>
        </c:ser>
        <c:ser>
          <c:idx val="4"/>
          <c:order val="4"/>
          <c:tx>
            <c:strRef>
              <c:f>'Census 2011_17'!$A$156:$C$156</c:f>
              <c:strCache>
                <c:ptCount val="3"/>
                <c:pt idx="0">
                  <c:v>Space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2011_17'!$D$156:$O$156</c15:sqref>
                  </c15:fullRef>
                </c:ext>
              </c:extLst>
              <c:f>('Census 2011_17'!$F$156,'Census 2011_17'!$O$156)</c:f>
              <c:numCache>
                <c:formatCode>General</c:formatCode>
                <c:ptCount val="2"/>
                <c:pt idx="0" formatCode="_ * #,##0_ ;_ * \-#,##0_ ;_ * &quot;-&quot;??_ ;_ @_ ">
                  <c:v>111741.86941747647</c:v>
                </c:pt>
                <c:pt idx="1">
                  <c:v>73382.624605018456</c:v>
                </c:pt>
              </c:numCache>
            </c:numRef>
          </c:val>
          <c:extLst>
            <c:ext xmlns:c16="http://schemas.microsoft.com/office/drawing/2014/chart" uri="{C3380CC4-5D6E-409C-BE32-E72D297353CC}">
              <c16:uniqueId val="{00000004-5CFE-443A-BBAE-F429B1833118}"/>
            </c:ext>
          </c:extLst>
        </c:ser>
        <c:ser>
          <c:idx val="5"/>
          <c:order val="5"/>
          <c:tx>
            <c:strRef>
              <c:f>'Census 2011_17'!$A$157:$C$157</c:f>
              <c:strCache>
                <c:ptCount val="3"/>
                <c:pt idx="0">
                  <c:v>Space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2011_17'!$D$157:$O$157</c15:sqref>
                  </c15:fullRef>
                </c:ext>
              </c:extLst>
              <c:f>('Census 2011_17'!$F$157,'Census 2011_17'!$O$157)</c:f>
              <c:numCache>
                <c:formatCode>General</c:formatCode>
                <c:ptCount val="2"/>
                <c:pt idx="0" formatCode="_ * #,##0_ ;_ * \-#,##0_ ;_ * &quot;-&quot;??_ ;_ @_ ">
                  <c:v>15762.225579499907</c:v>
                </c:pt>
                <c:pt idx="1">
                  <c:v>5661.5975967862987</c:v>
                </c:pt>
              </c:numCache>
            </c:numRef>
          </c:val>
          <c:extLst>
            <c:ext xmlns:c16="http://schemas.microsoft.com/office/drawing/2014/chart" uri="{C3380CC4-5D6E-409C-BE32-E72D297353CC}">
              <c16:uniqueId val="{00000005-5CFE-443A-BBAE-F429B1833118}"/>
            </c:ext>
          </c:extLst>
        </c:ser>
        <c:ser>
          <c:idx val="6"/>
          <c:order val="6"/>
          <c:tx>
            <c:strRef>
              <c:f>'Census 2011_17'!$A$158:$C$158</c:f>
              <c:strCache>
                <c:ptCount val="3"/>
                <c:pt idx="0">
                  <c:v>Space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2011_17'!$D$158:$O$158</c15:sqref>
                  </c15:fullRef>
                </c:ext>
              </c:extLst>
              <c:f>('Census 2011_17'!$F$158,'Census 2011_17'!$O$158)</c:f>
              <c:numCache>
                <c:formatCode>General</c:formatCode>
                <c:ptCount val="2"/>
                <c:pt idx="0" formatCode="_ * #,##0_ ;_ * \-#,##0_ ;_ * &quot;-&quot;??_ ;_ @_ ">
                  <c:v>10014.361500741161</c:v>
                </c:pt>
                <c:pt idx="1">
                  <c:v>5356.0481413393936</c:v>
                </c:pt>
              </c:numCache>
            </c:numRef>
          </c:val>
          <c:extLst>
            <c:ext xmlns:c16="http://schemas.microsoft.com/office/drawing/2014/chart" uri="{C3380CC4-5D6E-409C-BE32-E72D297353CC}">
              <c16:uniqueId val="{00000006-5CFE-443A-BBAE-F429B1833118}"/>
            </c:ext>
          </c:extLst>
        </c:ser>
        <c:ser>
          <c:idx val="7"/>
          <c:order val="7"/>
          <c:tx>
            <c:strRef>
              <c:f>'Census 2011_17'!$A$159:$C$159</c:f>
              <c:strCache>
                <c:ptCount val="3"/>
                <c:pt idx="0">
                  <c:v>Space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2011_17'!$D$159:$O$159</c15:sqref>
                  </c15:fullRef>
                </c:ext>
              </c:extLst>
              <c:f>('Census 2011_17'!$F$159,'Census 2011_17'!$O$159)</c:f>
              <c:numCache>
                <c:formatCode>General</c:formatCode>
                <c:ptCount val="2"/>
                <c:pt idx="0" formatCode="_ * #,##0_ ;_ * \-#,##0_ ;_ * &quot;-&quot;??_ ;_ @_ ">
                  <c:v>651.78822000000002</c:v>
                </c:pt>
                <c:pt idx="1">
                  <c:v>73967.32409470767</c:v>
                </c:pt>
              </c:numCache>
            </c:numRef>
          </c:val>
          <c:extLst>
            <c:ext xmlns:c16="http://schemas.microsoft.com/office/drawing/2014/chart" uri="{C3380CC4-5D6E-409C-BE32-E72D297353CC}">
              <c16:uniqueId val="{00000007-5CFE-443A-BBAE-F429B183311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0889719639740834"/>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2011_17'!$A$162:$C$162</c:f>
              <c:strCache>
                <c:ptCount val="3"/>
                <c:pt idx="0">
                  <c:v>Space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2011_17'!$D$162:$O$162</c15:sqref>
                  </c15:fullRef>
                </c:ext>
              </c:extLst>
              <c:f>('Census 2011_17'!$F$162,'Census 2011_17'!$O$162)</c:f>
              <c:numCache>
                <c:formatCode>0</c:formatCode>
                <c:ptCount val="2"/>
                <c:pt idx="0" formatCode="_ * #,##0_ ;_ * \-#,##0_ ;_ * &quot;-&quot;??_ ;_ @_ ">
                  <c:v>2716677.6504021734</c:v>
                </c:pt>
                <c:pt idx="1" formatCode="General">
                  <c:v>3139161.2606434813</c:v>
                </c:pt>
              </c:numCache>
            </c:numRef>
          </c:val>
          <c:extLst>
            <c:ext xmlns:c16="http://schemas.microsoft.com/office/drawing/2014/chart" uri="{C3380CC4-5D6E-409C-BE32-E72D297353CC}">
              <c16:uniqueId val="{00000000-F7B4-4D98-81AF-AB3AE1F77471}"/>
            </c:ext>
          </c:extLst>
        </c:ser>
        <c:ser>
          <c:idx val="1"/>
          <c:order val="1"/>
          <c:tx>
            <c:strRef>
              <c:f>'Census 2011_17'!$A$163:$C$163</c:f>
              <c:strCache>
                <c:ptCount val="3"/>
                <c:pt idx="0">
                  <c:v>Space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2011_17'!$D$163:$O$163</c15:sqref>
                  </c15:fullRef>
                </c:ext>
              </c:extLst>
              <c:f>('Census 2011_17'!$F$163,'Census 2011_17'!$O$163)</c:f>
              <c:numCache>
                <c:formatCode>General</c:formatCode>
                <c:ptCount val="2"/>
                <c:pt idx="0" formatCode="_ * #,##0_ ;_ * \-#,##0_ ;_ * &quot;-&quot;??_ ;_ @_ ">
                  <c:v>190024.35272362945</c:v>
                </c:pt>
                <c:pt idx="1">
                  <c:v>105231.61955599848</c:v>
                </c:pt>
              </c:numCache>
            </c:numRef>
          </c:val>
          <c:extLst>
            <c:ext xmlns:c16="http://schemas.microsoft.com/office/drawing/2014/chart" uri="{C3380CC4-5D6E-409C-BE32-E72D297353CC}">
              <c16:uniqueId val="{00000001-F7B4-4D98-81AF-AB3AE1F77471}"/>
            </c:ext>
          </c:extLst>
        </c:ser>
        <c:ser>
          <c:idx val="2"/>
          <c:order val="2"/>
          <c:tx>
            <c:strRef>
              <c:f>'Census 2011_17'!$A$164:$C$164</c:f>
              <c:strCache>
                <c:ptCount val="3"/>
                <c:pt idx="0">
                  <c:v>Space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2011_17'!$D$164:$O$164</c15:sqref>
                  </c15:fullRef>
                </c:ext>
              </c:extLst>
              <c:f>('Census 2011_17'!$F$164,'Census 2011_17'!$O$164)</c:f>
              <c:numCache>
                <c:formatCode>General</c:formatCode>
                <c:ptCount val="2"/>
                <c:pt idx="0" formatCode="_ * #,##0_ ;_ * \-#,##0_ ;_ * &quot;-&quot;??_ ;_ @_ ">
                  <c:v>129563.31966873548</c:v>
                </c:pt>
                <c:pt idx="1">
                  <c:v>101549.78934897445</c:v>
                </c:pt>
              </c:numCache>
            </c:numRef>
          </c:val>
          <c:extLst>
            <c:ext xmlns:c16="http://schemas.microsoft.com/office/drawing/2014/chart" uri="{C3380CC4-5D6E-409C-BE32-E72D297353CC}">
              <c16:uniqueId val="{00000002-F7B4-4D98-81AF-AB3AE1F77471}"/>
            </c:ext>
          </c:extLst>
        </c:ser>
        <c:ser>
          <c:idx val="3"/>
          <c:order val="3"/>
          <c:tx>
            <c:strRef>
              <c:f>'Census 2011_17'!$A$165:$C$165</c:f>
              <c:strCache>
                <c:ptCount val="3"/>
                <c:pt idx="0">
                  <c:v>Space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2011_17'!$D$165:$O$165</c15:sqref>
                  </c15:fullRef>
                </c:ext>
              </c:extLst>
              <c:f>('Census 2011_17'!$F$165,'Census 2011_17'!$O$165)</c:f>
              <c:numCache>
                <c:formatCode>General</c:formatCode>
                <c:ptCount val="2"/>
                <c:pt idx="0" formatCode="_ * #,##0_ ;_ * \-#,##0_ ;_ * &quot;-&quot;??_ ;_ @_ ">
                  <c:v>126183.99040275536</c:v>
                </c:pt>
                <c:pt idx="1">
                  <c:v>96594.543577338511</c:v>
                </c:pt>
              </c:numCache>
            </c:numRef>
          </c:val>
          <c:extLst>
            <c:ext xmlns:c16="http://schemas.microsoft.com/office/drawing/2014/chart" uri="{C3380CC4-5D6E-409C-BE32-E72D297353CC}">
              <c16:uniqueId val="{00000003-F7B4-4D98-81AF-AB3AE1F77471}"/>
            </c:ext>
          </c:extLst>
        </c:ser>
        <c:ser>
          <c:idx val="4"/>
          <c:order val="4"/>
          <c:tx>
            <c:strRef>
              <c:f>'Census 2011_17'!$A$166:$C$166</c:f>
              <c:strCache>
                <c:ptCount val="3"/>
                <c:pt idx="0">
                  <c:v>Space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2011_17'!$D$166:$O$166</c15:sqref>
                  </c15:fullRef>
                </c:ext>
              </c:extLst>
              <c:f>('Census 2011_17'!$F$166,'Census 2011_17'!$O$166)</c:f>
              <c:numCache>
                <c:formatCode>General</c:formatCode>
                <c:ptCount val="2"/>
                <c:pt idx="0" formatCode="_ * #,##0_ ;_ * \-#,##0_ ;_ * &quot;-&quot;??_ ;_ @_ ">
                  <c:v>30530.003644678345</c:v>
                </c:pt>
                <c:pt idx="1">
                  <c:v>17529.388070357491</c:v>
                </c:pt>
              </c:numCache>
            </c:numRef>
          </c:val>
          <c:extLst>
            <c:ext xmlns:c16="http://schemas.microsoft.com/office/drawing/2014/chart" uri="{C3380CC4-5D6E-409C-BE32-E72D297353CC}">
              <c16:uniqueId val="{00000004-F7B4-4D98-81AF-AB3AE1F77471}"/>
            </c:ext>
          </c:extLst>
        </c:ser>
        <c:ser>
          <c:idx val="5"/>
          <c:order val="5"/>
          <c:tx>
            <c:strRef>
              <c:f>'Census 2011_17'!$A$167:$C$167</c:f>
              <c:strCache>
                <c:ptCount val="3"/>
                <c:pt idx="0">
                  <c:v>Space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2011_17'!$D$167:$O$167</c15:sqref>
                  </c15:fullRef>
                </c:ext>
              </c:extLst>
              <c:f>('Census 2011_17'!$F$167,'Census 2011_17'!$O$167)</c:f>
              <c:numCache>
                <c:formatCode>General</c:formatCode>
                <c:ptCount val="2"/>
                <c:pt idx="0" formatCode="_ * #,##0_ ;_ * \-#,##0_ ;_ * &quot;-&quot;??_ ;_ @_ ">
                  <c:v>3878.8686534588192</c:v>
                </c:pt>
                <c:pt idx="1">
                  <c:v>1218.1173386736302</c:v>
                </c:pt>
              </c:numCache>
            </c:numRef>
          </c:val>
          <c:extLst>
            <c:ext xmlns:c16="http://schemas.microsoft.com/office/drawing/2014/chart" uri="{C3380CC4-5D6E-409C-BE32-E72D297353CC}">
              <c16:uniqueId val="{00000005-F7B4-4D98-81AF-AB3AE1F77471}"/>
            </c:ext>
          </c:extLst>
        </c:ser>
        <c:ser>
          <c:idx val="6"/>
          <c:order val="6"/>
          <c:tx>
            <c:strRef>
              <c:f>'Census 2011_17'!$A$168:$C$168</c:f>
              <c:strCache>
                <c:ptCount val="3"/>
                <c:pt idx="0">
                  <c:v>Space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2011_17'!$D$168:$O$168</c15:sqref>
                  </c15:fullRef>
                </c:ext>
              </c:extLst>
              <c:f>('Census 2011_17'!$F$168,'Census 2011_17'!$O$168)</c:f>
              <c:numCache>
                <c:formatCode>General</c:formatCode>
                <c:ptCount val="2"/>
                <c:pt idx="0" formatCode="_ * #,##0_ ;_ * \-#,##0_ ;_ * &quot;-&quot;??_ ;_ @_ ">
                  <c:v>15768.357783509498</c:v>
                </c:pt>
                <c:pt idx="1">
                  <c:v>7373.4419313753015</c:v>
                </c:pt>
              </c:numCache>
            </c:numRef>
          </c:val>
          <c:extLst>
            <c:ext xmlns:c16="http://schemas.microsoft.com/office/drawing/2014/chart" uri="{C3380CC4-5D6E-409C-BE32-E72D297353CC}">
              <c16:uniqueId val="{00000006-F7B4-4D98-81AF-AB3AE1F77471}"/>
            </c:ext>
          </c:extLst>
        </c:ser>
        <c:ser>
          <c:idx val="7"/>
          <c:order val="7"/>
          <c:tx>
            <c:strRef>
              <c:f>'Census 2011_17'!$A$169:$C$169</c:f>
              <c:strCache>
                <c:ptCount val="3"/>
                <c:pt idx="0">
                  <c:v>Space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2011_17'!$D$169:$O$169</c15:sqref>
                  </c15:fullRef>
                </c:ext>
              </c:extLst>
              <c:f>('Census 2011_17'!$F$169,'Census 2011_17'!$O$169)</c:f>
              <c:numCache>
                <c:formatCode>General</c:formatCode>
                <c:ptCount val="2"/>
                <c:pt idx="0" formatCode="_ * #,##0_ ;_ * \-#,##0_ ;_ * &quot;-&quot;??_ ;_ @_ ">
                  <c:v>690.08531999999991</c:v>
                </c:pt>
                <c:pt idx="1">
                  <c:v>68469.756121604354</c:v>
                </c:pt>
              </c:numCache>
            </c:numRef>
          </c:val>
          <c:extLst>
            <c:ext xmlns:c16="http://schemas.microsoft.com/office/drawing/2014/chart" uri="{C3380CC4-5D6E-409C-BE32-E72D297353CC}">
              <c16:uniqueId val="{00000007-F7B4-4D98-81AF-AB3AE1F7747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2011_17'!$A$175:$C$175</c:f>
              <c:strCache>
                <c:ptCount val="3"/>
                <c:pt idx="0">
                  <c:v>Water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2011_17'!$D$175:$O$175</c15:sqref>
                  </c15:fullRef>
                </c:ext>
              </c:extLst>
              <c:f>('Census 2011_17'!$F$175,'Census 2011_17'!$O$175)</c:f>
              <c:numCache>
                <c:formatCode>0</c:formatCode>
                <c:ptCount val="2"/>
                <c:pt idx="0" formatCode="_ * #,##0_ ;_ * \-#,##0_ ;_ * &quot;-&quot;??_ ;_ @_ ">
                  <c:v>3081508.5867071724</c:v>
                </c:pt>
                <c:pt idx="1" formatCode="General">
                  <c:v>5110484.7120281458</c:v>
                </c:pt>
              </c:numCache>
            </c:numRef>
          </c:val>
          <c:extLst>
            <c:ext xmlns:c16="http://schemas.microsoft.com/office/drawing/2014/chart" uri="{C3380CC4-5D6E-409C-BE32-E72D297353CC}">
              <c16:uniqueId val="{00000000-12C5-4222-843C-1BD8D4A11DDF}"/>
            </c:ext>
          </c:extLst>
        </c:ser>
        <c:ser>
          <c:idx val="1"/>
          <c:order val="1"/>
          <c:tx>
            <c:strRef>
              <c:f>'Census 2011_17'!$A$176:$C$176</c:f>
              <c:strCache>
                <c:ptCount val="3"/>
                <c:pt idx="0">
                  <c:v>Water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2011_17'!$D$176:$O$176</c15:sqref>
                  </c15:fullRef>
                </c:ext>
              </c:extLst>
              <c:f>('Census 2011_17'!$F$176,'Census 2011_17'!$O$176)</c:f>
              <c:numCache>
                <c:formatCode>General</c:formatCode>
                <c:ptCount val="2"/>
                <c:pt idx="0" formatCode="_ * #,##0_ ;_ * \-#,##0_ ;_ * &quot;-&quot;??_ ;_ @_ ">
                  <c:v>94123.381456433897</c:v>
                </c:pt>
                <c:pt idx="1">
                  <c:v>222053.8309117771</c:v>
                </c:pt>
              </c:numCache>
            </c:numRef>
          </c:val>
          <c:extLst>
            <c:ext xmlns:c16="http://schemas.microsoft.com/office/drawing/2014/chart" uri="{C3380CC4-5D6E-409C-BE32-E72D297353CC}">
              <c16:uniqueId val="{00000001-12C5-4222-843C-1BD8D4A11DDF}"/>
            </c:ext>
          </c:extLst>
        </c:ser>
        <c:ser>
          <c:idx val="2"/>
          <c:order val="2"/>
          <c:tx>
            <c:strRef>
              <c:f>'Census 2011_17'!$A$177:$C$177</c:f>
              <c:strCache>
                <c:ptCount val="3"/>
                <c:pt idx="0">
                  <c:v>Water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2011_17'!$D$177:$O$177</c15:sqref>
                  </c15:fullRef>
                </c:ext>
              </c:extLst>
              <c:f>('Census 2011_17'!$F$177,'Census 2011_17'!$O$177)</c:f>
              <c:numCache>
                <c:formatCode>General</c:formatCode>
                <c:ptCount val="2"/>
                <c:pt idx="0" formatCode="_ * #,##0_ ;_ * \-#,##0_ ;_ * &quot;-&quot;??_ ;_ @_ ">
                  <c:v>685694.49919708585</c:v>
                </c:pt>
                <c:pt idx="1">
                  <c:v>820853.99802213954</c:v>
                </c:pt>
              </c:numCache>
            </c:numRef>
          </c:val>
          <c:extLst>
            <c:ext xmlns:c16="http://schemas.microsoft.com/office/drawing/2014/chart" uri="{C3380CC4-5D6E-409C-BE32-E72D297353CC}">
              <c16:uniqueId val="{00000002-12C5-4222-843C-1BD8D4A11DDF}"/>
            </c:ext>
          </c:extLst>
        </c:ser>
        <c:ser>
          <c:idx val="3"/>
          <c:order val="3"/>
          <c:tx>
            <c:strRef>
              <c:f>'Census 2011_17'!$A$178:$C$178</c:f>
              <c:strCache>
                <c:ptCount val="3"/>
                <c:pt idx="0">
                  <c:v>Water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2011_17'!$D$178:$O$178</c15:sqref>
                  </c15:fullRef>
                </c:ext>
              </c:extLst>
              <c:f>('Census 2011_17'!$F$178,'Census 2011_17'!$O$178)</c:f>
              <c:numCache>
                <c:formatCode>General</c:formatCode>
                <c:ptCount val="2"/>
                <c:pt idx="0" formatCode="_ * #,##0_ ;_ * \-#,##0_ ;_ * &quot;-&quot;??_ ;_ @_ ">
                  <c:v>1355061.8881845069</c:v>
                </c:pt>
                <c:pt idx="1">
                  <c:v>1343358.7342037922</c:v>
                </c:pt>
              </c:numCache>
            </c:numRef>
          </c:val>
          <c:extLst>
            <c:ext xmlns:c16="http://schemas.microsoft.com/office/drawing/2014/chart" uri="{C3380CC4-5D6E-409C-BE32-E72D297353CC}">
              <c16:uniqueId val="{00000003-12C5-4222-843C-1BD8D4A11DDF}"/>
            </c:ext>
          </c:extLst>
        </c:ser>
        <c:ser>
          <c:idx val="4"/>
          <c:order val="4"/>
          <c:tx>
            <c:strRef>
              <c:f>'Census 2011_17'!$A$179:$C$179</c:f>
              <c:strCache>
                <c:ptCount val="3"/>
                <c:pt idx="0">
                  <c:v>Water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2011_17'!$D$179:$O$179</c15:sqref>
                  </c15:fullRef>
                </c:ext>
              </c:extLst>
              <c:f>('Census 2011_17'!$F$179,'Census 2011_17'!$O$179)</c:f>
              <c:numCache>
                <c:formatCode>General</c:formatCode>
                <c:ptCount val="2"/>
                <c:pt idx="0" formatCode="_ * #,##0_ ;_ * \-#,##0_ ;_ * &quot;-&quot;??_ ;_ @_ ">
                  <c:v>151676.8164678452</c:v>
                </c:pt>
                <c:pt idx="1">
                  <c:v>40645.77102283053</c:v>
                </c:pt>
              </c:numCache>
            </c:numRef>
          </c:val>
          <c:extLst>
            <c:ext xmlns:c16="http://schemas.microsoft.com/office/drawing/2014/chart" uri="{C3380CC4-5D6E-409C-BE32-E72D297353CC}">
              <c16:uniqueId val="{00000004-12C5-4222-843C-1BD8D4A11DDF}"/>
            </c:ext>
          </c:extLst>
        </c:ser>
        <c:ser>
          <c:idx val="5"/>
          <c:order val="5"/>
          <c:tx>
            <c:strRef>
              <c:f>'Census 2011_17'!$A$180:$C$180</c:f>
              <c:strCache>
                <c:ptCount val="3"/>
                <c:pt idx="0">
                  <c:v>Water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2011_17'!$D$180:$O$180</c15:sqref>
                  </c15:fullRef>
                </c:ext>
              </c:extLst>
              <c:f>('Census 2011_17'!$F$180,'Census 2011_17'!$O$180)</c:f>
              <c:numCache>
                <c:formatCode>General</c:formatCode>
                <c:ptCount val="2"/>
                <c:pt idx="0" formatCode="_ * #,##0_ ;_ * \-#,##0_ ;_ * &quot;-&quot;??_ ;_ @_ ">
                  <c:v>28609.435607041258</c:v>
                </c:pt>
                <c:pt idx="1">
                  <c:v>8137.7481299188585</c:v>
                </c:pt>
              </c:numCache>
            </c:numRef>
          </c:val>
          <c:extLst>
            <c:ext xmlns:c16="http://schemas.microsoft.com/office/drawing/2014/chart" uri="{C3380CC4-5D6E-409C-BE32-E72D297353CC}">
              <c16:uniqueId val="{00000005-12C5-4222-843C-1BD8D4A11DDF}"/>
            </c:ext>
          </c:extLst>
        </c:ser>
        <c:ser>
          <c:idx val="6"/>
          <c:order val="6"/>
          <c:tx>
            <c:strRef>
              <c:f>'Census 2011_17'!$A$181:$C$181</c:f>
              <c:strCache>
                <c:ptCount val="3"/>
                <c:pt idx="0">
                  <c:v>Water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2011_17'!$D$181:$O$181</c15:sqref>
                  </c15:fullRef>
                </c:ext>
              </c:extLst>
              <c:f>('Census 2011_17'!$F$181,'Census 2011_17'!$O$181)</c:f>
              <c:numCache>
                <c:formatCode>General</c:formatCode>
                <c:ptCount val="2"/>
                <c:pt idx="0" formatCode="_ * #,##0_ ;_ * \-#,##0_ ;_ * &quot;-&quot;??_ ;_ @_ ">
                  <c:v>12587.568865749339</c:v>
                </c:pt>
                <c:pt idx="1">
                  <c:v>6561.8401659665033</c:v>
                </c:pt>
              </c:numCache>
            </c:numRef>
          </c:val>
          <c:extLst>
            <c:ext xmlns:c16="http://schemas.microsoft.com/office/drawing/2014/chart" uri="{C3380CC4-5D6E-409C-BE32-E72D297353CC}">
              <c16:uniqueId val="{00000006-12C5-4222-843C-1BD8D4A11DDF}"/>
            </c:ext>
          </c:extLst>
        </c:ser>
        <c:ser>
          <c:idx val="7"/>
          <c:order val="7"/>
          <c:tx>
            <c:strRef>
              <c:f>'Census 2011_17'!$A$182:$C$182</c:f>
              <c:strCache>
                <c:ptCount val="3"/>
                <c:pt idx="0">
                  <c:v>Water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2011_17'!$D$182:$O$182</c15:sqref>
                  </c15:fullRef>
                </c:ext>
              </c:extLst>
              <c:f>('Census 2011_17'!$F$182,'Census 2011_17'!$O$182)</c:f>
              <c:numCache>
                <c:formatCode>General</c:formatCode>
                <c:ptCount val="2"/>
                <c:pt idx="0" formatCode="_ * #,##0_ ;_ * \-#,##0_ ;_ * &quot;-&quot;??_ ;_ @_ ">
                  <c:v>1100.5935699999995</c:v>
                </c:pt>
                <c:pt idx="1">
                  <c:v>14515.029009412428</c:v>
                </c:pt>
              </c:numCache>
            </c:numRef>
          </c:val>
          <c:extLst>
            <c:ext xmlns:c16="http://schemas.microsoft.com/office/drawing/2014/chart" uri="{C3380CC4-5D6E-409C-BE32-E72D297353CC}">
              <c16:uniqueId val="{00000007-12C5-4222-843C-1BD8D4A11DDF}"/>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396364129254158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2011_17'!$A$185:$C$185</c:f>
              <c:strCache>
                <c:ptCount val="3"/>
                <c:pt idx="0">
                  <c:v>Water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2011_17'!$D$185:$O$185</c15:sqref>
                  </c15:fullRef>
                </c:ext>
              </c:extLst>
              <c:f>('Census 2011_17'!$F$185,'Census 2011_17'!$O$185)</c:f>
              <c:numCache>
                <c:formatCode>0</c:formatCode>
                <c:ptCount val="2"/>
                <c:pt idx="0" formatCode="_ * #,##0_ ;_ * \-#,##0_ ;_ * &quot;-&quot;??_ ;_ @_ ">
                  <c:v>2656996.5305898534</c:v>
                </c:pt>
                <c:pt idx="1" formatCode="General">
                  <c:v>4128464.5647394336</c:v>
                </c:pt>
              </c:numCache>
            </c:numRef>
          </c:val>
          <c:extLst>
            <c:ext xmlns:c16="http://schemas.microsoft.com/office/drawing/2014/chart" uri="{C3380CC4-5D6E-409C-BE32-E72D297353CC}">
              <c16:uniqueId val="{00000000-3003-4B47-A34C-F103C1AC1EA4}"/>
            </c:ext>
          </c:extLst>
        </c:ser>
        <c:ser>
          <c:idx val="1"/>
          <c:order val="1"/>
          <c:tx>
            <c:strRef>
              <c:f>'Census 2011_17'!$A$186:$C$186</c:f>
              <c:strCache>
                <c:ptCount val="3"/>
                <c:pt idx="0">
                  <c:v>Water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2011_17'!$D$186:$O$186</c15:sqref>
                  </c15:fullRef>
                </c:ext>
              </c:extLst>
              <c:f>('Census 2011_17'!$F$186,'Census 2011_17'!$O$186)</c:f>
              <c:numCache>
                <c:formatCode>General</c:formatCode>
                <c:ptCount val="2"/>
                <c:pt idx="0" formatCode="_ * #,##0_ ;_ * \-#,##0_ ;_ * &quot;-&quot;??_ ;_ @_ ">
                  <c:v>72914.466729936423</c:v>
                </c:pt>
                <c:pt idx="1">
                  <c:v>163389.19727450685</c:v>
                </c:pt>
              </c:numCache>
            </c:numRef>
          </c:val>
          <c:extLst>
            <c:ext xmlns:c16="http://schemas.microsoft.com/office/drawing/2014/chart" uri="{C3380CC4-5D6E-409C-BE32-E72D297353CC}">
              <c16:uniqueId val="{00000001-3003-4B47-A34C-F103C1AC1EA4}"/>
            </c:ext>
          </c:extLst>
        </c:ser>
        <c:ser>
          <c:idx val="2"/>
          <c:order val="2"/>
          <c:tx>
            <c:strRef>
              <c:f>'Census 2011_17'!$A$187:$C$187</c:f>
              <c:strCache>
                <c:ptCount val="3"/>
                <c:pt idx="0">
                  <c:v>Water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2011_17'!$D$187:$O$187</c15:sqref>
                  </c15:fullRef>
                </c:ext>
              </c:extLst>
              <c:f>('Census 2011_17'!$F$187,'Census 2011_17'!$O$187)</c:f>
              <c:numCache>
                <c:formatCode>General</c:formatCode>
                <c:ptCount val="2"/>
                <c:pt idx="0" formatCode="_ * #,##0_ ;_ * \-#,##0_ ;_ * &quot;-&quot;??_ ;_ @_ ">
                  <c:v>414965.12518417882</c:v>
                </c:pt>
                <c:pt idx="1">
                  <c:v>471841.06726770819</c:v>
                </c:pt>
              </c:numCache>
            </c:numRef>
          </c:val>
          <c:extLst>
            <c:ext xmlns:c16="http://schemas.microsoft.com/office/drawing/2014/chart" uri="{C3380CC4-5D6E-409C-BE32-E72D297353CC}">
              <c16:uniqueId val="{00000002-3003-4B47-A34C-F103C1AC1EA4}"/>
            </c:ext>
          </c:extLst>
        </c:ser>
        <c:ser>
          <c:idx val="3"/>
          <c:order val="3"/>
          <c:tx>
            <c:strRef>
              <c:f>'Census 2011_17'!$A$188:$C$188</c:f>
              <c:strCache>
                <c:ptCount val="3"/>
                <c:pt idx="0">
                  <c:v>Water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2011_17'!$D$188:$O$188</c15:sqref>
                  </c15:fullRef>
                </c:ext>
              </c:extLst>
              <c:f>('Census 2011_17'!$F$188,'Census 2011_17'!$O$188)</c:f>
              <c:numCache>
                <c:formatCode>General</c:formatCode>
                <c:ptCount val="2"/>
                <c:pt idx="0" formatCode="_ * #,##0_ ;_ * \-#,##0_ ;_ * &quot;-&quot;??_ ;_ @_ ">
                  <c:v>722136.4443125386</c:v>
                </c:pt>
                <c:pt idx="1">
                  <c:v>679987.64546150831</c:v>
                </c:pt>
              </c:numCache>
            </c:numRef>
          </c:val>
          <c:extLst>
            <c:ext xmlns:c16="http://schemas.microsoft.com/office/drawing/2014/chart" uri="{C3380CC4-5D6E-409C-BE32-E72D297353CC}">
              <c16:uniqueId val="{00000003-3003-4B47-A34C-F103C1AC1EA4}"/>
            </c:ext>
          </c:extLst>
        </c:ser>
        <c:ser>
          <c:idx val="4"/>
          <c:order val="4"/>
          <c:tx>
            <c:strRef>
              <c:f>'Census 2011_17'!$A$189:$C$189</c:f>
              <c:strCache>
                <c:ptCount val="3"/>
                <c:pt idx="0">
                  <c:v>Water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2011_17'!$D$189:$O$189</c15:sqref>
                  </c15:fullRef>
                </c:ext>
              </c:extLst>
              <c:f>('Census 2011_17'!$F$189,'Census 2011_17'!$O$189)</c:f>
              <c:numCache>
                <c:formatCode>General</c:formatCode>
                <c:ptCount val="2"/>
                <c:pt idx="0" formatCode="_ * #,##0_ ;_ * \-#,##0_ ;_ * &quot;-&quot;??_ ;_ @_ ">
                  <c:v>111741.86941747647</c:v>
                </c:pt>
                <c:pt idx="1">
                  <c:v>28442.055566113097</c:v>
                </c:pt>
              </c:numCache>
            </c:numRef>
          </c:val>
          <c:extLst>
            <c:ext xmlns:c16="http://schemas.microsoft.com/office/drawing/2014/chart" uri="{C3380CC4-5D6E-409C-BE32-E72D297353CC}">
              <c16:uniqueId val="{00000004-3003-4B47-A34C-F103C1AC1EA4}"/>
            </c:ext>
          </c:extLst>
        </c:ser>
        <c:ser>
          <c:idx val="5"/>
          <c:order val="5"/>
          <c:tx>
            <c:strRef>
              <c:f>'Census 2011_17'!$A$190:$C$190</c:f>
              <c:strCache>
                <c:ptCount val="3"/>
                <c:pt idx="0">
                  <c:v>Water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2011_17'!$D$190:$O$190</c15:sqref>
                  </c15:fullRef>
                </c:ext>
              </c:extLst>
              <c:f>('Census 2011_17'!$F$190,'Census 2011_17'!$O$190)</c:f>
              <c:numCache>
                <c:formatCode>General</c:formatCode>
                <c:ptCount val="2"/>
                <c:pt idx="0" formatCode="_ * #,##0_ ;_ * \-#,##0_ ;_ * &quot;-&quot;??_ ;_ @_ ">
                  <c:v>15762.225579499907</c:v>
                </c:pt>
                <c:pt idx="1">
                  <c:v>4258.5463500945662</c:v>
                </c:pt>
              </c:numCache>
            </c:numRef>
          </c:val>
          <c:extLst>
            <c:ext xmlns:c16="http://schemas.microsoft.com/office/drawing/2014/chart" uri="{C3380CC4-5D6E-409C-BE32-E72D297353CC}">
              <c16:uniqueId val="{00000005-3003-4B47-A34C-F103C1AC1EA4}"/>
            </c:ext>
          </c:extLst>
        </c:ser>
        <c:ser>
          <c:idx val="6"/>
          <c:order val="6"/>
          <c:tx>
            <c:strRef>
              <c:f>'Census 2011_17'!$A$191:$C$191</c:f>
              <c:strCache>
                <c:ptCount val="3"/>
                <c:pt idx="0">
                  <c:v>Water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2011_17'!$D$191:$O$191</c15:sqref>
                  </c15:fullRef>
                </c:ext>
              </c:extLst>
              <c:f>('Census 2011_17'!$F$191,'Census 2011_17'!$O$191)</c:f>
              <c:numCache>
                <c:formatCode>General</c:formatCode>
                <c:ptCount val="2"/>
                <c:pt idx="0" formatCode="_ * #,##0_ ;_ * \-#,##0_ ;_ * &quot;-&quot;??_ ;_ @_ ">
                  <c:v>10014.361500741161</c:v>
                </c:pt>
                <c:pt idx="1">
                  <c:v>4958.5641814599803</c:v>
                </c:pt>
              </c:numCache>
            </c:numRef>
          </c:val>
          <c:extLst>
            <c:ext xmlns:c16="http://schemas.microsoft.com/office/drawing/2014/chart" uri="{C3380CC4-5D6E-409C-BE32-E72D297353CC}">
              <c16:uniqueId val="{00000006-3003-4B47-A34C-F103C1AC1EA4}"/>
            </c:ext>
          </c:extLst>
        </c:ser>
        <c:ser>
          <c:idx val="7"/>
          <c:order val="7"/>
          <c:tx>
            <c:strRef>
              <c:f>'Census 2011_17'!$A$192:$C$192</c:f>
              <c:strCache>
                <c:ptCount val="3"/>
                <c:pt idx="0">
                  <c:v>Water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2011_17'!$D$192:$O$192</c15:sqref>
                  </c15:fullRef>
                </c:ext>
              </c:extLst>
              <c:f>('Census 2011_17'!$F$192,'Census 2011_17'!$O$192)</c:f>
              <c:numCache>
                <c:formatCode>General</c:formatCode>
                <c:ptCount val="2"/>
                <c:pt idx="0" formatCode="_ * #,##0_ ;_ * \-#,##0_ ;_ * &quot;-&quot;??_ ;_ @_ ">
                  <c:v>651.78822000000002</c:v>
                </c:pt>
                <c:pt idx="1">
                  <c:v>8164.8146506239509</c:v>
                </c:pt>
              </c:numCache>
            </c:numRef>
          </c:val>
          <c:extLst>
            <c:ext xmlns:c16="http://schemas.microsoft.com/office/drawing/2014/chart" uri="{C3380CC4-5D6E-409C-BE32-E72D297353CC}">
              <c16:uniqueId val="{00000007-3003-4B47-A34C-F103C1AC1EA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2011_17'!$A$195:$C$195</c:f>
              <c:strCache>
                <c:ptCount val="3"/>
                <c:pt idx="0">
                  <c:v>Water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2011_17'!$D$195:$O$195</c15:sqref>
                  </c15:fullRef>
                </c:ext>
              </c:extLst>
              <c:f>('Census 2011_17'!$F$195,'Census 2011_17'!$O$195)</c:f>
              <c:numCache>
                <c:formatCode>0</c:formatCode>
                <c:ptCount val="2"/>
                <c:pt idx="0" formatCode="_ * #,##0_ ;_ * \-#,##0_ ;_ * &quot;-&quot;??_ ;_ @_ ">
                  <c:v>2716677.6504021734</c:v>
                </c:pt>
                <c:pt idx="1" formatCode="General">
                  <c:v>3472894.3210074115</c:v>
                </c:pt>
              </c:numCache>
            </c:numRef>
          </c:val>
          <c:extLst>
            <c:ext xmlns:c16="http://schemas.microsoft.com/office/drawing/2014/chart" uri="{C3380CC4-5D6E-409C-BE32-E72D297353CC}">
              <c16:uniqueId val="{00000000-F71E-4737-84E8-B7C2FFB07991}"/>
            </c:ext>
          </c:extLst>
        </c:ser>
        <c:ser>
          <c:idx val="1"/>
          <c:order val="1"/>
          <c:tx>
            <c:strRef>
              <c:f>'Census 2011_17'!$A$196:$C$196</c:f>
              <c:strCache>
                <c:ptCount val="3"/>
                <c:pt idx="0">
                  <c:v>Water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2011_17'!$D$196:$O$196</c15:sqref>
                  </c15:fullRef>
                </c:ext>
              </c:extLst>
              <c:f>('Census 2011_17'!$F$196,'Census 2011_17'!$O$196)</c:f>
              <c:numCache>
                <c:formatCode>General</c:formatCode>
                <c:ptCount val="2"/>
                <c:pt idx="0" formatCode="_ * #,##0_ ;_ * \-#,##0_ ;_ * &quot;-&quot;??_ ;_ @_ ">
                  <c:v>190024.35272362945</c:v>
                </c:pt>
                <c:pt idx="1">
                  <c:v>380280.16356051847</c:v>
                </c:pt>
              </c:numCache>
            </c:numRef>
          </c:val>
          <c:extLst>
            <c:ext xmlns:c16="http://schemas.microsoft.com/office/drawing/2014/chart" uri="{C3380CC4-5D6E-409C-BE32-E72D297353CC}">
              <c16:uniqueId val="{00000001-F71E-4737-84E8-B7C2FFB07991}"/>
            </c:ext>
          </c:extLst>
        </c:ser>
        <c:ser>
          <c:idx val="2"/>
          <c:order val="2"/>
          <c:tx>
            <c:strRef>
              <c:f>'Census 2011_17'!$A$197:$C$197</c:f>
              <c:strCache>
                <c:ptCount val="3"/>
                <c:pt idx="0">
                  <c:v>Water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2011_17'!$D$197:$O$197</c15:sqref>
                  </c15:fullRef>
                </c:ext>
              </c:extLst>
              <c:f>('Census 2011_17'!$F$197,'Census 2011_17'!$O$197)</c:f>
              <c:numCache>
                <c:formatCode>General</c:formatCode>
                <c:ptCount val="2"/>
                <c:pt idx="0" formatCode="_ * #,##0_ ;_ * \-#,##0_ ;_ * &quot;-&quot;??_ ;_ @_ ">
                  <c:v>129563.31966873548</c:v>
                </c:pt>
                <c:pt idx="1">
                  <c:v>131568.21435853455</c:v>
                </c:pt>
              </c:numCache>
            </c:numRef>
          </c:val>
          <c:extLst>
            <c:ext xmlns:c16="http://schemas.microsoft.com/office/drawing/2014/chart" uri="{C3380CC4-5D6E-409C-BE32-E72D297353CC}">
              <c16:uniqueId val="{00000002-F71E-4737-84E8-B7C2FFB07991}"/>
            </c:ext>
          </c:extLst>
        </c:ser>
        <c:ser>
          <c:idx val="3"/>
          <c:order val="3"/>
          <c:tx>
            <c:strRef>
              <c:f>'Census 2011_17'!$A$198:$C$198</c:f>
              <c:strCache>
                <c:ptCount val="3"/>
                <c:pt idx="0">
                  <c:v>Water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2011_17'!$D$198:$O$198</c15:sqref>
                  </c15:fullRef>
                </c:ext>
              </c:extLst>
              <c:f>('Census 2011_17'!$F$198,'Census 2011_17'!$O$198)</c:f>
              <c:numCache>
                <c:formatCode>General</c:formatCode>
                <c:ptCount val="2"/>
                <c:pt idx="0" formatCode="_ * #,##0_ ;_ * \-#,##0_ ;_ * &quot;-&quot;??_ ;_ @_ ">
                  <c:v>126183.99040275536</c:v>
                </c:pt>
                <c:pt idx="1">
                  <c:v>106113.53708848105</c:v>
                </c:pt>
              </c:numCache>
            </c:numRef>
          </c:val>
          <c:extLst>
            <c:ext xmlns:c16="http://schemas.microsoft.com/office/drawing/2014/chart" uri="{C3380CC4-5D6E-409C-BE32-E72D297353CC}">
              <c16:uniqueId val="{00000003-F71E-4737-84E8-B7C2FFB07991}"/>
            </c:ext>
          </c:extLst>
        </c:ser>
        <c:ser>
          <c:idx val="4"/>
          <c:order val="4"/>
          <c:tx>
            <c:strRef>
              <c:f>'Census 2011_17'!$A$199:$C$199</c:f>
              <c:strCache>
                <c:ptCount val="3"/>
                <c:pt idx="0">
                  <c:v>Water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2011_17'!$D$199:$O$199</c15:sqref>
                  </c15:fullRef>
                </c:ext>
              </c:extLst>
              <c:f>('Census 2011_17'!$F$199,'Census 2011_17'!$O$199)</c:f>
              <c:numCache>
                <c:formatCode>General</c:formatCode>
                <c:ptCount val="2"/>
                <c:pt idx="0" formatCode="_ * #,##0_ ;_ * \-#,##0_ ;_ * &quot;-&quot;??_ ;_ @_ ">
                  <c:v>30530.003644678345</c:v>
                </c:pt>
                <c:pt idx="1">
                  <c:v>6939.9553908544667</c:v>
                </c:pt>
              </c:numCache>
            </c:numRef>
          </c:val>
          <c:extLst>
            <c:ext xmlns:c16="http://schemas.microsoft.com/office/drawing/2014/chart" uri="{C3380CC4-5D6E-409C-BE32-E72D297353CC}">
              <c16:uniqueId val="{00000004-F71E-4737-84E8-B7C2FFB07991}"/>
            </c:ext>
          </c:extLst>
        </c:ser>
        <c:ser>
          <c:idx val="5"/>
          <c:order val="5"/>
          <c:tx>
            <c:strRef>
              <c:f>'Census 2011_17'!$A$200:$C$200</c:f>
              <c:strCache>
                <c:ptCount val="3"/>
                <c:pt idx="0">
                  <c:v>Water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2011_17'!$D$200:$O$200</c15:sqref>
                  </c15:fullRef>
                </c:ext>
              </c:extLst>
              <c:f>('Census 2011_17'!$F$200,'Census 2011_17'!$O$200)</c:f>
              <c:numCache>
                <c:formatCode>General</c:formatCode>
                <c:ptCount val="2"/>
                <c:pt idx="0" formatCode="_ * #,##0_ ;_ * \-#,##0_ ;_ * &quot;-&quot;??_ ;_ @_ ">
                  <c:v>3878.8686534588192</c:v>
                </c:pt>
                <c:pt idx="1">
                  <c:v>935.909139952391</c:v>
                </c:pt>
              </c:numCache>
            </c:numRef>
          </c:val>
          <c:extLst>
            <c:ext xmlns:c16="http://schemas.microsoft.com/office/drawing/2014/chart" uri="{C3380CC4-5D6E-409C-BE32-E72D297353CC}">
              <c16:uniqueId val="{00000005-F71E-4737-84E8-B7C2FFB07991}"/>
            </c:ext>
          </c:extLst>
        </c:ser>
        <c:ser>
          <c:idx val="6"/>
          <c:order val="6"/>
          <c:tx>
            <c:strRef>
              <c:f>'Census 2011_17'!$A$201:$C$201</c:f>
              <c:strCache>
                <c:ptCount val="3"/>
                <c:pt idx="0">
                  <c:v>Water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2011_17'!$D$201:$O$201</c15:sqref>
                  </c15:fullRef>
                </c:ext>
              </c:extLst>
              <c:f>('Census 2011_17'!$F$201,'Census 2011_17'!$O$201)</c:f>
              <c:numCache>
                <c:formatCode>General</c:formatCode>
                <c:ptCount val="2"/>
                <c:pt idx="0" formatCode="_ * #,##0_ ;_ * \-#,##0_ ;_ * &quot;-&quot;??_ ;_ @_ ">
                  <c:v>15768.357783509498</c:v>
                </c:pt>
                <c:pt idx="1">
                  <c:v>6972.7471162832944</c:v>
                </c:pt>
              </c:numCache>
            </c:numRef>
          </c:val>
          <c:extLst>
            <c:ext xmlns:c16="http://schemas.microsoft.com/office/drawing/2014/chart" uri="{C3380CC4-5D6E-409C-BE32-E72D297353CC}">
              <c16:uniqueId val="{00000006-F71E-4737-84E8-B7C2FFB07991}"/>
            </c:ext>
          </c:extLst>
        </c:ser>
        <c:ser>
          <c:idx val="7"/>
          <c:order val="7"/>
          <c:tx>
            <c:strRef>
              <c:f>'Census 2011_17'!$A$202:$C$202</c:f>
              <c:strCache>
                <c:ptCount val="3"/>
                <c:pt idx="0">
                  <c:v>Water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2011_17'!$D$202:$O$202</c15:sqref>
                  </c15:fullRef>
                </c:ext>
              </c:extLst>
              <c:f>('Census 2011_17'!$F$202,'Census 2011_17'!$O$202)</c:f>
              <c:numCache>
                <c:formatCode>General</c:formatCode>
                <c:ptCount val="2"/>
                <c:pt idx="0" formatCode="_ * #,##0_ ;_ * \-#,##0_ ;_ * &quot;-&quot;??_ ;_ @_ ">
                  <c:v>690.08531999999991</c:v>
                </c:pt>
                <c:pt idx="1">
                  <c:v>7720.1793025290399</c:v>
                </c:pt>
              </c:numCache>
            </c:numRef>
          </c:val>
          <c:extLst>
            <c:ext xmlns:c16="http://schemas.microsoft.com/office/drawing/2014/chart" uri="{C3380CC4-5D6E-409C-BE32-E72D297353CC}">
              <c16:uniqueId val="{00000007-F71E-4737-84E8-B7C2FFB0799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2011_17'!$A$213:$C$213</c:f>
              <c:strCache>
                <c:ptCount val="3"/>
                <c:pt idx="0">
                  <c:v>Lighting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2011_17'!$D$213:$O$213</c15:sqref>
                  </c15:fullRef>
                </c:ext>
              </c:extLst>
              <c:f>('Census 2011_17'!$F$213,'Census 2011_17'!$O$213)</c:f>
              <c:numCache>
                <c:formatCode>General</c:formatCode>
                <c:ptCount val="2"/>
                <c:pt idx="0" formatCode="_ * #,##0_ ;_ * \-#,##0_ ;_ * &quot;-&quot;??_ ;_ @_ ">
                  <c:v>4934382.4149125442</c:v>
                </c:pt>
                <c:pt idx="1">
                  <c:v>5952269.8577147471</c:v>
                </c:pt>
              </c:numCache>
            </c:numRef>
          </c:val>
          <c:extLst>
            <c:ext xmlns:c16="http://schemas.microsoft.com/office/drawing/2014/chart" uri="{C3380CC4-5D6E-409C-BE32-E72D297353CC}">
              <c16:uniqueId val="{00000000-9334-4D18-AF12-F4527732CAED}"/>
            </c:ext>
          </c:extLst>
        </c:ser>
        <c:ser>
          <c:idx val="1"/>
          <c:order val="1"/>
          <c:tx>
            <c:strRef>
              <c:f>'Census 2011_17'!$A$214:$C$214</c:f>
              <c:strCache>
                <c:ptCount val="3"/>
                <c:pt idx="0">
                  <c:v>Lighting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2011_17'!$D$214:$O$214</c15:sqref>
                  </c15:fullRef>
                </c:ext>
              </c:extLst>
              <c:f>('Census 2011_17'!$F$214,'Census 2011_17'!$O$214)</c:f>
              <c:numCache>
                <c:formatCode>General</c:formatCode>
                <c:ptCount val="2"/>
                <c:pt idx="0" formatCode="_ * #,##0_ ;_ * \-#,##0_ ;_ * &quot;-&quot;??_ ;_ @_ ">
                  <c:v>17869.826769999992</c:v>
                </c:pt>
                <c:pt idx="1">
                  <c:v>21556.098068969837</c:v>
                </c:pt>
              </c:numCache>
            </c:numRef>
          </c:val>
          <c:extLst>
            <c:ext xmlns:c16="http://schemas.microsoft.com/office/drawing/2014/chart" uri="{C3380CC4-5D6E-409C-BE32-E72D297353CC}">
              <c16:uniqueId val="{00000001-9334-4D18-AF12-F4527732CAED}"/>
            </c:ext>
          </c:extLst>
        </c:ser>
        <c:ser>
          <c:idx val="2"/>
          <c:order val="2"/>
          <c:tx>
            <c:strRef>
              <c:f>'Census 2011_17'!$A$215:$C$215</c:f>
              <c:strCache>
                <c:ptCount val="3"/>
                <c:pt idx="0">
                  <c:v>Lighting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2011_17'!$D$215:$O$215</c15:sqref>
                  </c15:fullRef>
                </c:ext>
              </c:extLst>
              <c:f>('Census 2011_17'!$F$215,'Census 2011_17'!$O$215)</c:f>
              <c:numCache>
                <c:formatCode>General</c:formatCode>
                <c:ptCount val="2"/>
                <c:pt idx="0" formatCode="_ * #,##0_ ;_ * \-#,##0_ ;_ * &quot;-&quot;??_ ;_ @_ ">
                  <c:v>274321.35216982913</c:v>
                </c:pt>
                <c:pt idx="1">
                  <c:v>330909.64148083073</c:v>
                </c:pt>
              </c:numCache>
            </c:numRef>
          </c:val>
          <c:extLst>
            <c:ext xmlns:c16="http://schemas.microsoft.com/office/drawing/2014/chart" uri="{C3380CC4-5D6E-409C-BE32-E72D297353CC}">
              <c16:uniqueId val="{00000002-9334-4D18-AF12-F4527732CAED}"/>
            </c:ext>
          </c:extLst>
        </c:ser>
        <c:ser>
          <c:idx val="3"/>
          <c:order val="3"/>
          <c:tx>
            <c:strRef>
              <c:f>'Census 2011_17'!$A$216:$C$216</c:f>
              <c:strCache>
                <c:ptCount val="3"/>
                <c:pt idx="0">
                  <c:v>Lighting</c:v>
                </c:pt>
                <c:pt idx="1">
                  <c:v>Low income</c:v>
                </c:pt>
                <c:pt idx="2">
                  <c:v>Candles</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2011_17'!$D$216:$O$216</c15:sqref>
                  </c15:fullRef>
                </c:ext>
              </c:extLst>
              <c:f>('Census 2011_17'!$F$216,'Census 2011_17'!$O$216)</c:f>
              <c:numCache>
                <c:formatCode>General</c:formatCode>
                <c:ptCount val="2"/>
                <c:pt idx="0" formatCode="_ * #,##0_ ;_ * \-#,##0_ ;_ * &quot;-&quot;??_ ;_ @_ ">
                  <c:v>1088744.5315500766</c:v>
                </c:pt>
                <c:pt idx="1">
                  <c:v>1313335.8367831614</c:v>
                </c:pt>
              </c:numCache>
            </c:numRef>
          </c:val>
          <c:extLst>
            <c:ext xmlns:c16="http://schemas.microsoft.com/office/drawing/2014/chart" uri="{C3380CC4-5D6E-409C-BE32-E72D297353CC}">
              <c16:uniqueId val="{00000003-9334-4D18-AF12-F4527732CAED}"/>
            </c:ext>
          </c:extLst>
        </c:ser>
        <c:ser>
          <c:idx val="4"/>
          <c:order val="4"/>
          <c:tx>
            <c:strRef>
              <c:f>'Census 2011_17'!$A$217:$C$217</c:f>
              <c:strCache>
                <c:ptCount val="3"/>
                <c:pt idx="0">
                  <c:v>Lighting</c:v>
                </c:pt>
                <c:pt idx="1">
                  <c:v>Low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2011_17'!$D$217:$O$217</c15:sqref>
                  </c15:fullRef>
                </c:ext>
              </c:extLst>
              <c:f>('Census 2011_17'!$F$217,'Census 2011_17'!$O$217)</c:f>
              <c:numCache>
                <c:formatCode>General</c:formatCode>
                <c:ptCount val="2"/>
                <c:pt idx="0" formatCode="_ * #,##0_ ;_ * \-#,##0_ ;_ * &quot;-&quot;??_ ;_ @_ ">
                  <c:v>24110.493553320201</c:v>
                </c:pt>
                <c:pt idx="1">
                  <c:v>29084.118733549178</c:v>
                </c:pt>
              </c:numCache>
            </c:numRef>
          </c:val>
          <c:extLst>
            <c:ext xmlns:c16="http://schemas.microsoft.com/office/drawing/2014/chart" uri="{C3380CC4-5D6E-409C-BE32-E72D297353CC}">
              <c16:uniqueId val="{00000004-9334-4D18-AF12-F4527732CAED}"/>
            </c:ext>
          </c:extLst>
        </c:ser>
        <c:ser>
          <c:idx val="5"/>
          <c:order val="5"/>
          <c:tx>
            <c:strRef>
              <c:f>'Census 2011_17'!$A$218:$C$218</c:f>
              <c:strCache>
                <c:ptCount val="3"/>
                <c:pt idx="0">
                  <c:v>Lighting</c:v>
                </c:pt>
                <c:pt idx="1">
                  <c:v>Low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2011_17'!$D$218:$O$218</c15:sqref>
                  </c15:fullRef>
                </c:ext>
              </c:extLst>
              <c:f>('Census 2011_17'!$F$218,'Census 2011_17'!$O$218)</c:f>
              <c:numCache>
                <c:formatCode>General</c:formatCode>
                <c:ptCount val="2"/>
                <c:pt idx="0" formatCode="_ * #,##0_ ;_ * \-#,##0_ ;_ * &quot;-&quot;??_ ;_ @_ ">
                  <c:v>28752.499630000002</c:v>
                </c:pt>
                <c:pt idx="1">
                  <c:v>34683.699496897767</c:v>
                </c:pt>
              </c:numCache>
            </c:numRef>
          </c:val>
          <c:extLst>
            <c:ext xmlns:c16="http://schemas.microsoft.com/office/drawing/2014/chart" uri="{C3380CC4-5D6E-409C-BE32-E72D297353CC}">
              <c16:uniqueId val="{00000005-9334-4D18-AF12-F4527732CAED}"/>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2011_17'!$A$222:$C$222</c:f>
              <c:strCache>
                <c:ptCount val="3"/>
                <c:pt idx="0">
                  <c:v>Lighting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2011_17'!$D$222:$O$222</c15:sqref>
                  </c15:fullRef>
                </c:ext>
              </c:extLst>
              <c:f>('Census 2011_17'!$F$222,'Census 2011_17'!$O$222)</c:f>
              <c:numCache>
                <c:formatCode>General</c:formatCode>
                <c:ptCount val="2"/>
                <c:pt idx="0" formatCode="_ * #,##0_ ;_ * \-#,##0_ ;_ * &quot;-&quot;??_ ;_ @_ ">
                  <c:v>3949564.3702698089</c:v>
                </c:pt>
                <c:pt idx="1">
                  <c:v>4889772.97049936</c:v>
                </c:pt>
              </c:numCache>
            </c:numRef>
          </c:val>
          <c:extLst>
            <c:ext xmlns:c16="http://schemas.microsoft.com/office/drawing/2014/chart" uri="{C3380CC4-5D6E-409C-BE32-E72D297353CC}">
              <c16:uniqueId val="{00000000-64D8-4835-8443-DE5B0278BEE8}"/>
            </c:ext>
          </c:extLst>
        </c:ser>
        <c:ser>
          <c:idx val="1"/>
          <c:order val="1"/>
          <c:tx>
            <c:strRef>
              <c:f>'Census 2011_17'!$A$223:$C$223</c:f>
              <c:strCache>
                <c:ptCount val="3"/>
                <c:pt idx="0">
                  <c:v>Lighting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2011_17'!$D$223:$O$223</c15:sqref>
                  </c15:fullRef>
                </c:ext>
              </c:extLst>
              <c:f>('Census 2011_17'!$F$223,'Census 2011_17'!$O$223)</c:f>
              <c:numCache>
                <c:formatCode>General</c:formatCode>
                <c:ptCount val="2"/>
                <c:pt idx="0" formatCode="_ * #,##0_ ;_ * \-#,##0_ ;_ * &quot;-&quot;??_ ;_ @_ ">
                  <c:v>10358.532200000003</c:v>
                </c:pt>
                <c:pt idx="1">
                  <c:v>27974.421399870589</c:v>
                </c:pt>
              </c:numCache>
            </c:numRef>
          </c:val>
          <c:extLst>
            <c:ext xmlns:c16="http://schemas.microsoft.com/office/drawing/2014/chart" uri="{C3380CC4-5D6E-409C-BE32-E72D297353CC}">
              <c16:uniqueId val="{00000001-64D8-4835-8443-DE5B0278BEE8}"/>
            </c:ext>
          </c:extLst>
        </c:ser>
        <c:ser>
          <c:idx val="2"/>
          <c:order val="2"/>
          <c:tx>
            <c:strRef>
              <c:f>'Census 2011_17'!$A$224:$C$224</c:f>
              <c:strCache>
                <c:ptCount val="3"/>
                <c:pt idx="0">
                  <c:v>Lighting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2011_17'!$D$224:$O$224</c15:sqref>
                  </c15:fullRef>
                </c:ext>
              </c:extLst>
              <c:f>('Census 2011_17'!$F$224,'Census 2011_17'!$O$224)</c:f>
              <c:numCache>
                <c:formatCode>General</c:formatCode>
                <c:ptCount val="2"/>
                <c:pt idx="0" formatCode="_ * #,##0_ ;_ * \-#,##0_ ;_ * &quot;-&quot;??_ ;_ @_ ">
                  <c:v>132993.16558246015</c:v>
                </c:pt>
                <c:pt idx="1">
                  <c:v>508610.99261242774</c:v>
                </c:pt>
              </c:numCache>
            </c:numRef>
          </c:val>
          <c:extLst>
            <c:ext xmlns:c16="http://schemas.microsoft.com/office/drawing/2014/chart" uri="{C3380CC4-5D6E-409C-BE32-E72D297353CC}">
              <c16:uniqueId val="{00000002-64D8-4835-8443-DE5B0278BEE8}"/>
            </c:ext>
          </c:extLst>
        </c:ser>
        <c:ser>
          <c:idx val="3"/>
          <c:order val="3"/>
          <c:tx>
            <c:strRef>
              <c:f>'Census 2011_17'!$A$225:$C$225</c:f>
              <c:strCache>
                <c:ptCount val="3"/>
                <c:pt idx="0">
                  <c:v>Lighting</c:v>
                </c:pt>
                <c:pt idx="1">
                  <c:v>Middle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2011_17'!$D$225:$O$225</c15:sqref>
                  </c15:fullRef>
                </c:ext>
              </c:extLst>
              <c:f>('Census 2011_17'!$F$225,'Census 2011_17'!$O$225)</c:f>
              <c:numCache>
                <c:formatCode>General</c:formatCode>
                <c:ptCount val="2"/>
                <c:pt idx="0" formatCode="_ * #,##0_ ;_ * \-#,##0_ ;_ * &quot;-&quot;??_ ;_ @_ ">
                  <c:v>497730.81376470451</c:v>
                </c:pt>
                <c:pt idx="1">
                  <c:v>0</c:v>
                </c:pt>
              </c:numCache>
            </c:numRef>
          </c:val>
          <c:extLst>
            <c:ext xmlns:c16="http://schemas.microsoft.com/office/drawing/2014/chart" uri="{C3380CC4-5D6E-409C-BE32-E72D297353CC}">
              <c16:uniqueId val="{00000003-64D8-4835-8443-DE5B0278BEE8}"/>
            </c:ext>
          </c:extLst>
        </c:ser>
        <c:ser>
          <c:idx val="4"/>
          <c:order val="4"/>
          <c:tx>
            <c:strRef>
              <c:f>'Census 2011_17'!$A$226:$C$226</c:f>
              <c:strCache>
                <c:ptCount val="3"/>
                <c:pt idx="0">
                  <c:v>Lighting</c:v>
                </c:pt>
                <c:pt idx="1">
                  <c:v>Middle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2011_17'!$D$226:$O$226</c15:sqref>
                  </c15:fullRef>
                </c:ext>
              </c:extLst>
              <c:f>('Census 2011_17'!$F$226,'Census 2011_17'!$O$226)</c:f>
              <c:numCache>
                <c:formatCode>General</c:formatCode>
                <c:ptCount val="2"/>
                <c:pt idx="0" formatCode="_ * #,##0_ ;_ * \-#,##0_ ;_ * &quot;-&quot;??_ ;_ @_ ">
                  <c:v>16413.321691221048</c:v>
                </c:pt>
                <c:pt idx="1">
                  <c:v>111029.11829117012</c:v>
                </c:pt>
              </c:numCache>
            </c:numRef>
          </c:val>
          <c:extLst>
            <c:ext xmlns:c16="http://schemas.microsoft.com/office/drawing/2014/chart" uri="{C3380CC4-5D6E-409C-BE32-E72D297353CC}">
              <c16:uniqueId val="{00000004-64D8-4835-8443-DE5B0278BEE8}"/>
            </c:ext>
          </c:extLst>
        </c:ser>
        <c:ser>
          <c:idx val="5"/>
          <c:order val="5"/>
          <c:tx>
            <c:strRef>
              <c:f>'Census 2011_17'!$A$227:$C$227</c:f>
              <c:strCache>
                <c:ptCount val="3"/>
                <c:pt idx="0">
                  <c:v>Lighting</c:v>
                </c:pt>
                <c:pt idx="1">
                  <c:v>Middle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2011_17'!$D$227:$O$227</c15:sqref>
                  </c15:fullRef>
                </c:ext>
              </c:extLst>
              <c:f>('Census 2011_17'!$F$227,'Census 2011_17'!$O$227)</c:f>
              <c:numCache>
                <c:formatCode>General</c:formatCode>
                <c:ptCount val="2"/>
                <c:pt idx="0" formatCode="_ * #,##0_ ;_ * \-#,##0_ ;_ * &quot;-&quot;??_ ;_ @_ ">
                  <c:v>12996.027060000002</c:v>
                </c:pt>
                <c:pt idx="1">
                  <c:v>35715.497696104692</c:v>
                </c:pt>
              </c:numCache>
            </c:numRef>
          </c:val>
          <c:extLst>
            <c:ext xmlns:c16="http://schemas.microsoft.com/office/drawing/2014/chart" uri="{C3380CC4-5D6E-409C-BE32-E72D297353CC}">
              <c16:uniqueId val="{00000005-64D8-4835-8443-DE5B0278BEE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2011_17'!$A$231:$C$231</c:f>
              <c:strCache>
                <c:ptCount val="3"/>
                <c:pt idx="0">
                  <c:v>Lighting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2011_17'!$D$231:$O$231</c15:sqref>
                  </c15:fullRef>
                </c:ext>
              </c:extLst>
              <c:f>('Census 2011_17'!$F$231,'Census 2011_17'!$O$231)</c:f>
              <c:numCache>
                <c:formatCode>General</c:formatCode>
                <c:ptCount val="2"/>
                <c:pt idx="0" formatCode="_ * #,##0_ ;_ * \-#,##0_ ;_ * &quot;-&quot;??_ ;_ @_ ">
                  <c:v>3358454.6919761435</c:v>
                </c:pt>
                <c:pt idx="1">
                  <c:v>4006070.0953151626</c:v>
                </c:pt>
              </c:numCache>
            </c:numRef>
          </c:val>
          <c:extLst>
            <c:ext xmlns:c16="http://schemas.microsoft.com/office/drawing/2014/chart" uri="{C3380CC4-5D6E-409C-BE32-E72D297353CC}">
              <c16:uniqueId val="{00000000-19E4-4164-B40B-4265ADD20F05}"/>
            </c:ext>
          </c:extLst>
        </c:ser>
        <c:ser>
          <c:idx val="1"/>
          <c:order val="1"/>
          <c:tx>
            <c:strRef>
              <c:f>'Census 2011_17'!$A$232:$C$232</c:f>
              <c:strCache>
                <c:ptCount val="3"/>
                <c:pt idx="0">
                  <c:v>Lighting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2011_17'!$D$232:$O$232</c15:sqref>
                  </c15:fullRef>
                </c:ext>
              </c:extLst>
              <c:f>('Census 2011_17'!$F$232,'Census 2011_17'!$O$232)</c:f>
              <c:numCache>
                <c:formatCode>General</c:formatCode>
                <c:ptCount val="2"/>
                <c:pt idx="0" formatCode="_ * #,##0_ ;_ * \-#,##0_ ;_ * &quot;-&quot;??_ ;_ @_ ">
                  <c:v>6118.5712100000001</c:v>
                </c:pt>
                <c:pt idx="1">
                  <c:v>15920.344539764041</c:v>
                </c:pt>
              </c:numCache>
            </c:numRef>
          </c:val>
          <c:extLst>
            <c:ext xmlns:c16="http://schemas.microsoft.com/office/drawing/2014/chart" uri="{C3380CC4-5D6E-409C-BE32-E72D297353CC}">
              <c16:uniqueId val="{00000001-19E4-4164-B40B-4265ADD20F05}"/>
            </c:ext>
          </c:extLst>
        </c:ser>
        <c:ser>
          <c:idx val="2"/>
          <c:order val="2"/>
          <c:tx>
            <c:strRef>
              <c:f>'Census 2011_17'!$A$233:$C$233</c:f>
              <c:strCache>
                <c:ptCount val="3"/>
                <c:pt idx="0">
                  <c:v>Lighting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2011_17'!$D$233:$O$233</c15:sqref>
                  </c15:fullRef>
                </c:ext>
              </c:extLst>
              <c:f>('Census 2011_17'!$F$233,'Census 2011_17'!$O$233)</c:f>
              <c:numCache>
                <c:formatCode>General</c:formatCode>
                <c:ptCount val="2"/>
                <c:pt idx="0" formatCode="_ * #,##0_ ;_ * \-#,##0_ ;_ * &quot;-&quot;??_ ;_ @_ ">
                  <c:v>18890.571727710707</c:v>
                </c:pt>
                <c:pt idx="1">
                  <c:v>69605.101665427894</c:v>
                </c:pt>
              </c:numCache>
            </c:numRef>
          </c:val>
          <c:extLst>
            <c:ext xmlns:c16="http://schemas.microsoft.com/office/drawing/2014/chart" uri="{C3380CC4-5D6E-409C-BE32-E72D297353CC}">
              <c16:uniqueId val="{00000002-19E4-4164-B40B-4265ADD20F05}"/>
            </c:ext>
          </c:extLst>
        </c:ser>
        <c:ser>
          <c:idx val="3"/>
          <c:order val="3"/>
          <c:tx>
            <c:strRef>
              <c:f>'Census 2011_17'!$A$234:$C$234</c:f>
              <c:strCache>
                <c:ptCount val="3"/>
                <c:pt idx="0">
                  <c:v>Lighting</c:v>
                </c:pt>
                <c:pt idx="1">
                  <c:v>High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2011_17'!$D$234:$O$234</c15:sqref>
                  </c15:fullRef>
                </c:ext>
              </c:extLst>
              <c:f>('Census 2011_17'!$F$234,'Census 2011_17'!$O$234)</c:f>
              <c:numCache>
                <c:formatCode>General</c:formatCode>
                <c:ptCount val="2"/>
                <c:pt idx="0" formatCode="_ * #,##0_ ;_ * \-#,##0_ ;_ * &quot;-&quot;??_ ;_ @_ ">
                  <c:v>62606.783145218884</c:v>
                </c:pt>
                <c:pt idx="1">
                  <c:v>0</c:v>
                </c:pt>
              </c:numCache>
            </c:numRef>
          </c:val>
          <c:extLst>
            <c:ext xmlns:c16="http://schemas.microsoft.com/office/drawing/2014/chart" uri="{C3380CC4-5D6E-409C-BE32-E72D297353CC}">
              <c16:uniqueId val="{00000003-19E4-4164-B40B-4265ADD20F05}"/>
            </c:ext>
          </c:extLst>
        </c:ser>
        <c:ser>
          <c:idx val="4"/>
          <c:order val="4"/>
          <c:tx>
            <c:strRef>
              <c:f>'Census 2011_17'!$A$235:$C$235</c:f>
              <c:strCache>
                <c:ptCount val="3"/>
                <c:pt idx="0">
                  <c:v>Lighting</c:v>
                </c:pt>
                <c:pt idx="1">
                  <c:v>High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2011_17'!$D$235:$O$235</c15:sqref>
                  </c15:fullRef>
                </c:ext>
              </c:extLst>
              <c:f>('Census 2011_17'!$F$235,'Census 2011_17'!$O$235)</c:f>
              <c:numCache>
                <c:formatCode>General</c:formatCode>
                <c:ptCount val="2"/>
                <c:pt idx="0" formatCode="_ * #,##0_ ;_ * \-#,##0_ ;_ * &quot;-&quot;??_ ;_ @_ ">
                  <c:v>10981.130155458752</c:v>
                </c:pt>
                <c:pt idx="1">
                  <c:v>71569.337938231431</c:v>
                </c:pt>
              </c:numCache>
            </c:numRef>
          </c:val>
          <c:extLst>
            <c:ext xmlns:c16="http://schemas.microsoft.com/office/drawing/2014/chart" uri="{C3380CC4-5D6E-409C-BE32-E72D297353CC}">
              <c16:uniqueId val="{00000004-19E4-4164-B40B-4265ADD20F05}"/>
            </c:ext>
          </c:extLst>
        </c:ser>
        <c:ser>
          <c:idx val="5"/>
          <c:order val="5"/>
          <c:tx>
            <c:strRef>
              <c:f>'Census 2011_17'!$A$236:$C$236</c:f>
              <c:strCache>
                <c:ptCount val="3"/>
                <c:pt idx="0">
                  <c:v>Lighting</c:v>
                </c:pt>
                <c:pt idx="1">
                  <c:v>High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2011_17'!$D$236:$O$236</c15:sqref>
                  </c15:fullRef>
                </c:ext>
              </c:extLst>
              <c:f>('Census 2011_17'!$F$236,'Census 2011_17'!$O$236)</c:f>
              <c:numCache>
                <c:formatCode>General</c:formatCode>
                <c:ptCount val="2"/>
                <c:pt idx="0" formatCode="_ * #,##0_ ;_ * \-#,##0_ ;_ * &quot;-&quot;??_ ;_ @_ ">
                  <c:v>4872.3935799999999</c:v>
                </c:pt>
                <c:pt idx="1">
                  <c:v>12901.137764323084</c:v>
                </c:pt>
              </c:numCache>
            </c:numRef>
          </c:val>
          <c:extLst>
            <c:ext xmlns:c16="http://schemas.microsoft.com/office/drawing/2014/chart" uri="{C3380CC4-5D6E-409C-BE32-E72D297353CC}">
              <c16:uniqueId val="{00000005-19E4-4164-B40B-4265ADD20F05}"/>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Energy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Energy_Balance!$D$15:$E$15</c:f>
              <c:strCache>
                <c:ptCount val="2"/>
                <c:pt idx="0">
                  <c:v>L</c:v>
                </c:pt>
                <c:pt idx="1">
                  <c:v>L</c:v>
                </c:pt>
              </c:strCache>
            </c:strRef>
          </c:tx>
          <c:spPr>
            <a:solidFill>
              <a:schemeClr val="accent1"/>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Energy_Balance!$F$15:$K$15</c:f>
              <c:numCache>
                <c:formatCode>0.00</c:formatCode>
                <c:ptCount val="6"/>
                <c:pt idx="0">
                  <c:v>5.1436058464979943</c:v>
                </c:pt>
                <c:pt idx="1">
                  <c:v>0</c:v>
                </c:pt>
                <c:pt idx="2">
                  <c:v>0</c:v>
                </c:pt>
                <c:pt idx="3">
                  <c:v>0</c:v>
                </c:pt>
                <c:pt idx="4">
                  <c:v>0</c:v>
                </c:pt>
                <c:pt idx="5">
                  <c:v>0</c:v>
                </c:pt>
              </c:numCache>
            </c:numRef>
          </c:val>
          <c:extLst>
            <c:ext xmlns:c16="http://schemas.microsoft.com/office/drawing/2014/chart" uri="{C3380CC4-5D6E-409C-BE32-E72D297353CC}">
              <c16:uniqueId val="{00000000-3895-4B06-96EC-6D36DC87A554}"/>
            </c:ext>
          </c:extLst>
        </c:ser>
        <c:ser>
          <c:idx val="1"/>
          <c:order val="1"/>
          <c:tx>
            <c:strRef>
              <c:f>Energy_Balance!$D$17:$E$17</c:f>
              <c:strCache>
                <c:ptCount val="2"/>
                <c:pt idx="0">
                  <c:v>L</c:v>
                </c:pt>
                <c:pt idx="1">
                  <c:v>K</c:v>
                </c:pt>
              </c:strCache>
            </c:strRef>
          </c:tx>
          <c:spPr>
            <a:solidFill>
              <a:schemeClr val="accent2"/>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Energy_Balance!$F$17:$K$17</c:f>
              <c:numCache>
                <c:formatCode>0.00</c:formatCode>
                <c:ptCount val="6"/>
                <c:pt idx="0">
                  <c:v>9.6403111585533967</c:v>
                </c:pt>
                <c:pt idx="1">
                  <c:v>1.4969403216661288</c:v>
                </c:pt>
                <c:pt idx="2">
                  <c:v>1.0540082413086083</c:v>
                </c:pt>
                <c:pt idx="3">
                  <c:v>33.542202919333945</c:v>
                </c:pt>
                <c:pt idx="4">
                  <c:v>2.1940201359108897</c:v>
                </c:pt>
                <c:pt idx="5">
                  <c:v>0</c:v>
                </c:pt>
              </c:numCache>
            </c:numRef>
          </c:val>
          <c:extLst>
            <c:ext xmlns:c16="http://schemas.microsoft.com/office/drawing/2014/chart" uri="{C3380CC4-5D6E-409C-BE32-E72D297353CC}">
              <c16:uniqueId val="{00000001-3895-4B06-96EC-6D36DC87A554}"/>
            </c:ext>
          </c:extLst>
        </c:ser>
        <c:ser>
          <c:idx val="2"/>
          <c:order val="2"/>
          <c:tx>
            <c:strRef>
              <c:f>Energy_Balance!$D$18:$E$18</c:f>
              <c:strCache>
                <c:ptCount val="2"/>
                <c:pt idx="0">
                  <c:v>L</c:v>
                </c:pt>
                <c:pt idx="1">
                  <c:v>H</c:v>
                </c:pt>
              </c:strCache>
            </c:strRef>
          </c:tx>
          <c:spPr>
            <a:solidFill>
              <a:schemeClr val="accent3"/>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Energy_Balance!$F$18:$K$18</c:f>
              <c:numCache>
                <c:formatCode>0.00</c:formatCode>
                <c:ptCount val="6"/>
                <c:pt idx="0">
                  <c:v>0.97440877504504075</c:v>
                </c:pt>
                <c:pt idx="1">
                  <c:v>0.32511472040198852</c:v>
                </c:pt>
                <c:pt idx="2">
                  <c:v>8.2195005713241232E-2</c:v>
                </c:pt>
                <c:pt idx="3">
                  <c:v>10.185203913611241</c:v>
                </c:pt>
                <c:pt idx="4">
                  <c:v>3.5807184128955476</c:v>
                </c:pt>
                <c:pt idx="5">
                  <c:v>0</c:v>
                </c:pt>
              </c:numCache>
            </c:numRef>
          </c:val>
          <c:extLst>
            <c:ext xmlns:c16="http://schemas.microsoft.com/office/drawing/2014/chart" uri="{C3380CC4-5D6E-409C-BE32-E72D297353CC}">
              <c16:uniqueId val="{00000002-3895-4B06-96EC-6D36DC87A554}"/>
            </c:ext>
          </c:extLst>
        </c:ser>
        <c:ser>
          <c:idx val="3"/>
          <c:order val="3"/>
          <c:tx>
            <c:strRef>
              <c:f>Energy_Balance!$D$19:$E$19</c:f>
              <c:strCache>
                <c:ptCount val="2"/>
                <c:pt idx="0">
                  <c:v>L</c:v>
                </c:pt>
                <c:pt idx="1">
                  <c:v>W</c:v>
                </c:pt>
              </c:strCache>
            </c:strRef>
          </c:tx>
          <c:spPr>
            <a:solidFill>
              <a:schemeClr val="accent4"/>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Energy_Balance!$F$19:$K$19</c:f>
              <c:numCache>
                <c:formatCode>0.00</c:formatCode>
                <c:ptCount val="6"/>
                <c:pt idx="0">
                  <c:v>2.1694806583192268</c:v>
                </c:pt>
                <c:pt idx="1">
                  <c:v>2.8371679818600861</c:v>
                </c:pt>
                <c:pt idx="2">
                  <c:v>0.58421574773989327</c:v>
                </c:pt>
                <c:pt idx="3">
                  <c:v>9.3904034820075051</c:v>
                </c:pt>
                <c:pt idx="4">
                  <c:v>0.55466590619951062</c:v>
                </c:pt>
                <c:pt idx="5">
                  <c:v>0</c:v>
                </c:pt>
              </c:numCache>
            </c:numRef>
          </c:val>
          <c:extLst>
            <c:ext xmlns:c16="http://schemas.microsoft.com/office/drawing/2014/chart" uri="{C3380CC4-5D6E-409C-BE32-E72D297353CC}">
              <c16:uniqueId val="{00000003-3895-4B06-96EC-6D36DC87A554}"/>
            </c:ext>
          </c:extLst>
        </c:ser>
        <c:ser>
          <c:idx val="4"/>
          <c:order val="4"/>
          <c:tx>
            <c:strRef>
              <c:f>Energy_Balance!$D$23:$E$23</c:f>
              <c:strCache>
                <c:ptCount val="2"/>
                <c:pt idx="0">
                  <c:v>M</c:v>
                </c:pt>
                <c:pt idx="1">
                  <c:v>L</c:v>
                </c:pt>
              </c:strCache>
            </c:strRef>
          </c:tx>
          <c:spPr>
            <a:solidFill>
              <a:schemeClr val="accent5"/>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Energy_Balance!$F$23:$K$23</c:f>
              <c:numCache>
                <c:formatCode>0.00</c:formatCode>
                <c:ptCount val="6"/>
                <c:pt idx="0">
                  <c:v>5.2898644663697052</c:v>
                </c:pt>
                <c:pt idx="1">
                  <c:v>0</c:v>
                </c:pt>
                <c:pt idx="2">
                  <c:v>0</c:v>
                </c:pt>
                <c:pt idx="3">
                  <c:v>0</c:v>
                </c:pt>
                <c:pt idx="4">
                  <c:v>0</c:v>
                </c:pt>
                <c:pt idx="5">
                  <c:v>0</c:v>
                </c:pt>
              </c:numCache>
            </c:numRef>
          </c:val>
          <c:extLst>
            <c:ext xmlns:c16="http://schemas.microsoft.com/office/drawing/2014/chart" uri="{C3380CC4-5D6E-409C-BE32-E72D297353CC}">
              <c16:uniqueId val="{00000004-3895-4B06-96EC-6D36DC87A554}"/>
            </c:ext>
          </c:extLst>
        </c:ser>
        <c:ser>
          <c:idx val="5"/>
          <c:order val="5"/>
          <c:tx>
            <c:strRef>
              <c:f>Energy_Balance!$D$25:$E$25</c:f>
              <c:strCache>
                <c:ptCount val="2"/>
                <c:pt idx="0">
                  <c:v>M</c:v>
                </c:pt>
                <c:pt idx="1">
                  <c:v>K</c:v>
                </c:pt>
              </c:strCache>
            </c:strRef>
          </c:tx>
          <c:spPr>
            <a:solidFill>
              <a:schemeClr val="accent6"/>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Energy_Balance!$F$25:$K$25</c:f>
              <c:numCache>
                <c:formatCode>0.00</c:formatCode>
                <c:ptCount val="6"/>
                <c:pt idx="0">
                  <c:v>8.6817696373932929</c:v>
                </c:pt>
                <c:pt idx="1">
                  <c:v>0.20615414115615299</c:v>
                </c:pt>
                <c:pt idx="2">
                  <c:v>0.57692644375234903</c:v>
                </c:pt>
                <c:pt idx="3">
                  <c:v>16.951093019503173</c:v>
                </c:pt>
                <c:pt idx="4">
                  <c:v>1.6572312557292754</c:v>
                </c:pt>
                <c:pt idx="5">
                  <c:v>0</c:v>
                </c:pt>
              </c:numCache>
            </c:numRef>
          </c:val>
          <c:extLst>
            <c:ext xmlns:c16="http://schemas.microsoft.com/office/drawing/2014/chart" uri="{C3380CC4-5D6E-409C-BE32-E72D297353CC}">
              <c16:uniqueId val="{00000005-3895-4B06-96EC-6D36DC87A554}"/>
            </c:ext>
          </c:extLst>
        </c:ser>
        <c:ser>
          <c:idx val="6"/>
          <c:order val="6"/>
          <c:tx>
            <c:strRef>
              <c:f>Energy_Balance!$D$26:$E$26</c:f>
              <c:strCache>
                <c:ptCount val="2"/>
                <c:pt idx="0">
                  <c:v>M</c:v>
                </c:pt>
                <c:pt idx="1">
                  <c:v>H</c:v>
                </c:pt>
              </c:strCache>
            </c:strRef>
          </c:tx>
          <c:spPr>
            <a:solidFill>
              <a:schemeClr val="accent1">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Energy_Balance!$F$26:$K$26</c:f>
              <c:numCache>
                <c:formatCode>0.00</c:formatCode>
                <c:ptCount val="6"/>
                <c:pt idx="0">
                  <c:v>3.5506739170744979</c:v>
                </c:pt>
                <c:pt idx="1">
                  <c:v>0.74689579765915792</c:v>
                </c:pt>
                <c:pt idx="2">
                  <c:v>0.72640689006309955</c:v>
                </c:pt>
                <c:pt idx="3">
                  <c:v>5.1512463307387257</c:v>
                </c:pt>
                <c:pt idx="4">
                  <c:v>5.1822659916246563</c:v>
                </c:pt>
                <c:pt idx="5">
                  <c:v>0</c:v>
                </c:pt>
              </c:numCache>
            </c:numRef>
          </c:val>
          <c:extLst>
            <c:ext xmlns:c16="http://schemas.microsoft.com/office/drawing/2014/chart" uri="{C3380CC4-5D6E-409C-BE32-E72D297353CC}">
              <c16:uniqueId val="{00000016-3895-4B06-96EC-6D36DC87A554}"/>
            </c:ext>
          </c:extLst>
        </c:ser>
        <c:ser>
          <c:idx val="7"/>
          <c:order val="7"/>
          <c:tx>
            <c:strRef>
              <c:f>Energy_Balance!$D$27:$E$27</c:f>
              <c:strCache>
                <c:ptCount val="2"/>
                <c:pt idx="0">
                  <c:v>M</c:v>
                </c:pt>
                <c:pt idx="1">
                  <c:v>W</c:v>
                </c:pt>
              </c:strCache>
            </c:strRef>
          </c:tx>
          <c:spPr>
            <a:solidFill>
              <a:schemeClr val="accent2">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Energy_Balance!$F$27:$K$27</c:f>
              <c:numCache>
                <c:formatCode>0.00</c:formatCode>
                <c:ptCount val="6"/>
                <c:pt idx="0">
                  <c:v>1.2137812589445078</c:v>
                </c:pt>
                <c:pt idx="1">
                  <c:v>2.0981351412120754</c:v>
                </c:pt>
                <c:pt idx="2">
                  <c:v>2.2949532423457586</c:v>
                </c:pt>
                <c:pt idx="3">
                  <c:v>6.1152168202815496</c:v>
                </c:pt>
                <c:pt idx="4">
                  <c:v>0.97280809955558833</c:v>
                </c:pt>
                <c:pt idx="5">
                  <c:v>0</c:v>
                </c:pt>
              </c:numCache>
            </c:numRef>
          </c:val>
          <c:extLst>
            <c:ext xmlns:c16="http://schemas.microsoft.com/office/drawing/2014/chart" uri="{C3380CC4-5D6E-409C-BE32-E72D297353CC}">
              <c16:uniqueId val="{00000017-3895-4B06-96EC-6D36DC87A554}"/>
            </c:ext>
          </c:extLst>
        </c:ser>
        <c:ser>
          <c:idx val="8"/>
          <c:order val="8"/>
          <c:tx>
            <c:strRef>
              <c:f>Energy_Balance!$D$30:$E$30</c:f>
              <c:strCache>
                <c:ptCount val="2"/>
                <c:pt idx="0">
                  <c:v>M</c:v>
                </c:pt>
                <c:pt idx="1">
                  <c:v>O</c:v>
                </c:pt>
              </c:strCache>
            </c:strRef>
          </c:tx>
          <c:spPr>
            <a:solidFill>
              <a:schemeClr val="accent3">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Energy_Balance!$F$30:$K$30</c:f>
              <c:numCache>
                <c:formatCode>0.00</c:formatCode>
                <c:ptCount val="6"/>
                <c:pt idx="0">
                  <c:v>13.209914572710195</c:v>
                </c:pt>
                <c:pt idx="1">
                  <c:v>0</c:v>
                </c:pt>
                <c:pt idx="2">
                  <c:v>0</c:v>
                </c:pt>
                <c:pt idx="3">
                  <c:v>0</c:v>
                </c:pt>
                <c:pt idx="4">
                  <c:v>0</c:v>
                </c:pt>
                <c:pt idx="5">
                  <c:v>0</c:v>
                </c:pt>
              </c:numCache>
            </c:numRef>
          </c:val>
          <c:extLst>
            <c:ext xmlns:c16="http://schemas.microsoft.com/office/drawing/2014/chart" uri="{C3380CC4-5D6E-409C-BE32-E72D297353CC}">
              <c16:uniqueId val="{00000018-3895-4B06-96EC-6D36DC87A554}"/>
            </c:ext>
          </c:extLst>
        </c:ser>
        <c:ser>
          <c:idx val="9"/>
          <c:order val="9"/>
          <c:tx>
            <c:strRef>
              <c:f>Energy_Balance!$D$31:$E$31</c:f>
              <c:strCache>
                <c:ptCount val="2"/>
                <c:pt idx="0">
                  <c:v>H</c:v>
                </c:pt>
                <c:pt idx="1">
                  <c:v>L</c:v>
                </c:pt>
              </c:strCache>
            </c:strRef>
          </c:tx>
          <c:spPr>
            <a:solidFill>
              <a:schemeClr val="accent4">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Energy_Balance!$F$31:$K$31</c:f>
              <c:numCache>
                <c:formatCode>0.00</c:formatCode>
                <c:ptCount val="6"/>
                <c:pt idx="0">
                  <c:v>6.928739896458783</c:v>
                </c:pt>
                <c:pt idx="1">
                  <c:v>0</c:v>
                </c:pt>
                <c:pt idx="2">
                  <c:v>0</c:v>
                </c:pt>
                <c:pt idx="3">
                  <c:v>0</c:v>
                </c:pt>
                <c:pt idx="4">
                  <c:v>0</c:v>
                </c:pt>
                <c:pt idx="5">
                  <c:v>0</c:v>
                </c:pt>
              </c:numCache>
            </c:numRef>
          </c:val>
          <c:extLst>
            <c:ext xmlns:c16="http://schemas.microsoft.com/office/drawing/2014/chart" uri="{C3380CC4-5D6E-409C-BE32-E72D297353CC}">
              <c16:uniqueId val="{00000019-3895-4B06-96EC-6D36DC87A554}"/>
            </c:ext>
          </c:extLst>
        </c:ser>
        <c:ser>
          <c:idx val="10"/>
          <c:order val="10"/>
          <c:tx>
            <c:strRef>
              <c:f>Energy_Balance!$D$32:$E$32</c:f>
              <c:strCache>
                <c:ptCount val="2"/>
                <c:pt idx="0">
                  <c:v>H</c:v>
                </c:pt>
                <c:pt idx="1">
                  <c:v>K</c:v>
                </c:pt>
              </c:strCache>
            </c:strRef>
          </c:tx>
          <c:spPr>
            <a:solidFill>
              <a:schemeClr val="accent5">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Energy_Balance!$F$32:$K$32</c:f>
              <c:numCache>
                <c:formatCode>0.00</c:formatCode>
                <c:ptCount val="6"/>
                <c:pt idx="0">
                  <c:v>9.6733257786328029</c:v>
                </c:pt>
                <c:pt idx="1">
                  <c:v>9.2563833924448141E-2</c:v>
                </c:pt>
                <c:pt idx="2">
                  <c:v>2.3995866483591111</c:v>
                </c:pt>
                <c:pt idx="3">
                  <c:v>0.99354566271501477</c:v>
                </c:pt>
                <c:pt idx="4">
                  <c:v>0</c:v>
                </c:pt>
                <c:pt idx="5">
                  <c:v>0</c:v>
                </c:pt>
              </c:numCache>
            </c:numRef>
          </c:val>
          <c:extLst>
            <c:ext xmlns:c16="http://schemas.microsoft.com/office/drawing/2014/chart" uri="{C3380CC4-5D6E-409C-BE32-E72D297353CC}">
              <c16:uniqueId val="{0000001A-3895-4B06-96EC-6D36DC87A554}"/>
            </c:ext>
          </c:extLst>
        </c:ser>
        <c:ser>
          <c:idx val="11"/>
          <c:order val="11"/>
          <c:tx>
            <c:strRef>
              <c:f>Energy_Balance!$D$33:$E$33</c:f>
              <c:strCache>
                <c:ptCount val="2"/>
                <c:pt idx="0">
                  <c:v>H</c:v>
                </c:pt>
                <c:pt idx="1">
                  <c:v>H</c:v>
                </c:pt>
              </c:strCache>
            </c:strRef>
          </c:tx>
          <c:spPr>
            <a:solidFill>
              <a:schemeClr val="accent6">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Energy_Balance!$F$33:$K$33</c:f>
              <c:numCache>
                <c:formatCode>0.00</c:formatCode>
                <c:ptCount val="6"/>
                <c:pt idx="0">
                  <c:v>2.6591717184265713</c:v>
                </c:pt>
                <c:pt idx="1">
                  <c:v>2.5486082730346662E-2</c:v>
                </c:pt>
                <c:pt idx="2">
                  <c:v>2.206870457913674</c:v>
                </c:pt>
                <c:pt idx="3">
                  <c:v>0.24522190197486701</c:v>
                </c:pt>
                <c:pt idx="4">
                  <c:v>1.2379218124175966</c:v>
                </c:pt>
                <c:pt idx="5">
                  <c:v>0</c:v>
                </c:pt>
              </c:numCache>
            </c:numRef>
          </c:val>
          <c:extLst>
            <c:ext xmlns:c16="http://schemas.microsoft.com/office/drawing/2014/chart" uri="{C3380CC4-5D6E-409C-BE32-E72D297353CC}">
              <c16:uniqueId val="{0000001B-3895-4B06-96EC-6D36DC87A554}"/>
            </c:ext>
          </c:extLst>
        </c:ser>
        <c:ser>
          <c:idx val="12"/>
          <c:order val="12"/>
          <c:tx>
            <c:strRef>
              <c:f>Energy_Balance!$D$34:$E$34</c:f>
              <c:strCache>
                <c:ptCount val="2"/>
                <c:pt idx="0">
                  <c:v>H</c:v>
                </c:pt>
                <c:pt idx="1">
                  <c:v>W</c:v>
                </c:pt>
              </c:strCache>
            </c:strRef>
          </c:tx>
          <c:spPr>
            <a:solidFill>
              <a:schemeClr val="accent1">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Energy_Balance!$F$34:$K$34</c:f>
              <c:numCache>
                <c:formatCode>0.00</c:formatCode>
                <c:ptCount val="6"/>
                <c:pt idx="0">
                  <c:v>0</c:v>
                </c:pt>
                <c:pt idx="1">
                  <c:v>0.73130528784479287</c:v>
                </c:pt>
                <c:pt idx="2">
                  <c:v>8.0448373228042644</c:v>
                </c:pt>
                <c:pt idx="3">
                  <c:v>1.1928659498339771</c:v>
                </c:pt>
                <c:pt idx="4">
                  <c:v>0.23736838566694082</c:v>
                </c:pt>
                <c:pt idx="5">
                  <c:v>0</c:v>
                </c:pt>
              </c:numCache>
            </c:numRef>
          </c:val>
          <c:extLst>
            <c:ext xmlns:c16="http://schemas.microsoft.com/office/drawing/2014/chart" uri="{C3380CC4-5D6E-409C-BE32-E72D297353CC}">
              <c16:uniqueId val="{0000001C-3895-4B06-96EC-6D36DC87A554}"/>
            </c:ext>
          </c:extLst>
        </c:ser>
        <c:ser>
          <c:idx val="13"/>
          <c:order val="13"/>
          <c:tx>
            <c:strRef>
              <c:f>Energy_Balance!$D$37:$E$37</c:f>
              <c:strCache>
                <c:ptCount val="2"/>
                <c:pt idx="0">
                  <c:v>H</c:v>
                </c:pt>
                <c:pt idx="1">
                  <c:v>O</c:v>
                </c:pt>
              </c:strCache>
            </c:strRef>
          </c:tx>
          <c:spPr>
            <a:solidFill>
              <a:schemeClr val="accent2">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Energy_Balance!$F$37:$K$37</c:f>
              <c:numCache>
                <c:formatCode>0.00</c:formatCode>
                <c:ptCount val="6"/>
                <c:pt idx="0">
                  <c:v>18.463295099783466</c:v>
                </c:pt>
                <c:pt idx="1">
                  <c:v>0</c:v>
                </c:pt>
                <c:pt idx="2">
                  <c:v>0</c:v>
                </c:pt>
                <c:pt idx="3">
                  <c:v>0</c:v>
                </c:pt>
                <c:pt idx="4">
                  <c:v>0</c:v>
                </c:pt>
                <c:pt idx="5">
                  <c:v>0</c:v>
                </c:pt>
              </c:numCache>
            </c:numRef>
          </c:val>
          <c:extLst>
            <c:ext xmlns:c16="http://schemas.microsoft.com/office/drawing/2014/chart" uri="{C3380CC4-5D6E-409C-BE32-E72D297353CC}">
              <c16:uniqueId val="{0000001D-3895-4B06-96EC-6D36DC87A554}"/>
            </c:ext>
          </c:extLst>
        </c:ser>
        <c:dLbls>
          <c:showLegendKey val="0"/>
          <c:showVal val="0"/>
          <c:showCatName val="0"/>
          <c:showSerName val="0"/>
          <c:showPercent val="0"/>
          <c:showBubbleSize val="0"/>
        </c:dLbls>
        <c:gapWidth val="150"/>
        <c:overlap val="100"/>
        <c:axId val="225553616"/>
        <c:axId val="200340464"/>
      </c:barChart>
      <c:catAx>
        <c:axId val="22555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40464"/>
        <c:crosses val="autoZero"/>
        <c:auto val="1"/>
        <c:lblAlgn val="ctr"/>
        <c:lblOffset val="100"/>
        <c:noMultiLvlLbl val="0"/>
      </c:catAx>
      <c:valAx>
        <c:axId val="2003404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553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Final Energy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Energy_Balance!$F$172</c:f>
              <c:strCache>
                <c:ptCount val="1"/>
                <c:pt idx="0">
                  <c:v>Electricity</c:v>
                </c:pt>
              </c:strCache>
            </c:strRef>
          </c:tx>
          <c:spPr>
            <a:solidFill>
              <a:schemeClr val="accent1"/>
            </a:solidFill>
            <a:ln>
              <a:noFill/>
            </a:ln>
            <a:effectLst/>
          </c:spPr>
          <c:invertIfNegative val="0"/>
          <c:cat>
            <c:strRef>
              <c:f>Energy_Balance!$E$173:$E$175</c:f>
              <c:strCache>
                <c:ptCount val="3"/>
                <c:pt idx="0">
                  <c:v>Low</c:v>
                </c:pt>
                <c:pt idx="1">
                  <c:v>Middle</c:v>
                </c:pt>
                <c:pt idx="2">
                  <c:v>High</c:v>
                </c:pt>
              </c:strCache>
            </c:strRef>
          </c:cat>
          <c:val>
            <c:numRef>
              <c:f>Energy_Balance!$F$173:$F$175</c:f>
              <c:numCache>
                <c:formatCode>0.00</c:formatCode>
                <c:ptCount val="3"/>
                <c:pt idx="0">
                  <c:v>35.983116263248547</c:v>
                </c:pt>
                <c:pt idx="1">
                  <c:v>49.231297395335616</c:v>
                </c:pt>
                <c:pt idx="2">
                  <c:v>91.94934643357098</c:v>
                </c:pt>
              </c:numCache>
            </c:numRef>
          </c:val>
          <c:extLst>
            <c:ext xmlns:c16="http://schemas.microsoft.com/office/drawing/2014/chart" uri="{C3380CC4-5D6E-409C-BE32-E72D297353CC}">
              <c16:uniqueId val="{00000000-C52B-A248-9F4B-B36177F34136}"/>
            </c:ext>
          </c:extLst>
        </c:ser>
        <c:ser>
          <c:idx val="1"/>
          <c:order val="1"/>
          <c:tx>
            <c:strRef>
              <c:f>Energy_Balance!$G$172</c:f>
              <c:strCache>
                <c:ptCount val="1"/>
                <c:pt idx="0">
                  <c:v>Paraffin</c:v>
                </c:pt>
              </c:strCache>
            </c:strRef>
          </c:tx>
          <c:spPr>
            <a:solidFill>
              <a:schemeClr val="accent2"/>
            </a:solidFill>
            <a:ln>
              <a:noFill/>
            </a:ln>
            <a:effectLst/>
          </c:spPr>
          <c:invertIfNegative val="0"/>
          <c:cat>
            <c:strRef>
              <c:f>Energy_Balance!$E$173:$E$175</c:f>
              <c:strCache>
                <c:ptCount val="3"/>
                <c:pt idx="0">
                  <c:v>Low</c:v>
                </c:pt>
                <c:pt idx="1">
                  <c:v>Middle</c:v>
                </c:pt>
                <c:pt idx="2">
                  <c:v>High</c:v>
                </c:pt>
              </c:strCache>
            </c:strRef>
          </c:cat>
          <c:val>
            <c:numRef>
              <c:f>Energy_Balance!$G$173:$G$175</c:f>
              <c:numCache>
                <c:formatCode>0.00</c:formatCode>
                <c:ptCount val="3"/>
                <c:pt idx="0">
                  <c:v>5.0246378458959651</c:v>
                </c:pt>
                <c:pt idx="1">
                  <c:v>3.7660069496044488</c:v>
                </c:pt>
                <c:pt idx="2">
                  <c:v>0.84935520449958768</c:v>
                </c:pt>
              </c:numCache>
            </c:numRef>
          </c:val>
          <c:extLst>
            <c:ext xmlns:c16="http://schemas.microsoft.com/office/drawing/2014/chart" uri="{C3380CC4-5D6E-409C-BE32-E72D297353CC}">
              <c16:uniqueId val="{00000001-C52B-A248-9F4B-B36177F34136}"/>
            </c:ext>
          </c:extLst>
        </c:ser>
        <c:ser>
          <c:idx val="2"/>
          <c:order val="2"/>
          <c:tx>
            <c:strRef>
              <c:f>Energy_Balance!$H$172</c:f>
              <c:strCache>
                <c:ptCount val="1"/>
                <c:pt idx="0">
                  <c:v>Gas</c:v>
                </c:pt>
              </c:strCache>
            </c:strRef>
          </c:tx>
          <c:spPr>
            <a:solidFill>
              <a:schemeClr val="accent3"/>
            </a:solidFill>
            <a:ln>
              <a:noFill/>
            </a:ln>
            <a:effectLst/>
          </c:spPr>
          <c:invertIfNegative val="0"/>
          <c:cat>
            <c:strRef>
              <c:f>Energy_Balance!$E$173:$E$175</c:f>
              <c:strCache>
                <c:ptCount val="3"/>
                <c:pt idx="0">
                  <c:v>Low</c:v>
                </c:pt>
                <c:pt idx="1">
                  <c:v>Middle</c:v>
                </c:pt>
                <c:pt idx="2">
                  <c:v>High</c:v>
                </c:pt>
              </c:strCache>
            </c:strRef>
          </c:cat>
          <c:val>
            <c:numRef>
              <c:f>Energy_Balance!$H$173:$H$175</c:f>
              <c:numCache>
                <c:formatCode>0.00</c:formatCode>
                <c:ptCount val="3"/>
                <c:pt idx="0">
                  <c:v>1.7204189947617428</c:v>
                </c:pt>
                <c:pt idx="1">
                  <c:v>3.5982865761612071</c:v>
                </c:pt>
                <c:pt idx="2">
                  <c:v>12.651294429077049</c:v>
                </c:pt>
              </c:numCache>
            </c:numRef>
          </c:val>
          <c:extLst>
            <c:ext xmlns:c16="http://schemas.microsoft.com/office/drawing/2014/chart" uri="{C3380CC4-5D6E-409C-BE32-E72D297353CC}">
              <c16:uniqueId val="{00000002-C52B-A248-9F4B-B36177F34136}"/>
            </c:ext>
          </c:extLst>
        </c:ser>
        <c:ser>
          <c:idx val="3"/>
          <c:order val="3"/>
          <c:tx>
            <c:strRef>
              <c:f>Energy_Balance!$I$172</c:f>
              <c:strCache>
                <c:ptCount val="1"/>
                <c:pt idx="0">
                  <c:v>Wood</c:v>
                </c:pt>
              </c:strCache>
            </c:strRef>
          </c:tx>
          <c:spPr>
            <a:solidFill>
              <a:schemeClr val="accent4"/>
            </a:solidFill>
            <a:ln>
              <a:noFill/>
            </a:ln>
            <a:effectLst/>
          </c:spPr>
          <c:invertIfNegative val="0"/>
          <c:cat>
            <c:strRef>
              <c:f>Energy_Balance!$E$173:$E$175</c:f>
              <c:strCache>
                <c:ptCount val="3"/>
                <c:pt idx="0">
                  <c:v>Low</c:v>
                </c:pt>
                <c:pt idx="1">
                  <c:v>Middle</c:v>
                </c:pt>
                <c:pt idx="2">
                  <c:v>High</c:v>
                </c:pt>
              </c:strCache>
            </c:strRef>
          </c:cat>
          <c:val>
            <c:numRef>
              <c:f>Energy_Balance!$I$173:$I$175</c:f>
              <c:numCache>
                <c:formatCode>0.00</c:formatCode>
                <c:ptCount val="3"/>
                <c:pt idx="0">
                  <c:v>53.117810314952692</c:v>
                </c:pt>
                <c:pt idx="1">
                  <c:v>28.217556170523448</c:v>
                </c:pt>
                <c:pt idx="2">
                  <c:v>2.4316335145238588</c:v>
                </c:pt>
              </c:numCache>
            </c:numRef>
          </c:val>
          <c:extLst>
            <c:ext xmlns:c16="http://schemas.microsoft.com/office/drawing/2014/chart" uri="{C3380CC4-5D6E-409C-BE32-E72D297353CC}">
              <c16:uniqueId val="{00000004-C52B-A248-9F4B-B36177F34136}"/>
            </c:ext>
          </c:extLst>
        </c:ser>
        <c:ser>
          <c:idx val="4"/>
          <c:order val="4"/>
          <c:tx>
            <c:strRef>
              <c:f>Energy_Balance!$J$172</c:f>
              <c:strCache>
                <c:ptCount val="1"/>
                <c:pt idx="0">
                  <c:v>Coal</c:v>
                </c:pt>
              </c:strCache>
            </c:strRef>
          </c:tx>
          <c:spPr>
            <a:solidFill>
              <a:schemeClr val="accent5"/>
            </a:solidFill>
            <a:ln>
              <a:noFill/>
            </a:ln>
            <a:effectLst/>
          </c:spPr>
          <c:invertIfNegative val="0"/>
          <c:cat>
            <c:strRef>
              <c:f>Energy_Balance!$E$173:$E$175</c:f>
              <c:strCache>
                <c:ptCount val="3"/>
                <c:pt idx="0">
                  <c:v>Low</c:v>
                </c:pt>
                <c:pt idx="1">
                  <c:v>Middle</c:v>
                </c:pt>
                <c:pt idx="2">
                  <c:v>High</c:v>
                </c:pt>
              </c:strCache>
            </c:strRef>
          </c:cat>
          <c:val>
            <c:numRef>
              <c:f>Energy_Balance!$J$173:$J$175</c:f>
              <c:numCache>
                <c:formatCode>0.00</c:formatCode>
                <c:ptCount val="3"/>
                <c:pt idx="0">
                  <c:v>6.3294044550059487</c:v>
                </c:pt>
                <c:pt idx="1">
                  <c:v>7.8123053469095201</c:v>
                </c:pt>
                <c:pt idx="2">
                  <c:v>1.4752901980845374</c:v>
                </c:pt>
              </c:numCache>
            </c:numRef>
          </c:val>
          <c:extLst>
            <c:ext xmlns:c16="http://schemas.microsoft.com/office/drawing/2014/chart" uri="{C3380CC4-5D6E-409C-BE32-E72D297353CC}">
              <c16:uniqueId val="{00000005-C52B-A248-9F4B-B36177F34136}"/>
            </c:ext>
          </c:extLst>
        </c:ser>
        <c:dLbls>
          <c:showLegendKey val="0"/>
          <c:showVal val="0"/>
          <c:showCatName val="0"/>
          <c:showSerName val="0"/>
          <c:showPercent val="0"/>
          <c:showBubbleSize val="0"/>
        </c:dLbls>
        <c:gapWidth val="150"/>
        <c:overlap val="100"/>
        <c:axId val="1997674240"/>
        <c:axId val="1997709376"/>
      </c:barChart>
      <c:catAx>
        <c:axId val="199767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709376"/>
        <c:crosses val="autoZero"/>
        <c:auto val="1"/>
        <c:lblAlgn val="ctr"/>
        <c:lblOffset val="100"/>
        <c:noMultiLvlLbl val="0"/>
      </c:catAx>
      <c:valAx>
        <c:axId val="1997709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PJ</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74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41243</xdr:colOff>
      <xdr:row>13</xdr:row>
      <xdr:rowOff>28574</xdr:rowOff>
    </xdr:from>
    <xdr:ext cx="527114" cy="219076"/>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14:m>
                <m:oMathPara xmlns:m="http://schemas.openxmlformats.org/officeDocument/2006/math">
                  <m:oMathParaPr>
                    <m:jc m:val="center"/>
                  </m:oMathParaPr>
                  <m:oMath xmlns:m="http://schemas.openxmlformats.org/officeDocument/2006/math">
                    <m:sSup>
                      <m:sSupPr>
                        <m:ctrlPr>
                          <a:rPr lang="en-ZA" sz="1100" i="1">
                            <a:latin typeface="Cambria Math" panose="02040503050406030204" pitchFamily="18" charset="0"/>
                          </a:rPr>
                        </m:ctrlPr>
                      </m:sSupPr>
                      <m:e>
                        <m:r>
                          <a:rPr lang="en-ZA" sz="1100" b="0" i="1">
                            <a:latin typeface="Cambria Math"/>
                          </a:rPr>
                          <m:t>𝑚</m:t>
                        </m:r>
                      </m:e>
                      <m:sup>
                        <m:r>
                          <a:rPr lang="en-ZA" sz="1100" b="0" i="1">
                            <a:latin typeface="Cambria Math"/>
                          </a:rPr>
                          <m:t>3</m:t>
                        </m:r>
                      </m:sup>
                    </m:sSup>
                  </m:oMath>
                </m:oMathPara>
              </a14:m>
              <a:endParaRPr lang="en-ZA" sz="1100"/>
            </a:p>
          </xdr:txBody>
        </xdr:sp>
      </mc:Choice>
      <mc:Fallback xmlns="">
        <xdr:sp macro="" textlink="">
          <xdr:nvSpPr>
            <xdr:cNvPr id="2" name="TextBox 1"/>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r>
                <a:rPr lang="en-ZA" sz="1100" b="0" i="0">
                  <a:latin typeface="Cambria Math"/>
                </a:rPr>
                <a:t>𝑚^3</a:t>
              </a:r>
              <a:endParaRPr lang="en-ZA"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14</xdr:col>
      <xdr:colOff>768350</xdr:colOff>
      <xdr:row>195</xdr:row>
      <xdr:rowOff>139700</xdr:rowOff>
    </xdr:from>
    <xdr:to>
      <xdr:col>25</xdr:col>
      <xdr:colOff>120650</xdr:colOff>
      <xdr:row>228</xdr:row>
      <xdr:rowOff>469900</xdr:rowOff>
    </xdr:to>
    <xdr:grpSp>
      <xdr:nvGrpSpPr>
        <xdr:cNvPr id="7" name="Group 6">
          <a:extLst>
            <a:ext uri="{FF2B5EF4-FFF2-40B4-BE49-F238E27FC236}">
              <a16:creationId xmlns:a16="http://schemas.microsoft.com/office/drawing/2014/main" id="{00000000-0008-0000-0E00-000007000000}"/>
            </a:ext>
          </a:extLst>
        </xdr:cNvPr>
        <xdr:cNvGrpSpPr/>
      </xdr:nvGrpSpPr>
      <xdr:grpSpPr>
        <a:xfrm>
          <a:off x="13087350" y="45337588"/>
          <a:ext cx="8545688" cy="5394679"/>
          <a:chOff x="12325350" y="40157400"/>
          <a:chExt cx="9105900" cy="5168900"/>
        </a:xfrm>
      </xdr:grpSpPr>
      <xdr:graphicFrame macro="">
        <xdr:nvGraphicFramePr>
          <xdr:cNvPr id="3" name="Chart 2">
            <a:extLst>
              <a:ext uri="{FF2B5EF4-FFF2-40B4-BE49-F238E27FC236}">
                <a16:creationId xmlns:a16="http://schemas.microsoft.com/office/drawing/2014/main" id="{00000000-0008-0000-0E00-000003000000}"/>
              </a:ext>
            </a:extLst>
          </xdr:cNvPr>
          <xdr:cNvGraphicFramePr/>
        </xdr:nvGraphicFramePr>
        <xdr:xfrm>
          <a:off x="12325350" y="40157400"/>
          <a:ext cx="4514850" cy="25781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16852900" y="40157400"/>
          <a:ext cx="4514850" cy="25781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00000000-0008-0000-0E00-000006000000}"/>
              </a:ext>
            </a:extLst>
          </xdr:cNvPr>
          <xdr:cNvGraphicFramePr>
            <a:graphicFrameLocks/>
          </xdr:cNvGraphicFramePr>
        </xdr:nvGraphicFramePr>
        <xdr:xfrm>
          <a:off x="12331700" y="42748200"/>
          <a:ext cx="4514850" cy="25781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16859250" y="42748200"/>
          <a:ext cx="4572000" cy="25781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411480</xdr:colOff>
      <xdr:row>109</xdr:row>
      <xdr:rowOff>135729</xdr:rowOff>
    </xdr:from>
    <xdr:to>
      <xdr:col>30</xdr:col>
      <xdr:colOff>219075</xdr:colOff>
      <xdr:row>117</xdr:row>
      <xdr:rowOff>126205</xdr:rowOff>
    </xdr:to>
    <xdr:graphicFrame macro="">
      <xdr:nvGraphicFramePr>
        <xdr:cNvPr id="4" name="Chart 3">
          <a:extLst>
            <a:ext uri="{FF2B5EF4-FFF2-40B4-BE49-F238E27FC236}">
              <a16:creationId xmlns:a16="http://schemas.microsoft.com/office/drawing/2014/main" id="{5B15BD3D-1EAE-4DBB-B6B7-8035FD3D1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333376</xdr:colOff>
      <xdr:row>119</xdr:row>
      <xdr:rowOff>35719</xdr:rowOff>
    </xdr:from>
    <xdr:to>
      <xdr:col>30</xdr:col>
      <xdr:colOff>140971</xdr:colOff>
      <xdr:row>129</xdr:row>
      <xdr:rowOff>21433</xdr:rowOff>
    </xdr:to>
    <xdr:graphicFrame macro="">
      <xdr:nvGraphicFramePr>
        <xdr:cNvPr id="5" name="Chart 4">
          <a:extLst>
            <a:ext uri="{FF2B5EF4-FFF2-40B4-BE49-F238E27FC236}">
              <a16:creationId xmlns:a16="http://schemas.microsoft.com/office/drawing/2014/main" id="{9726E0EB-315B-4373-8022-740DC6AA3E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381000</xdr:colOff>
      <xdr:row>130</xdr:row>
      <xdr:rowOff>11907</xdr:rowOff>
    </xdr:from>
    <xdr:to>
      <xdr:col>30</xdr:col>
      <xdr:colOff>188595</xdr:colOff>
      <xdr:row>139</xdr:row>
      <xdr:rowOff>164308</xdr:rowOff>
    </xdr:to>
    <xdr:graphicFrame macro="">
      <xdr:nvGraphicFramePr>
        <xdr:cNvPr id="6" name="Chart 5">
          <a:extLst>
            <a:ext uri="{FF2B5EF4-FFF2-40B4-BE49-F238E27FC236}">
              <a16:creationId xmlns:a16="http://schemas.microsoft.com/office/drawing/2014/main" id="{8D49C84A-3F04-4301-96A4-BFA841BD6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321469</xdr:colOff>
      <xdr:row>140</xdr:row>
      <xdr:rowOff>154781</xdr:rowOff>
    </xdr:from>
    <xdr:to>
      <xdr:col>30</xdr:col>
      <xdr:colOff>129064</xdr:colOff>
      <xdr:row>150</xdr:row>
      <xdr:rowOff>140494</xdr:rowOff>
    </xdr:to>
    <xdr:graphicFrame macro="">
      <xdr:nvGraphicFramePr>
        <xdr:cNvPr id="7" name="Chart 6">
          <a:extLst>
            <a:ext uri="{FF2B5EF4-FFF2-40B4-BE49-F238E27FC236}">
              <a16:creationId xmlns:a16="http://schemas.microsoft.com/office/drawing/2014/main" id="{74D5BD1C-B2E2-4C70-ACA6-F5CA8E221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130969</xdr:colOff>
      <xdr:row>153</xdr:row>
      <xdr:rowOff>142875</xdr:rowOff>
    </xdr:from>
    <xdr:to>
      <xdr:col>29</xdr:col>
      <xdr:colOff>545783</xdr:colOff>
      <xdr:row>163</xdr:row>
      <xdr:rowOff>128588</xdr:rowOff>
    </xdr:to>
    <xdr:graphicFrame macro="">
      <xdr:nvGraphicFramePr>
        <xdr:cNvPr id="8" name="Chart 7">
          <a:extLst>
            <a:ext uri="{FF2B5EF4-FFF2-40B4-BE49-F238E27FC236}">
              <a16:creationId xmlns:a16="http://schemas.microsoft.com/office/drawing/2014/main" id="{B4092C65-CF81-4A02-B161-C74EC94802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130969</xdr:colOff>
      <xdr:row>164</xdr:row>
      <xdr:rowOff>11907</xdr:rowOff>
    </xdr:from>
    <xdr:to>
      <xdr:col>29</xdr:col>
      <xdr:colOff>545783</xdr:colOff>
      <xdr:row>173</xdr:row>
      <xdr:rowOff>164307</xdr:rowOff>
    </xdr:to>
    <xdr:graphicFrame macro="">
      <xdr:nvGraphicFramePr>
        <xdr:cNvPr id="9" name="Chart 8">
          <a:extLst>
            <a:ext uri="{FF2B5EF4-FFF2-40B4-BE49-F238E27FC236}">
              <a16:creationId xmlns:a16="http://schemas.microsoft.com/office/drawing/2014/main" id="{743CF174-E009-4CDA-93E3-1700CBBCC7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119063</xdr:colOff>
      <xdr:row>174</xdr:row>
      <xdr:rowOff>23813</xdr:rowOff>
    </xdr:from>
    <xdr:to>
      <xdr:col>29</xdr:col>
      <xdr:colOff>533877</xdr:colOff>
      <xdr:row>184</xdr:row>
      <xdr:rowOff>9527</xdr:rowOff>
    </xdr:to>
    <xdr:graphicFrame macro="">
      <xdr:nvGraphicFramePr>
        <xdr:cNvPr id="10" name="Chart 9">
          <a:extLst>
            <a:ext uri="{FF2B5EF4-FFF2-40B4-BE49-F238E27FC236}">
              <a16:creationId xmlns:a16="http://schemas.microsoft.com/office/drawing/2014/main" id="{0759C0C1-CAEB-4BE5-A320-F68D6E05F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119063</xdr:colOff>
      <xdr:row>184</xdr:row>
      <xdr:rowOff>95249</xdr:rowOff>
    </xdr:from>
    <xdr:to>
      <xdr:col>29</xdr:col>
      <xdr:colOff>533877</xdr:colOff>
      <xdr:row>194</xdr:row>
      <xdr:rowOff>80963</xdr:rowOff>
    </xdr:to>
    <xdr:graphicFrame macro="">
      <xdr:nvGraphicFramePr>
        <xdr:cNvPr id="11" name="Chart 10">
          <a:extLst>
            <a:ext uri="{FF2B5EF4-FFF2-40B4-BE49-F238E27FC236}">
              <a16:creationId xmlns:a16="http://schemas.microsoft.com/office/drawing/2014/main" id="{DA9E9525-6D44-45A9-BAF3-EA0822765D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83344</xdr:colOff>
      <xdr:row>194</xdr:row>
      <xdr:rowOff>107156</xdr:rowOff>
    </xdr:from>
    <xdr:to>
      <xdr:col>29</xdr:col>
      <xdr:colOff>498158</xdr:colOff>
      <xdr:row>204</xdr:row>
      <xdr:rowOff>92870</xdr:rowOff>
    </xdr:to>
    <xdr:graphicFrame macro="">
      <xdr:nvGraphicFramePr>
        <xdr:cNvPr id="12" name="Chart 11">
          <a:extLst>
            <a:ext uri="{FF2B5EF4-FFF2-40B4-BE49-F238E27FC236}">
              <a16:creationId xmlns:a16="http://schemas.microsoft.com/office/drawing/2014/main" id="{88EF721C-FB41-445A-A450-F141D7C49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457201</xdr:colOff>
      <xdr:row>211</xdr:row>
      <xdr:rowOff>47626</xdr:rowOff>
    </xdr:from>
    <xdr:to>
      <xdr:col>29</xdr:col>
      <xdr:colOff>264796</xdr:colOff>
      <xdr:row>220</xdr:row>
      <xdr:rowOff>4763</xdr:rowOff>
    </xdr:to>
    <xdr:graphicFrame macro="">
      <xdr:nvGraphicFramePr>
        <xdr:cNvPr id="13" name="Chart 12">
          <a:extLst>
            <a:ext uri="{FF2B5EF4-FFF2-40B4-BE49-F238E27FC236}">
              <a16:creationId xmlns:a16="http://schemas.microsoft.com/office/drawing/2014/main" id="{AF272909-E6AC-45C1-BABA-1C5B1767C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500063</xdr:colOff>
      <xdr:row>220</xdr:row>
      <xdr:rowOff>71438</xdr:rowOff>
    </xdr:from>
    <xdr:to>
      <xdr:col>29</xdr:col>
      <xdr:colOff>307658</xdr:colOff>
      <xdr:row>229</xdr:row>
      <xdr:rowOff>28574</xdr:rowOff>
    </xdr:to>
    <xdr:graphicFrame macro="">
      <xdr:nvGraphicFramePr>
        <xdr:cNvPr id="14" name="Chart 13">
          <a:extLst>
            <a:ext uri="{FF2B5EF4-FFF2-40B4-BE49-F238E27FC236}">
              <a16:creationId xmlns:a16="http://schemas.microsoft.com/office/drawing/2014/main" id="{63A3012D-65C6-4CB4-8EE7-29C3CCD0E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107156</xdr:colOff>
      <xdr:row>230</xdr:row>
      <xdr:rowOff>0</xdr:rowOff>
    </xdr:from>
    <xdr:to>
      <xdr:col>29</xdr:col>
      <xdr:colOff>521970</xdr:colOff>
      <xdr:row>238</xdr:row>
      <xdr:rowOff>133349</xdr:rowOff>
    </xdr:to>
    <xdr:graphicFrame macro="">
      <xdr:nvGraphicFramePr>
        <xdr:cNvPr id="15" name="Chart 14">
          <a:extLst>
            <a:ext uri="{FF2B5EF4-FFF2-40B4-BE49-F238E27FC236}">
              <a16:creationId xmlns:a16="http://schemas.microsoft.com/office/drawing/2014/main" id="{76B6CC24-FDCB-41EF-89C9-785468EF8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130175</xdr:colOff>
      <xdr:row>180</xdr:row>
      <xdr:rowOff>65087</xdr:rowOff>
    </xdr:from>
    <xdr:to>
      <xdr:col>15</xdr:col>
      <xdr:colOff>1082675</xdr:colOff>
      <xdr:row>197</xdr:row>
      <xdr:rowOff>0</xdr:rowOff>
    </xdr:to>
    <xdr:graphicFrame macro="">
      <xdr:nvGraphicFramePr>
        <xdr:cNvPr id="2" name="Chart 1">
          <a:extLst>
            <a:ext uri="{FF2B5EF4-FFF2-40B4-BE49-F238E27FC236}">
              <a16:creationId xmlns:a16="http://schemas.microsoft.com/office/drawing/2014/main" id="{A80D7CB7-5274-4E45-A1C6-203172D2D6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500630</xdr:colOff>
      <xdr:row>180</xdr:row>
      <xdr:rowOff>48793</xdr:rowOff>
    </xdr:from>
    <xdr:to>
      <xdr:col>6</xdr:col>
      <xdr:colOff>794736</xdr:colOff>
      <xdr:row>194</xdr:row>
      <xdr:rowOff>166076</xdr:rowOff>
    </xdr:to>
    <xdr:graphicFrame macro="">
      <xdr:nvGraphicFramePr>
        <xdr:cNvPr id="4" name="Chart 3">
          <a:extLst>
            <a:ext uri="{FF2B5EF4-FFF2-40B4-BE49-F238E27FC236}">
              <a16:creationId xmlns:a16="http://schemas.microsoft.com/office/drawing/2014/main" id="{426E21B1-D0CC-D14F-91CB-881BDB60E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xdr:colOff>
      <xdr:row>3</xdr:row>
      <xdr:rowOff>0</xdr:rowOff>
    </xdr:from>
    <xdr:to>
      <xdr:col>1</xdr:col>
      <xdr:colOff>47625</xdr:colOff>
      <xdr:row>5</xdr:row>
      <xdr:rowOff>9525</xdr:rowOff>
    </xdr:to>
    <xdr:sp macro="" textlink="">
      <xdr:nvSpPr>
        <xdr:cNvPr id="2" name="cmdCheckItemsSheet" hidden="1">
          <a:extLst>
            <a:ext uri="{63B3BB69-23CF-44E3-9099-C40C66FF867C}">
              <a14:compatExt xmlns:a14="http://schemas.microsoft.com/office/drawing/2010/main" spid="_x0000_s10241"/>
            </a:ext>
            <a:ext uri="{FF2B5EF4-FFF2-40B4-BE49-F238E27FC236}">
              <a16:creationId xmlns:a16="http://schemas.microsoft.com/office/drawing/2014/main" id="{A42BDDB4-4CFF-744D-9DB2-A434B1EFB882}"/>
            </a:ext>
          </a:extLst>
        </xdr:cNvPr>
        <xdr:cNvSpPr/>
      </xdr:nvSpPr>
      <xdr:spPr>
        <a:xfrm>
          <a:off x="12700" y="279400"/>
          <a:ext cx="939800" cy="228600"/>
        </a:xfrm>
        <a:prstGeom prst="rect">
          <a:avLst/>
        </a:prstGeom>
      </xdr:spPr>
    </xdr:sp>
    <xdr:clientData/>
  </xdr:twoCellAnchor>
  <xdr:twoCellAnchor editAs="oneCell">
    <xdr:from>
      <xdr:col>1</xdr:col>
      <xdr:colOff>0</xdr:colOff>
      <xdr:row>3</xdr:row>
      <xdr:rowOff>0</xdr:rowOff>
    </xdr:from>
    <xdr:to>
      <xdr:col>1</xdr:col>
      <xdr:colOff>1066800</xdr:colOff>
      <xdr:row>4</xdr:row>
      <xdr:rowOff>67522</xdr:rowOff>
    </xdr:to>
    <xdr:sp macro="" textlink="">
      <xdr:nvSpPr>
        <xdr:cNvPr id="3" name="cmdSpecifyComponent" hidden="1">
          <a:extLst>
            <a:ext uri="{63B3BB69-23CF-44E3-9099-C40C66FF867C}">
              <a14:compatExt xmlns:a14="http://schemas.microsoft.com/office/drawing/2010/main" spid="_x0000_s10242"/>
            </a:ext>
            <a:ext uri="{FF2B5EF4-FFF2-40B4-BE49-F238E27FC236}">
              <a16:creationId xmlns:a16="http://schemas.microsoft.com/office/drawing/2014/main" id="{501282CE-8EA0-B640-A604-11D754F83926}"/>
            </a:ext>
          </a:extLst>
        </xdr:cNvPr>
        <xdr:cNvSpPr/>
      </xdr:nvSpPr>
      <xdr:spPr>
        <a:xfrm>
          <a:off x="965200" y="508000"/>
          <a:ext cx="1016000" cy="233680"/>
        </a:xfrm>
        <a:prstGeom prst="rect">
          <a:avLst/>
        </a:prstGeom>
      </xdr:spPr>
    </xdr:sp>
    <xdr:clientData/>
  </xdr:twoCellAnchor>
  <xdr:twoCellAnchor editAs="oneCell">
    <xdr:from>
      <xdr:col>3</xdr:col>
      <xdr:colOff>12700</xdr:colOff>
      <xdr:row>3</xdr:row>
      <xdr:rowOff>0</xdr:rowOff>
    </xdr:from>
    <xdr:to>
      <xdr:col>4</xdr:col>
      <xdr:colOff>0</xdr:colOff>
      <xdr:row>4</xdr:row>
      <xdr:rowOff>67522</xdr:rowOff>
    </xdr:to>
    <xdr:sp macro="" textlink="">
      <xdr:nvSpPr>
        <xdr:cNvPr id="4" name="cmdSpecifyUnits" hidden="1">
          <a:extLst>
            <a:ext uri="{63B3BB69-23CF-44E3-9099-C40C66FF867C}">
              <a14:compatExt xmlns:a14="http://schemas.microsoft.com/office/drawing/2010/main" spid="_x0000_s10243"/>
            </a:ext>
            <a:ext uri="{FF2B5EF4-FFF2-40B4-BE49-F238E27FC236}">
              <a16:creationId xmlns:a16="http://schemas.microsoft.com/office/drawing/2014/main" id="{4CF150F1-1A93-AD4B-B4F3-B885C596CCC4}"/>
            </a:ext>
          </a:extLst>
        </xdr:cNvPr>
        <xdr:cNvSpPr/>
      </xdr:nvSpPr>
      <xdr:spPr>
        <a:xfrm>
          <a:off x="7442200" y="508000"/>
          <a:ext cx="762000" cy="233680"/>
        </a:xfrm>
        <a:prstGeom prst="rect">
          <a:avLst/>
        </a:prstGeom>
      </xdr:spPr>
    </xdr:sp>
    <xdr:clientData/>
  </xdr:twoCellAnchor>
  <xdr:twoCellAnchor editAs="oneCell">
    <xdr:from>
      <xdr:col>4</xdr:col>
      <xdr:colOff>12700</xdr:colOff>
      <xdr:row>3</xdr:row>
      <xdr:rowOff>0</xdr:rowOff>
    </xdr:from>
    <xdr:to>
      <xdr:col>5</xdr:col>
      <xdr:colOff>104775</xdr:colOff>
      <xdr:row>4</xdr:row>
      <xdr:rowOff>67522</xdr:rowOff>
    </xdr:to>
    <xdr:sp macro="" textlink="">
      <xdr:nvSpPr>
        <xdr:cNvPr id="5" name="cmdSpecifySets" hidden="1">
          <a:extLst>
            <a:ext uri="{63B3BB69-23CF-44E3-9099-C40C66FF867C}">
              <a14:compatExt xmlns:a14="http://schemas.microsoft.com/office/drawing/2010/main" spid="_x0000_s10244"/>
            </a:ext>
            <a:ext uri="{FF2B5EF4-FFF2-40B4-BE49-F238E27FC236}">
              <a16:creationId xmlns:a16="http://schemas.microsoft.com/office/drawing/2014/main" id="{E0C15EA7-EFF2-4644-ABFB-1F2D23C0EEA3}"/>
            </a:ext>
          </a:extLst>
        </xdr:cNvPr>
        <xdr:cNvSpPr/>
      </xdr:nvSpPr>
      <xdr:spPr>
        <a:xfrm>
          <a:off x="8216900" y="508000"/>
          <a:ext cx="2171700" cy="233680"/>
        </a:xfrm>
        <a:prstGeom prst="rect">
          <a:avLst/>
        </a:prstGeom>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xdr:colOff>
      <xdr:row>2</xdr:row>
      <xdr:rowOff>0</xdr:rowOff>
    </xdr:from>
    <xdr:to>
      <xdr:col>1</xdr:col>
      <xdr:colOff>0</xdr:colOff>
      <xdr:row>3</xdr:row>
      <xdr:rowOff>0</xdr:rowOff>
    </xdr:to>
    <xdr:sp macro="" textlink="">
      <xdr:nvSpPr>
        <xdr:cNvPr id="13313" name="cmdCheckItemsSheet" hidden="1">
          <a:extLst>
            <a:ext uri="{63B3BB69-23CF-44E3-9099-C40C66FF867C}">
              <a14:compatExt xmlns:a14="http://schemas.microsoft.com/office/drawing/2010/main" spid="_x0000_s13313"/>
            </a:ext>
            <a:ext uri="{FF2B5EF4-FFF2-40B4-BE49-F238E27FC236}">
              <a16:creationId xmlns:a16="http://schemas.microsoft.com/office/drawing/2014/main" id="{00000000-0008-0000-2000-000001340000}"/>
            </a:ext>
          </a:extLst>
        </xdr:cNvPr>
        <xdr:cNvSpPr/>
      </xdr:nvSpPr>
      <xdr:spPr>
        <a:xfrm>
          <a:off x="0" y="0"/>
          <a:ext cx="0" cy="0"/>
        </a:xfrm>
        <a:prstGeom prst="rect">
          <a:avLst/>
        </a:prstGeom>
      </xdr:spPr>
    </xdr:sp>
    <xdr:clientData/>
  </xdr:twoCellAnchor>
  <xdr:twoCellAnchor editAs="oneCell">
    <xdr:from>
      <xdr:col>1</xdr:col>
      <xdr:colOff>0</xdr:colOff>
      <xdr:row>3</xdr:row>
      <xdr:rowOff>0</xdr:rowOff>
    </xdr:from>
    <xdr:to>
      <xdr:col>2</xdr:col>
      <xdr:colOff>180975</xdr:colOff>
      <xdr:row>4</xdr:row>
      <xdr:rowOff>96097</xdr:rowOff>
    </xdr:to>
    <xdr:sp macro="" textlink="">
      <xdr:nvSpPr>
        <xdr:cNvPr id="13314" name="cmdSpecifyComponent" hidden="1">
          <a:extLst>
            <a:ext uri="{63B3BB69-23CF-44E3-9099-C40C66FF867C}">
              <a14:compatExt xmlns:a14="http://schemas.microsoft.com/office/drawing/2010/main" spid="_x0000_s13314"/>
            </a:ext>
            <a:ext uri="{FF2B5EF4-FFF2-40B4-BE49-F238E27FC236}">
              <a16:creationId xmlns:a16="http://schemas.microsoft.com/office/drawing/2014/main" id="{00000000-0008-0000-2000-000002340000}"/>
            </a:ext>
          </a:extLst>
        </xdr:cNvPr>
        <xdr:cNvSpPr/>
      </xdr:nvSpPr>
      <xdr:spPr>
        <a:xfrm>
          <a:off x="0" y="0"/>
          <a:ext cx="0" cy="0"/>
        </a:xfrm>
        <a:prstGeom prst="rect">
          <a:avLst/>
        </a:prstGeom>
      </xdr:spPr>
    </xdr:sp>
    <xdr:clientData/>
  </xdr:twoCellAnchor>
  <xdr:twoCellAnchor editAs="oneCell">
    <xdr:from>
      <xdr:col>3</xdr:col>
      <xdr:colOff>12700</xdr:colOff>
      <xdr:row>3</xdr:row>
      <xdr:rowOff>0</xdr:rowOff>
    </xdr:from>
    <xdr:to>
      <xdr:col>4</xdr:col>
      <xdr:colOff>0</xdr:colOff>
      <xdr:row>4</xdr:row>
      <xdr:rowOff>96097</xdr:rowOff>
    </xdr:to>
    <xdr:sp macro="" textlink="">
      <xdr:nvSpPr>
        <xdr:cNvPr id="13315" name="cmdSpecifyUnits" hidden="1">
          <a:extLst>
            <a:ext uri="{63B3BB69-23CF-44E3-9099-C40C66FF867C}">
              <a14:compatExt xmlns:a14="http://schemas.microsoft.com/office/drawing/2010/main" spid="_x0000_s13315"/>
            </a:ext>
            <a:ext uri="{FF2B5EF4-FFF2-40B4-BE49-F238E27FC236}">
              <a16:creationId xmlns:a16="http://schemas.microsoft.com/office/drawing/2014/main" id="{00000000-0008-0000-2000-000003340000}"/>
            </a:ext>
          </a:extLst>
        </xdr:cNvPr>
        <xdr:cNvSpPr/>
      </xdr:nvSpPr>
      <xdr:spPr>
        <a:xfrm>
          <a:off x="0" y="0"/>
          <a:ext cx="0" cy="0"/>
        </a:xfrm>
        <a:prstGeom prst="rect">
          <a:avLst/>
        </a:prstGeom>
      </xdr:spPr>
    </xdr:sp>
    <xdr:clientData/>
  </xdr:twoCellAnchor>
  <xdr:twoCellAnchor editAs="oneCell">
    <xdr:from>
      <xdr:col>4</xdr:col>
      <xdr:colOff>12700</xdr:colOff>
      <xdr:row>3</xdr:row>
      <xdr:rowOff>0</xdr:rowOff>
    </xdr:from>
    <xdr:to>
      <xdr:col>5</xdr:col>
      <xdr:colOff>0</xdr:colOff>
      <xdr:row>4</xdr:row>
      <xdr:rowOff>96097</xdr:rowOff>
    </xdr:to>
    <xdr:sp macro="" textlink="">
      <xdr:nvSpPr>
        <xdr:cNvPr id="13316" name="cmdSpecifySets" hidden="1">
          <a:extLst>
            <a:ext uri="{63B3BB69-23CF-44E3-9099-C40C66FF867C}">
              <a14:compatExt xmlns:a14="http://schemas.microsoft.com/office/drawing/2010/main" spid="_x0000_s13316"/>
            </a:ext>
            <a:ext uri="{FF2B5EF4-FFF2-40B4-BE49-F238E27FC236}">
              <a16:creationId xmlns:a16="http://schemas.microsoft.com/office/drawing/2014/main" id="{00000000-0008-0000-2000-000004340000}"/>
            </a:ext>
          </a:extLst>
        </xdr:cNvPr>
        <xdr:cNvSpPr/>
      </xdr:nvSpPr>
      <xdr:spPr>
        <a:xfrm>
          <a:off x="0" y="0"/>
          <a:ext cx="0" cy="0"/>
        </a:xfrm>
        <a:prstGeom prst="rect">
          <a:avLst/>
        </a:prstGeom>
      </xdr:spPr>
    </xdr: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2</xdr:row>
      <xdr:rowOff>0</xdr:rowOff>
    </xdr:from>
    <xdr:ext cx="955463" cy="252730"/>
    <xdr:sp macro="" textlink="">
      <xdr:nvSpPr>
        <xdr:cNvPr id="2" name="cmdCheckTSandTIDDataSheet" hidden="1">
          <a:extLst>
            <a:ext uri="{63B3BB69-23CF-44E3-9099-C40C66FF867C}">
              <a14:compatExt xmlns:a14="http://schemas.microsoft.com/office/drawing/2010/main" spid="_x0000_s14337"/>
            </a:ext>
            <a:ext uri="{FF2B5EF4-FFF2-40B4-BE49-F238E27FC236}">
              <a16:creationId xmlns:a16="http://schemas.microsoft.com/office/drawing/2014/main" id="{B1473302-0A51-B842-8B16-B2438AD44C73}"/>
            </a:ext>
          </a:extLst>
        </xdr:cNvPr>
        <xdr:cNvSpPr/>
      </xdr:nvSpPr>
      <xdr:spPr>
        <a:xfrm>
          <a:off x="0" y="330200"/>
          <a:ext cx="955463" cy="252730"/>
        </a:xfrm>
        <a:prstGeom prst="rect">
          <a:avLst/>
        </a:prstGeom>
      </xdr:spPr>
    </xdr:sp>
    <xdr:clientData/>
  </xdr:oneCellAnchor>
  <xdr:oneCellAnchor>
    <xdr:from>
      <xdr:col>1</xdr:col>
      <xdr:colOff>0</xdr:colOff>
      <xdr:row>3</xdr:row>
      <xdr:rowOff>0</xdr:rowOff>
    </xdr:from>
    <xdr:ext cx="931757" cy="251883"/>
    <xdr:sp macro="" textlink="">
      <xdr:nvSpPr>
        <xdr:cNvPr id="3" name="cmdSpecifyParameter" hidden="1">
          <a:extLst>
            <a:ext uri="{63B3BB69-23CF-44E3-9099-C40C66FF867C}">
              <a14:compatExt xmlns:a14="http://schemas.microsoft.com/office/drawing/2010/main" spid="_x0000_s14338"/>
            </a:ext>
            <a:ext uri="{FF2B5EF4-FFF2-40B4-BE49-F238E27FC236}">
              <a16:creationId xmlns:a16="http://schemas.microsoft.com/office/drawing/2014/main" id="{F379E67B-B5CD-164D-8A85-D4165D4D92EA}"/>
            </a:ext>
          </a:extLst>
        </xdr:cNvPr>
        <xdr:cNvSpPr/>
      </xdr:nvSpPr>
      <xdr:spPr>
        <a:xfrm>
          <a:off x="876300" y="495300"/>
          <a:ext cx="931757" cy="251883"/>
        </a:xfrm>
        <a:prstGeom prst="rect">
          <a:avLst/>
        </a:prstGeom>
      </xdr:spPr>
    </xdr:sp>
    <xdr:clientData/>
  </xdr:oneCellAnchor>
  <xdr:oneCellAnchor>
    <xdr:from>
      <xdr:col>2</xdr:col>
      <xdr:colOff>0</xdr:colOff>
      <xdr:row>3</xdr:row>
      <xdr:rowOff>0</xdr:rowOff>
    </xdr:from>
    <xdr:ext cx="633730" cy="251883"/>
    <xdr:sp macro="" textlink="">
      <xdr:nvSpPr>
        <xdr:cNvPr id="4" name="cmdSpecifyArg1" hidden="1">
          <a:extLst>
            <a:ext uri="{63B3BB69-23CF-44E3-9099-C40C66FF867C}">
              <a14:compatExt xmlns:a14="http://schemas.microsoft.com/office/drawing/2010/main" spid="_x0000_s14339"/>
            </a:ext>
            <a:ext uri="{FF2B5EF4-FFF2-40B4-BE49-F238E27FC236}">
              <a16:creationId xmlns:a16="http://schemas.microsoft.com/office/drawing/2014/main" id="{E63EA230-6A61-8A4A-9480-2ECA530AEB18}"/>
            </a:ext>
          </a:extLst>
        </xdr:cNvPr>
        <xdr:cNvSpPr/>
      </xdr:nvSpPr>
      <xdr:spPr>
        <a:xfrm>
          <a:off x="1752600" y="495300"/>
          <a:ext cx="633730" cy="251883"/>
        </a:xfrm>
        <a:prstGeom prst="rect">
          <a:avLst/>
        </a:prstGeom>
      </xdr:spPr>
    </xdr:sp>
    <xdr:clientData/>
  </xdr:oneCellAnchor>
  <xdr:oneCellAnchor>
    <xdr:from>
      <xdr:col>2</xdr:col>
      <xdr:colOff>0</xdr:colOff>
      <xdr:row>3</xdr:row>
      <xdr:rowOff>0</xdr:rowOff>
    </xdr:from>
    <xdr:ext cx="902546" cy="235373"/>
    <xdr:sp macro="" textlink="">
      <xdr:nvSpPr>
        <xdr:cNvPr id="5" name="cmdSpecifyArg2" hidden="1">
          <a:extLst>
            <a:ext uri="{63B3BB69-23CF-44E3-9099-C40C66FF867C}">
              <a14:compatExt xmlns:a14="http://schemas.microsoft.com/office/drawing/2010/main" spid="_x0000_s14340"/>
            </a:ext>
            <a:ext uri="{FF2B5EF4-FFF2-40B4-BE49-F238E27FC236}">
              <a16:creationId xmlns:a16="http://schemas.microsoft.com/office/drawing/2014/main" id="{CCDDCDFA-19B1-B545-9B96-737D270BA74C}"/>
            </a:ext>
          </a:extLst>
        </xdr:cNvPr>
        <xdr:cNvSpPr/>
      </xdr:nvSpPr>
      <xdr:spPr>
        <a:xfrm>
          <a:off x="2628900" y="495300"/>
          <a:ext cx="902546" cy="235373"/>
        </a:xfrm>
        <a:prstGeom prst="rect">
          <a:avLst/>
        </a:prstGeom>
      </xdr:spPr>
    </xdr:sp>
    <xdr:clientData/>
  </xdr:oneCellAnchor>
  <xdr:oneCellAnchor>
    <xdr:from>
      <xdr:col>3</xdr:col>
      <xdr:colOff>0</xdr:colOff>
      <xdr:row>3</xdr:row>
      <xdr:rowOff>0</xdr:rowOff>
    </xdr:from>
    <xdr:ext cx="862330" cy="235373"/>
    <xdr:sp macro="" textlink="">
      <xdr:nvSpPr>
        <xdr:cNvPr id="6" name="cmdSpecifyArg3" hidden="1">
          <a:extLst>
            <a:ext uri="{63B3BB69-23CF-44E3-9099-C40C66FF867C}">
              <a14:compatExt xmlns:a14="http://schemas.microsoft.com/office/drawing/2010/main" spid="_x0000_s14341"/>
            </a:ext>
            <a:ext uri="{FF2B5EF4-FFF2-40B4-BE49-F238E27FC236}">
              <a16:creationId xmlns:a16="http://schemas.microsoft.com/office/drawing/2014/main" id="{2B949D08-3C71-564D-BD88-8A5AFA634DB0}"/>
            </a:ext>
          </a:extLst>
        </xdr:cNvPr>
        <xdr:cNvSpPr/>
      </xdr:nvSpPr>
      <xdr:spPr>
        <a:xfrm>
          <a:off x="35052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7" name="cmdSpecifyArg4" hidden="1">
          <a:extLst>
            <a:ext uri="{63B3BB69-23CF-44E3-9099-C40C66FF867C}">
              <a14:compatExt xmlns:a14="http://schemas.microsoft.com/office/drawing/2010/main" spid="_x0000_s14342"/>
            </a:ext>
            <a:ext uri="{FF2B5EF4-FFF2-40B4-BE49-F238E27FC236}">
              <a16:creationId xmlns:a16="http://schemas.microsoft.com/office/drawing/2014/main" id="{5A707C30-D193-5A42-9845-CDF7683616F8}"/>
            </a:ext>
          </a:extLst>
        </xdr:cNvPr>
        <xdr:cNvSpPr/>
      </xdr:nvSpPr>
      <xdr:spPr>
        <a:xfrm>
          <a:off x="43815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8" name="cmdSpecifyArg5" hidden="1">
          <a:extLst>
            <a:ext uri="{63B3BB69-23CF-44E3-9099-C40C66FF867C}">
              <a14:compatExt xmlns:a14="http://schemas.microsoft.com/office/drawing/2010/main" spid="_x0000_s14343"/>
            </a:ext>
            <a:ext uri="{FF2B5EF4-FFF2-40B4-BE49-F238E27FC236}">
              <a16:creationId xmlns:a16="http://schemas.microsoft.com/office/drawing/2014/main" id="{871B8614-27FB-9E44-9F3A-B51640C6DB17}"/>
            </a:ext>
          </a:extLst>
        </xdr:cNvPr>
        <xdr:cNvSpPr/>
      </xdr:nvSpPr>
      <xdr:spPr>
        <a:xfrm>
          <a:off x="52578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9" name="cmdSpecifyArg6" hidden="1">
          <a:extLst>
            <a:ext uri="{63B3BB69-23CF-44E3-9099-C40C66FF867C}">
              <a14:compatExt xmlns:a14="http://schemas.microsoft.com/office/drawing/2010/main" spid="_x0000_s14344"/>
            </a:ext>
            <a:ext uri="{FF2B5EF4-FFF2-40B4-BE49-F238E27FC236}">
              <a16:creationId xmlns:a16="http://schemas.microsoft.com/office/drawing/2014/main" id="{79413E73-F204-D449-B148-95C4F18B9E78}"/>
            </a:ext>
          </a:extLst>
        </xdr:cNvPr>
        <xdr:cNvSpPr/>
      </xdr:nvSpPr>
      <xdr:spPr>
        <a:xfrm>
          <a:off x="6134100" y="495300"/>
          <a:ext cx="862330" cy="235373"/>
        </a:xfrm>
        <a:prstGeom prst="rect">
          <a:avLst/>
        </a:prstGeom>
      </xdr:spPr>
    </xdr:sp>
    <xdr:clientData/>
  </xdr:oneCellAnchor>
  <xdr:oneCellAnchor>
    <xdr:from>
      <xdr:col>3</xdr:col>
      <xdr:colOff>50800</xdr:colOff>
      <xdr:row>3</xdr:row>
      <xdr:rowOff>0</xdr:rowOff>
    </xdr:from>
    <xdr:ext cx="430530" cy="251883"/>
    <xdr:sp macro="" textlink="">
      <xdr:nvSpPr>
        <xdr:cNvPr id="10" name="cmdSpecifyIEOptcode" hidden="1">
          <a:extLst>
            <a:ext uri="{63B3BB69-23CF-44E3-9099-C40C66FF867C}">
              <a14:compatExt xmlns:a14="http://schemas.microsoft.com/office/drawing/2010/main" spid="_x0000_s14345"/>
            </a:ext>
            <a:ext uri="{FF2B5EF4-FFF2-40B4-BE49-F238E27FC236}">
              <a16:creationId xmlns:a16="http://schemas.microsoft.com/office/drawing/2014/main" id="{019E68DF-4704-7B4E-BF2B-C0AFCDA5B79E}"/>
            </a:ext>
          </a:extLst>
        </xdr:cNvPr>
        <xdr:cNvSpPr/>
      </xdr:nvSpPr>
      <xdr:spPr>
        <a:xfrm>
          <a:off x="7061200" y="495300"/>
          <a:ext cx="430530" cy="251883"/>
        </a:xfrm>
        <a:prstGeom prst="rect">
          <a:avLst/>
        </a:prstGeom>
      </xdr:spPr>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812800</xdr:colOff>
      <xdr:row>36</xdr:row>
      <xdr:rowOff>76200</xdr:rowOff>
    </xdr:from>
    <xdr:to>
      <xdr:col>10</xdr:col>
      <xdr:colOff>558800</xdr:colOff>
      <xdr:row>52</xdr:row>
      <xdr:rowOff>84091</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812800" y="5981700"/>
          <a:ext cx="7566025" cy="259869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osebetsi%20oa%20ka/Papers/Lesotho/Modelling/Costing%20Power%20system%20in%20Lesotho.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ac\Home\Users\alison\Documents\Alison%202021\SATIMGE\SATIM\DataSpreadsheets\TCH_RES_SANEDI.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user/Documents/CAMCO/DOCUME~1/estherv/LOCALS~1/Temp/2000-2001%20Stats-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tara/Downloads/tch_res._intensity%20rework%20v3%20contraints%20TC.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user/Documents/CAMCO/Documents%20and%20Settings/ezekielm/Desktop/ESS/Draft%20ESS%202004%20v%209%20Jan%20200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ac\Home\Users\alison\Documents\SATIM\Applience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Mac\Home\Users\alison\Documents\SATIM\Geyser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ac\Home\Users\alison\Documents\SATIM\end%20us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Mac\Home\Volumes\%5bC%5d%20Windows%2011.hidden\Models\SATIMGE\SATIM\DataSpreadsheets\DMD_PRJ.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SATIMGE_03/SATM/DMD_PRJ_ah.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Mac\Home\Users\alison\Documents\2023\2022_EE_Cesar\LEAP%20reference%20case.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Mac\Home\Users\alison\Documents\2022\2019%20EE%20Cesar\Data\LEAP%20model%20files\Calibration%20sheets-%20V04.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SATIMGE_02/SATM/TIME_SLICES_1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ngineering economics"/>
      <sheetName val="Data"/>
      <sheetName val="Electricity Production"/>
      <sheetName val="Energy Demand Sectors"/>
      <sheetName val="Energy costs"/>
      <sheetName val="Supply"/>
      <sheetName val="General Sheet"/>
      <sheetName val="transport"/>
      <sheetName val="commercial"/>
      <sheetName val="industrial"/>
      <sheetName val="residential"/>
      <sheetName val="Sheet1"/>
      <sheetName val="References"/>
    </sheetNames>
    <sheetDataSet>
      <sheetData sheetId="0"/>
      <sheetData sheetId="1"/>
      <sheetData sheetId="2"/>
      <sheetData sheetId="3"/>
      <sheetData sheetId="4"/>
      <sheetData sheetId="5">
        <row r="51">
          <cell r="G51" t="str">
            <v>1999[1]</v>
          </cell>
        </row>
        <row r="55">
          <cell r="E55" t="str">
            <v>[1] Lesotho started its own electricity generation in 2009</v>
          </cell>
        </row>
      </sheetData>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
      <sheetName val="NameConv"/>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Name val="ExecSum  "/>
      <sheetName val="Generation"/>
      <sheetName val="GenInd"/>
      <sheetName val="Power Stn Stats"/>
      <sheetName val="Transmission "/>
      <sheetName val=" Ch 5 Network Sum "/>
    </sheetNames>
    <sheetDataSet>
      <sheetData sheetId="0"/>
      <sheetData sheetId="1"/>
      <sheetData sheetId="2"/>
      <sheetData sheetId="3"/>
      <sheetData sheetId="4" refreshError="1"/>
      <sheetData sheetId="5" refreshError="1">
        <row r="1">
          <cell r="A1" t="str">
            <v>Chapter 4</v>
          </cell>
        </row>
        <row r="2">
          <cell r="A2" t="str">
            <v>Transmission</v>
          </cell>
        </row>
      </sheetData>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utoolsforExcel"/>
      <sheetName val="Index"/>
      <sheetName val="Log of Changes"/>
      <sheetName val="conversion factors"/>
      <sheetName val="Other sources"/>
      <sheetName val="Geyser"/>
      <sheetName val="SAPIA"/>
      <sheetName val="Fuel Supply"/>
      <sheetName val="NERSA Sales Sum"/>
      <sheetName val="Appliances"/>
      <sheetName val="REGIONS"/>
      <sheetName val="References"/>
      <sheetName val="bottom-up-enduse"/>
      <sheetName val="AMPS Geysers"/>
      <sheetName val="access to services"/>
      <sheetName val="Fridges"/>
      <sheetName val="SWH"/>
      <sheetName val="RES_TCH_Database"/>
      <sheetName val="Census 2011"/>
      <sheetName val="Energy_Balance"/>
      <sheetName val="RES"/>
      <sheetName val="Scenarios"/>
      <sheetName val="Model energy input"/>
      <sheetName val="Graphs"/>
      <sheetName val="ITEMS_Tech"/>
      <sheetName val="TS DTech"/>
      <sheetName val="TS DMARK"/>
      <sheetName val="TID DTech"/>
      <sheetName val="TID Const"/>
      <sheetName val="TS Const"/>
      <sheetName val="ITEMS_Comm"/>
      <sheetName val="TS BYDem"/>
      <sheetName val="TS COMFR"/>
      <sheetName val="TS COMFR_10"/>
      <sheetName val="NameConv"/>
      <sheetName val="Sets in RES"/>
      <sheetName val="AFA"/>
      <sheetName val="TS FTech"/>
      <sheetName val="TID FTech"/>
      <sheetName val="TS Emiss"/>
      <sheetName val="TID Emiss"/>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1">
          <cell r="F1">
            <v>1E-8</v>
          </cell>
        </row>
        <row r="3">
          <cell r="D3" t="str">
            <v>Biomass Wood</v>
          </cell>
          <cell r="E3" t="str">
            <v>BIW</v>
          </cell>
          <cell r="F3" t="str">
            <v>Biomass Wood</v>
          </cell>
        </row>
        <row r="4">
          <cell r="D4" t="str">
            <v>Coal</v>
          </cell>
          <cell r="E4" t="str">
            <v>COA</v>
          </cell>
          <cell r="F4" t="str">
            <v>Coal</v>
          </cell>
        </row>
        <row r="5">
          <cell r="D5" t="str">
            <v>Electricity</v>
          </cell>
          <cell r="E5" t="str">
            <v>ELC</v>
          </cell>
          <cell r="F5" t="str">
            <v>Electricity</v>
          </cell>
        </row>
        <row r="6">
          <cell r="D6" t="str">
            <v>Oil LPG</v>
          </cell>
          <cell r="E6" t="str">
            <v>OLP</v>
          </cell>
          <cell r="F6" t="str">
            <v>Oil LPG</v>
          </cell>
        </row>
        <row r="7">
          <cell r="D7" t="str">
            <v>Oil Paraffin</v>
          </cell>
          <cell r="E7" t="str">
            <v>OKE</v>
          </cell>
          <cell r="F7" t="str">
            <v>Oil Paraffin</v>
          </cell>
        </row>
        <row r="8">
          <cell r="D8" t="str">
            <v>Natural Gas</v>
          </cell>
          <cell r="E8" t="str">
            <v>GAS</v>
          </cell>
          <cell r="F8" t="str">
            <v>Natural Gas</v>
          </cell>
        </row>
        <row r="9">
          <cell r="D9"/>
          <cell r="E9"/>
          <cell r="F9"/>
        </row>
        <row r="10">
          <cell r="D10"/>
          <cell r="E10"/>
          <cell r="F10"/>
        </row>
        <row r="12">
          <cell r="D12"/>
          <cell r="E12"/>
          <cell r="F12"/>
        </row>
        <row r="15">
          <cell r="D15"/>
          <cell r="E15"/>
          <cell r="F15"/>
        </row>
        <row r="16">
          <cell r="D16"/>
          <cell r="E16"/>
          <cell r="F16"/>
        </row>
        <row r="17">
          <cell r="D17"/>
          <cell r="E17"/>
          <cell r="F17"/>
        </row>
      </sheetData>
      <sheetData sheetId="35"/>
      <sheetData sheetId="36"/>
      <sheetData sheetId="37"/>
      <sheetData sheetId="38"/>
      <sheetData sheetId="39"/>
      <sheetData sheetId="40"/>
      <sheetData sheetId="4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p 100"/>
      <sheetName val="D2_Section3"/>
      <sheetName val="D2_Section4"/>
      <sheetName val="Title"/>
      <sheetName val="Foreword"/>
      <sheetName val="Background"/>
      <sheetName val="ExecSum"/>
      <sheetName val="Energy flow"/>
      <sheetName val="Generation"/>
      <sheetName val="GenInd"/>
      <sheetName val="Power stations Stats"/>
      <sheetName val="Tx"/>
      <sheetName val="Chp5 Networks"/>
      <sheetName val="Ch6 Distribution"/>
      <sheetName val="Overview of sales"/>
      <sheetName val="Overview of prices"/>
      <sheetName val="Electrification"/>
      <sheetName val="Ch8"/>
      <sheetName val="EC"/>
      <sheetName val="FS"/>
      <sheetName val="GP"/>
      <sheetName val="KZN"/>
      <sheetName val="LMP"/>
      <sheetName val="MP"/>
      <sheetName val="NC"/>
      <sheetName val="NW"/>
      <sheetName val="WC"/>
      <sheetName val="Eskom"/>
      <sheetName val="Glossary"/>
      <sheetName val="References"/>
    </sheetNames>
    <sheetDataSet>
      <sheetData sheetId="0"/>
      <sheetData sheetId="1">
        <row r="1">
          <cell r="A1" t="str">
            <v>MWh_Consumer_A</v>
          </cell>
          <cell r="B1" t="str">
            <v>MWh_Redistribution_A</v>
          </cell>
          <cell r="C1" t="str">
            <v>MWh_OwnUse_A</v>
          </cell>
          <cell r="D1" t="str">
            <v>MWh_StreetLight_A</v>
          </cell>
          <cell r="E1" t="str">
            <v>MWh_Department_A</v>
          </cell>
          <cell r="F1" t="str">
            <v>Total_NoConsumer_A</v>
          </cell>
          <cell r="G1" t="str">
            <v>Total_Energy_A</v>
          </cell>
          <cell r="H1" t="str">
            <v>Percentage_Loss_A</v>
          </cell>
          <cell r="I1" t="str">
            <v>Total_Sales_A</v>
          </cell>
          <cell r="J1" t="str">
            <v>F_Year</v>
          </cell>
          <cell r="K1" t="str">
            <v>Licence_Number1</v>
          </cell>
          <cell r="L1" t="str">
            <v>MunicName</v>
          </cell>
        </row>
        <row r="2">
          <cell r="A2">
            <v>48392</v>
          </cell>
          <cell r="B2">
            <v>0</v>
          </cell>
          <cell r="C2">
            <v>0</v>
          </cell>
          <cell r="D2">
            <v>0</v>
          </cell>
          <cell r="E2">
            <v>3294</v>
          </cell>
          <cell r="F2">
            <v>6509</v>
          </cell>
          <cell r="G2">
            <v>57458</v>
          </cell>
          <cell r="H2">
            <v>10.050000000000001</v>
          </cell>
          <cell r="I2">
            <v>51686</v>
          </cell>
          <cell r="J2" t="str">
            <v>2003/2004</v>
          </cell>
          <cell r="K2" t="str">
            <v>NER/D/Ec101</v>
          </cell>
          <cell r="L2" t="str">
            <v>Camdeboo</v>
          </cell>
        </row>
        <row r="3">
          <cell r="A3">
            <v>48123</v>
          </cell>
          <cell r="B3">
            <v>0</v>
          </cell>
          <cell r="C3">
            <v>1251</v>
          </cell>
          <cell r="D3">
            <v>313</v>
          </cell>
          <cell r="E3">
            <v>0</v>
          </cell>
          <cell r="F3">
            <v>6817</v>
          </cell>
          <cell r="G3">
            <v>54778</v>
          </cell>
          <cell r="H3">
            <v>9.2899999999999991</v>
          </cell>
          <cell r="I3">
            <v>49687</v>
          </cell>
          <cell r="J3" t="str">
            <v>2003/2004</v>
          </cell>
          <cell r="K3" t="str">
            <v>NER/D/EC102</v>
          </cell>
          <cell r="L3" t="str">
            <v>Blue Crane Route</v>
          </cell>
        </row>
        <row r="4">
          <cell r="A4">
            <v>81424</v>
          </cell>
          <cell r="B4">
            <v>0</v>
          </cell>
          <cell r="C4">
            <v>130</v>
          </cell>
          <cell r="D4">
            <v>1248</v>
          </cell>
          <cell r="E4">
            <v>4948</v>
          </cell>
          <cell r="F4">
            <v>5072</v>
          </cell>
          <cell r="G4">
            <v>103057</v>
          </cell>
          <cell r="H4">
            <v>14.85</v>
          </cell>
          <cell r="I4">
            <v>87750</v>
          </cell>
          <cell r="J4" t="str">
            <v>2003/2004</v>
          </cell>
          <cell r="K4" t="str">
            <v>NER/D/EC104</v>
          </cell>
          <cell r="L4" t="str">
            <v>Makana</v>
          </cell>
        </row>
        <row r="5">
          <cell r="A5">
            <v>33030</v>
          </cell>
          <cell r="B5">
            <v>0</v>
          </cell>
          <cell r="C5">
            <v>500</v>
          </cell>
          <cell r="D5">
            <v>400</v>
          </cell>
          <cell r="E5">
            <v>0</v>
          </cell>
          <cell r="F5">
            <v>3289</v>
          </cell>
          <cell r="G5">
            <v>37323</v>
          </cell>
          <cell r="H5">
            <v>9.09</v>
          </cell>
          <cell r="I5">
            <v>33930</v>
          </cell>
          <cell r="J5" t="str">
            <v>2003/2004</v>
          </cell>
          <cell r="K5" t="str">
            <v>NER/D/EC105</v>
          </cell>
          <cell r="L5" t="str">
            <v>Ndlambe</v>
          </cell>
        </row>
        <row r="6">
          <cell r="A6">
            <v>0</v>
          </cell>
          <cell r="B6">
            <v>0</v>
          </cell>
          <cell r="C6">
            <v>0</v>
          </cell>
          <cell r="D6">
            <v>0</v>
          </cell>
          <cell r="E6">
            <v>0</v>
          </cell>
          <cell r="F6">
            <v>0</v>
          </cell>
          <cell r="G6">
            <v>0</v>
          </cell>
          <cell r="H6">
            <v>0</v>
          </cell>
          <cell r="I6">
            <v>0</v>
          </cell>
          <cell r="J6" t="str">
            <v>2003/2004</v>
          </cell>
          <cell r="K6" t="str">
            <v>NER/D/EC107</v>
          </cell>
          <cell r="L6" t="str">
            <v>Baviaans</v>
          </cell>
        </row>
        <row r="7">
          <cell r="A7">
            <v>104599</v>
          </cell>
          <cell r="B7">
            <v>0</v>
          </cell>
          <cell r="C7">
            <v>0</v>
          </cell>
          <cell r="D7">
            <v>0</v>
          </cell>
          <cell r="E7">
            <v>3</v>
          </cell>
          <cell r="F7">
            <v>13196</v>
          </cell>
          <cell r="G7">
            <v>138659</v>
          </cell>
          <cell r="H7">
            <v>24.56</v>
          </cell>
          <cell r="I7">
            <v>104602</v>
          </cell>
          <cell r="J7" t="str">
            <v>2003/2004</v>
          </cell>
          <cell r="K7" t="str">
            <v>NER/D/EC108</v>
          </cell>
          <cell r="L7" t="str">
            <v>Kouga</v>
          </cell>
        </row>
        <row r="8">
          <cell r="A8">
            <v>1091000</v>
          </cell>
          <cell r="B8">
            <v>0</v>
          </cell>
          <cell r="C8">
            <v>4400</v>
          </cell>
          <cell r="D8">
            <v>0</v>
          </cell>
          <cell r="E8">
            <v>11460</v>
          </cell>
          <cell r="F8">
            <v>113800</v>
          </cell>
          <cell r="G8">
            <v>1305114</v>
          </cell>
          <cell r="H8">
            <v>15.19</v>
          </cell>
          <cell r="I8">
            <v>1106860</v>
          </cell>
          <cell r="J8" t="str">
            <v>2003/2004</v>
          </cell>
          <cell r="K8" t="str">
            <v>NER/D/EC125</v>
          </cell>
          <cell r="L8" t="str">
            <v>Buffalo City</v>
          </cell>
        </row>
        <row r="9">
          <cell r="A9">
            <v>0</v>
          </cell>
          <cell r="B9">
            <v>0</v>
          </cell>
          <cell r="C9">
            <v>0</v>
          </cell>
          <cell r="D9">
            <v>0</v>
          </cell>
          <cell r="E9">
            <v>0</v>
          </cell>
          <cell r="F9">
            <v>0</v>
          </cell>
          <cell r="G9">
            <v>53260</v>
          </cell>
          <cell r="H9">
            <v>100</v>
          </cell>
          <cell r="I9">
            <v>0</v>
          </cell>
          <cell r="J9" t="str">
            <v>2003/2004</v>
          </cell>
          <cell r="K9" t="str">
            <v>NER/D/EC131</v>
          </cell>
          <cell r="L9" t="str">
            <v>Inxuba Yethemba</v>
          </cell>
        </row>
        <row r="10">
          <cell r="A10">
            <v>5330</v>
          </cell>
          <cell r="B10">
            <v>0</v>
          </cell>
          <cell r="C10">
            <v>115</v>
          </cell>
          <cell r="D10">
            <v>188</v>
          </cell>
          <cell r="E10">
            <v>0</v>
          </cell>
          <cell r="F10">
            <v>2363</v>
          </cell>
          <cell r="G10">
            <v>6082</v>
          </cell>
          <cell r="H10">
            <v>7.38</v>
          </cell>
          <cell r="I10">
            <v>5633</v>
          </cell>
          <cell r="J10" t="str">
            <v>2003/2004</v>
          </cell>
          <cell r="K10" t="str">
            <v>NER/D/EC132</v>
          </cell>
          <cell r="L10" t="str">
            <v>Tsolwana</v>
          </cell>
        </row>
        <row r="11">
          <cell r="A11">
            <v>4800</v>
          </cell>
          <cell r="B11">
            <v>0</v>
          </cell>
          <cell r="C11">
            <v>0</v>
          </cell>
          <cell r="D11">
            <v>12</v>
          </cell>
          <cell r="E11">
            <v>0</v>
          </cell>
          <cell r="F11">
            <v>1502</v>
          </cell>
          <cell r="G11">
            <v>5200</v>
          </cell>
          <cell r="H11">
            <v>7.46</v>
          </cell>
          <cell r="I11">
            <v>4812</v>
          </cell>
          <cell r="J11" t="str">
            <v>2003/2004</v>
          </cell>
          <cell r="K11" t="str">
            <v>NER/D/EC133</v>
          </cell>
          <cell r="L11" t="str">
            <v>Inkwanca</v>
          </cell>
        </row>
        <row r="12">
          <cell r="A12">
            <v>16390</v>
          </cell>
          <cell r="B12">
            <v>0</v>
          </cell>
          <cell r="C12">
            <v>701</v>
          </cell>
          <cell r="D12">
            <v>438</v>
          </cell>
          <cell r="E12">
            <v>0</v>
          </cell>
          <cell r="F12">
            <v>1600</v>
          </cell>
          <cell r="G12">
            <v>17529</v>
          </cell>
          <cell r="H12">
            <v>0</v>
          </cell>
          <cell r="I12">
            <v>17529</v>
          </cell>
          <cell r="J12" t="str">
            <v>2003/2004</v>
          </cell>
          <cell r="K12" t="str">
            <v>NER/D/EC142</v>
          </cell>
          <cell r="L12" t="str">
            <v>Senqu</v>
          </cell>
        </row>
        <row r="13">
          <cell r="A13">
            <v>17811</v>
          </cell>
          <cell r="B13">
            <v>0</v>
          </cell>
          <cell r="C13">
            <v>0</v>
          </cell>
          <cell r="D13">
            <v>1487</v>
          </cell>
          <cell r="E13">
            <v>0</v>
          </cell>
          <cell r="F13">
            <v>2494</v>
          </cell>
          <cell r="G13">
            <v>21904</v>
          </cell>
          <cell r="H13">
            <v>11.9</v>
          </cell>
          <cell r="I13">
            <v>19298</v>
          </cell>
          <cell r="J13" t="str">
            <v>2003/2004</v>
          </cell>
          <cell r="K13" t="str">
            <v>NER/D/EC144</v>
          </cell>
          <cell r="L13" t="str">
            <v>Gariep</v>
          </cell>
        </row>
        <row r="15">
          <cell r="A15">
            <v>14245</v>
          </cell>
          <cell r="B15">
            <v>0</v>
          </cell>
          <cell r="C15">
            <v>0</v>
          </cell>
          <cell r="D15">
            <v>1614</v>
          </cell>
          <cell r="E15">
            <v>0</v>
          </cell>
          <cell r="F15">
            <v>0</v>
          </cell>
          <cell r="G15">
            <v>18972</v>
          </cell>
          <cell r="H15">
            <v>16.41</v>
          </cell>
          <cell r="I15">
            <v>15859</v>
          </cell>
          <cell r="J15" t="str">
            <v>2003/2004</v>
          </cell>
          <cell r="K15" t="str">
            <v>NER/D/FS161</v>
          </cell>
          <cell r="L15" t="str">
            <v>Letsemeng</v>
          </cell>
        </row>
        <row r="16">
          <cell r="A16">
            <v>28195</v>
          </cell>
          <cell r="B16">
            <v>0</v>
          </cell>
          <cell r="C16">
            <v>0</v>
          </cell>
          <cell r="D16">
            <v>0</v>
          </cell>
          <cell r="E16">
            <v>3825</v>
          </cell>
          <cell r="F16">
            <v>6203</v>
          </cell>
          <cell r="G16">
            <v>38085</v>
          </cell>
          <cell r="H16">
            <v>15.92</v>
          </cell>
          <cell r="I16">
            <v>32020</v>
          </cell>
          <cell r="J16" t="str">
            <v>2003/2004</v>
          </cell>
          <cell r="K16" t="str">
            <v>NER/D/FS162</v>
          </cell>
          <cell r="L16" t="str">
            <v>Kopanong</v>
          </cell>
        </row>
        <row r="17">
          <cell r="A17">
            <v>10656</v>
          </cell>
          <cell r="B17">
            <v>0</v>
          </cell>
          <cell r="C17">
            <v>0</v>
          </cell>
          <cell r="D17">
            <v>0</v>
          </cell>
          <cell r="E17">
            <v>1519</v>
          </cell>
          <cell r="F17">
            <v>2025</v>
          </cell>
          <cell r="G17">
            <v>15226</v>
          </cell>
          <cell r="H17">
            <v>20.04</v>
          </cell>
          <cell r="I17">
            <v>12175</v>
          </cell>
          <cell r="J17" t="str">
            <v>2003/2004</v>
          </cell>
          <cell r="K17" t="str">
            <v>NER/D/FS163</v>
          </cell>
          <cell r="L17" t="str">
            <v>Mohokare</v>
          </cell>
        </row>
        <row r="18">
          <cell r="A18">
            <v>1119</v>
          </cell>
          <cell r="B18">
            <v>0</v>
          </cell>
          <cell r="C18">
            <v>0</v>
          </cell>
          <cell r="D18">
            <v>0</v>
          </cell>
          <cell r="E18">
            <v>7330</v>
          </cell>
          <cell r="F18">
            <v>2725</v>
          </cell>
          <cell r="G18">
            <v>9172</v>
          </cell>
          <cell r="H18">
            <v>7.88</v>
          </cell>
          <cell r="I18">
            <v>8449</v>
          </cell>
          <cell r="J18" t="str">
            <v>2003/2004</v>
          </cell>
          <cell r="K18" t="str">
            <v>NER/D/FS171</v>
          </cell>
          <cell r="L18" t="str">
            <v>Naledi</v>
          </cell>
        </row>
        <row r="19">
          <cell r="A19">
            <v>1327905</v>
          </cell>
          <cell r="B19">
            <v>0</v>
          </cell>
          <cell r="C19">
            <v>0</v>
          </cell>
          <cell r="D19">
            <v>43113</v>
          </cell>
          <cell r="E19">
            <v>25675</v>
          </cell>
          <cell r="F19">
            <v>0</v>
          </cell>
          <cell r="G19">
            <v>1481326</v>
          </cell>
          <cell r="H19">
            <v>5.71</v>
          </cell>
          <cell r="I19">
            <v>1396693</v>
          </cell>
          <cell r="J19" t="str">
            <v>2003/2004</v>
          </cell>
          <cell r="K19" t="str">
            <v>NER/D/FS172</v>
          </cell>
          <cell r="L19" t="str">
            <v>Mangaung</v>
          </cell>
        </row>
        <row r="20">
          <cell r="A20">
            <v>36936</v>
          </cell>
          <cell r="B20">
            <v>0</v>
          </cell>
          <cell r="C20">
            <v>149</v>
          </cell>
          <cell r="D20">
            <v>0</v>
          </cell>
          <cell r="E20">
            <v>0</v>
          </cell>
          <cell r="F20">
            <v>2040</v>
          </cell>
          <cell r="G20">
            <v>35625</v>
          </cell>
          <cell r="H20">
            <v>-4.0999999999999996</v>
          </cell>
          <cell r="I20">
            <v>37085</v>
          </cell>
          <cell r="J20" t="str">
            <v>2003/2004</v>
          </cell>
          <cell r="K20" t="str">
            <v>NER/D/FS173</v>
          </cell>
          <cell r="L20" t="str">
            <v>Mantsopa</v>
          </cell>
        </row>
        <row r="21">
          <cell r="A21">
            <v>474254</v>
          </cell>
          <cell r="B21">
            <v>0</v>
          </cell>
          <cell r="C21">
            <v>0</v>
          </cell>
          <cell r="D21">
            <v>15571</v>
          </cell>
          <cell r="E21">
            <v>0</v>
          </cell>
          <cell r="F21">
            <v>31199</v>
          </cell>
          <cell r="G21">
            <v>499262</v>
          </cell>
          <cell r="H21">
            <v>0</v>
          </cell>
          <cell r="I21">
            <v>489825</v>
          </cell>
          <cell r="J21" t="str">
            <v>2003/2004</v>
          </cell>
          <cell r="K21" t="str">
            <v>NER/D/FS184</v>
          </cell>
          <cell r="L21" t="str">
            <v>Matjhabeng</v>
          </cell>
        </row>
        <row r="22">
          <cell r="A22">
            <v>56336</v>
          </cell>
          <cell r="B22">
            <v>0</v>
          </cell>
          <cell r="C22">
            <v>837</v>
          </cell>
          <cell r="D22">
            <v>64</v>
          </cell>
          <cell r="E22">
            <v>0</v>
          </cell>
          <cell r="F22">
            <v>16662</v>
          </cell>
          <cell r="G22">
            <v>60250</v>
          </cell>
          <cell r="H22">
            <v>5</v>
          </cell>
          <cell r="I22">
            <v>57237</v>
          </cell>
          <cell r="J22" t="str">
            <v>2003/2004</v>
          </cell>
          <cell r="K22" t="str">
            <v>NER/D/FS185</v>
          </cell>
          <cell r="L22" t="str">
            <v>Nala</v>
          </cell>
        </row>
        <row r="23">
          <cell r="A23">
            <v>115595</v>
          </cell>
          <cell r="B23">
            <v>0</v>
          </cell>
          <cell r="C23">
            <v>14098</v>
          </cell>
          <cell r="D23">
            <v>10500</v>
          </cell>
          <cell r="E23">
            <v>0</v>
          </cell>
          <cell r="F23">
            <v>0</v>
          </cell>
          <cell r="G23">
            <v>145991</v>
          </cell>
          <cell r="H23">
            <v>3.97</v>
          </cell>
          <cell r="I23">
            <v>140193</v>
          </cell>
          <cell r="J23" t="str">
            <v>2003/2004</v>
          </cell>
          <cell r="K23" t="str">
            <v>NER/d/FS192</v>
          </cell>
          <cell r="L23" t="str">
            <v>Dihlabeng</v>
          </cell>
        </row>
        <row r="24">
          <cell r="A24">
            <v>2914</v>
          </cell>
          <cell r="B24">
            <v>0</v>
          </cell>
          <cell r="C24">
            <v>5</v>
          </cell>
          <cell r="D24">
            <v>1</v>
          </cell>
          <cell r="E24">
            <v>6</v>
          </cell>
          <cell r="F24">
            <v>5920</v>
          </cell>
          <cell r="G24">
            <v>3765</v>
          </cell>
          <cell r="H24">
            <v>22.28</v>
          </cell>
          <cell r="I24">
            <v>2926</v>
          </cell>
          <cell r="J24" t="str">
            <v>2003/2004</v>
          </cell>
          <cell r="K24" t="str">
            <v>NER/D/FS193</v>
          </cell>
          <cell r="L24" t="str">
            <v>Nketoana</v>
          </cell>
        </row>
        <row r="25">
          <cell r="A25">
            <v>331205</v>
          </cell>
          <cell r="B25">
            <v>0</v>
          </cell>
          <cell r="C25">
            <v>0</v>
          </cell>
          <cell r="D25">
            <v>2410</v>
          </cell>
          <cell r="E25">
            <v>1090</v>
          </cell>
          <cell r="F25">
            <v>61714</v>
          </cell>
          <cell r="G25">
            <v>369840</v>
          </cell>
          <cell r="H25">
            <v>9.5</v>
          </cell>
          <cell r="I25">
            <v>334705</v>
          </cell>
          <cell r="J25" t="str">
            <v>2003/2004</v>
          </cell>
          <cell r="K25" t="str">
            <v>NER/D/FS194</v>
          </cell>
          <cell r="L25" t="str">
            <v>Maluti a Phofung</v>
          </cell>
        </row>
        <row r="26">
          <cell r="A26">
            <v>0</v>
          </cell>
          <cell r="B26">
            <v>0</v>
          </cell>
          <cell r="C26">
            <v>0</v>
          </cell>
          <cell r="D26">
            <v>0</v>
          </cell>
          <cell r="E26">
            <v>0</v>
          </cell>
          <cell r="F26">
            <v>0</v>
          </cell>
          <cell r="G26">
            <v>20140</v>
          </cell>
          <cell r="H26">
            <v>0</v>
          </cell>
          <cell r="I26">
            <v>0</v>
          </cell>
          <cell r="J26" t="str">
            <v>2003/2004</v>
          </cell>
          <cell r="K26" t="str">
            <v>NER/D/FS204</v>
          </cell>
          <cell r="L26" t="str">
            <v>Metsimaholo</v>
          </cell>
        </row>
        <row r="28">
          <cell r="A28">
            <v>13809</v>
          </cell>
          <cell r="B28">
            <v>0</v>
          </cell>
          <cell r="C28">
            <v>0</v>
          </cell>
          <cell r="D28">
            <v>447</v>
          </cell>
          <cell r="E28">
            <v>244</v>
          </cell>
          <cell r="F28">
            <v>4337</v>
          </cell>
          <cell r="G28">
            <v>15100</v>
          </cell>
          <cell r="H28">
            <v>3.97</v>
          </cell>
          <cell r="I28">
            <v>14500</v>
          </cell>
          <cell r="J28" t="str">
            <v>2003/2004</v>
          </cell>
          <cell r="K28" t="str">
            <v>NER/D/GT02b1</v>
          </cell>
          <cell r="L28" t="str">
            <v>Nokeng Tsa Taemane</v>
          </cell>
        </row>
        <row r="29">
          <cell r="A29">
            <v>172</v>
          </cell>
          <cell r="B29">
            <v>0</v>
          </cell>
          <cell r="C29">
            <v>0</v>
          </cell>
          <cell r="D29">
            <v>5</v>
          </cell>
          <cell r="E29">
            <v>12</v>
          </cell>
          <cell r="F29">
            <v>19275</v>
          </cell>
          <cell r="G29">
            <v>207</v>
          </cell>
          <cell r="H29">
            <v>8.6999999999999993</v>
          </cell>
          <cell r="I29">
            <v>189</v>
          </cell>
          <cell r="J29" t="str">
            <v>2003/2004</v>
          </cell>
          <cell r="K29" t="str">
            <v>NER/D/CBLC8</v>
          </cell>
          <cell r="L29" t="str">
            <v>Merafong City</v>
          </cell>
        </row>
        <row r="30">
          <cell r="A30">
            <v>295656</v>
          </cell>
          <cell r="B30">
            <v>0</v>
          </cell>
          <cell r="C30">
            <v>0</v>
          </cell>
          <cell r="D30">
            <v>0</v>
          </cell>
          <cell r="E30">
            <v>0</v>
          </cell>
          <cell r="F30">
            <v>26734</v>
          </cell>
          <cell r="G30">
            <v>353041</v>
          </cell>
          <cell r="H30">
            <v>16.25</v>
          </cell>
          <cell r="I30">
            <v>295656</v>
          </cell>
          <cell r="J30" t="str">
            <v>2003/2004</v>
          </cell>
          <cell r="K30" t="str">
            <v>NER/D/GT412</v>
          </cell>
          <cell r="L30" t="str">
            <v>Randfontein</v>
          </cell>
        </row>
        <row r="31">
          <cell r="A31">
            <v>143431</v>
          </cell>
          <cell r="B31">
            <v>0</v>
          </cell>
          <cell r="C31">
            <v>3108</v>
          </cell>
          <cell r="D31">
            <v>0</v>
          </cell>
          <cell r="E31">
            <v>5666</v>
          </cell>
          <cell r="F31">
            <v>0</v>
          </cell>
          <cell r="G31">
            <v>176891</v>
          </cell>
          <cell r="H31">
            <v>13.95</v>
          </cell>
          <cell r="I31">
            <v>152207</v>
          </cell>
          <cell r="J31" t="str">
            <v>2003/2004</v>
          </cell>
          <cell r="K31" t="str">
            <v>NER/D/GT423</v>
          </cell>
          <cell r="L31" t="str">
            <v>Lesedi</v>
          </cell>
        </row>
        <row r="32">
          <cell r="A32">
            <v>8976112</v>
          </cell>
          <cell r="B32">
            <v>0</v>
          </cell>
          <cell r="C32">
            <v>418</v>
          </cell>
          <cell r="D32">
            <v>109003</v>
          </cell>
          <cell r="E32">
            <v>136670</v>
          </cell>
          <cell r="F32">
            <v>0</v>
          </cell>
          <cell r="G32">
            <v>9852781</v>
          </cell>
          <cell r="H32">
            <v>6.4</v>
          </cell>
          <cell r="I32">
            <v>9222203</v>
          </cell>
          <cell r="J32" t="str">
            <v>2003/2004</v>
          </cell>
          <cell r="K32" t="str">
            <v>NER/D/RHULENI</v>
          </cell>
          <cell r="L32" t="str">
            <v>Ekurhuleni Metropolitan</v>
          </cell>
        </row>
        <row r="33">
          <cell r="A33">
            <v>9461032</v>
          </cell>
          <cell r="B33">
            <v>0</v>
          </cell>
          <cell r="C33">
            <v>4794</v>
          </cell>
          <cell r="D33">
            <v>106320</v>
          </cell>
          <cell r="E33">
            <v>9466</v>
          </cell>
          <cell r="F33">
            <v>295398</v>
          </cell>
          <cell r="G33">
            <v>11559549</v>
          </cell>
          <cell r="H33">
            <v>17.11</v>
          </cell>
          <cell r="I33">
            <v>9581612</v>
          </cell>
          <cell r="J33" t="str">
            <v>2003/2004</v>
          </cell>
          <cell r="K33" t="str">
            <v>NER/D/JHB</v>
          </cell>
          <cell r="L33" t="str">
            <v>City of Johannesburg Metropolitan</v>
          </cell>
        </row>
        <row r="34">
          <cell r="A34">
            <v>7648571</v>
          </cell>
          <cell r="B34">
            <v>0</v>
          </cell>
          <cell r="C34">
            <v>0</v>
          </cell>
          <cell r="D34">
            <v>0</v>
          </cell>
          <cell r="E34">
            <v>0</v>
          </cell>
          <cell r="F34">
            <v>329531</v>
          </cell>
          <cell r="G34">
            <v>8413156</v>
          </cell>
          <cell r="H34">
            <v>9.09</v>
          </cell>
          <cell r="I34">
            <v>7648571</v>
          </cell>
          <cell r="J34" t="str">
            <v>2003/2004</v>
          </cell>
          <cell r="K34" t="str">
            <v>NER/D/TSHWANE</v>
          </cell>
          <cell r="L34" t="str">
            <v>City of Tshwane Metropolitan</v>
          </cell>
        </row>
        <row r="36">
          <cell r="A36">
            <v>76</v>
          </cell>
          <cell r="B36">
            <v>0</v>
          </cell>
          <cell r="C36">
            <v>0</v>
          </cell>
          <cell r="D36">
            <v>0.6</v>
          </cell>
          <cell r="E36">
            <v>1.4</v>
          </cell>
          <cell r="F36">
            <v>0</v>
          </cell>
          <cell r="G36">
            <v>84</v>
          </cell>
          <cell r="H36">
            <v>7.14</v>
          </cell>
          <cell r="I36">
            <v>78</v>
          </cell>
          <cell r="J36" t="str">
            <v>2003/2004</v>
          </cell>
          <cell r="K36" t="str">
            <v>NER/D/KZ216</v>
          </cell>
          <cell r="L36" t="str">
            <v>Hibiscus Coast</v>
          </cell>
        </row>
        <row r="37">
          <cell r="A37">
            <v>0</v>
          </cell>
          <cell r="B37">
            <v>0</v>
          </cell>
          <cell r="C37">
            <v>0</v>
          </cell>
          <cell r="D37">
            <v>0</v>
          </cell>
          <cell r="E37">
            <v>45033</v>
          </cell>
          <cell r="F37">
            <v>9615</v>
          </cell>
          <cell r="G37">
            <v>64119</v>
          </cell>
          <cell r="H37">
            <v>29.77</v>
          </cell>
          <cell r="I37">
            <v>45033</v>
          </cell>
          <cell r="J37" t="str">
            <v>2003/2004</v>
          </cell>
          <cell r="K37" t="str">
            <v>NER/D/KZ222</v>
          </cell>
          <cell r="L37" t="str">
            <v>uMngeni</v>
          </cell>
        </row>
        <row r="38">
          <cell r="A38">
            <v>1472770</v>
          </cell>
          <cell r="B38">
            <v>0</v>
          </cell>
          <cell r="C38">
            <v>0</v>
          </cell>
          <cell r="D38">
            <v>9448</v>
          </cell>
          <cell r="E38">
            <v>0</v>
          </cell>
          <cell r="F38">
            <v>64770</v>
          </cell>
          <cell r="G38">
            <v>1648831</v>
          </cell>
          <cell r="H38">
            <v>10.1</v>
          </cell>
          <cell r="I38">
            <v>1482218</v>
          </cell>
          <cell r="J38" t="str">
            <v>2003/2004</v>
          </cell>
          <cell r="K38" t="str">
            <v>NER/D/KZ225</v>
          </cell>
          <cell r="L38" t="str">
            <v>Msunduzi</v>
          </cell>
        </row>
        <row r="39">
          <cell r="A39">
            <v>257525</v>
          </cell>
          <cell r="B39">
            <v>0</v>
          </cell>
          <cell r="C39">
            <v>21</v>
          </cell>
          <cell r="D39">
            <v>362</v>
          </cell>
          <cell r="E39">
            <v>54984</v>
          </cell>
          <cell r="F39">
            <v>15011</v>
          </cell>
          <cell r="G39">
            <v>289876</v>
          </cell>
          <cell r="H39">
            <v>-7.94</v>
          </cell>
          <cell r="I39">
            <v>312892</v>
          </cell>
          <cell r="J39" t="str">
            <v>2003/2004</v>
          </cell>
          <cell r="K39" t="str">
            <v>NER/D/KZ232</v>
          </cell>
          <cell r="L39" t="str">
            <v>Emnambithi-Ladysmith</v>
          </cell>
        </row>
        <row r="40">
          <cell r="A40">
            <v>191283</v>
          </cell>
          <cell r="B40">
            <v>0</v>
          </cell>
          <cell r="C40">
            <v>0</v>
          </cell>
          <cell r="D40">
            <v>3397</v>
          </cell>
          <cell r="E40">
            <v>0</v>
          </cell>
          <cell r="F40">
            <v>8481</v>
          </cell>
          <cell r="G40">
            <v>200656</v>
          </cell>
          <cell r="H40">
            <v>2.98</v>
          </cell>
          <cell r="I40">
            <v>194680</v>
          </cell>
          <cell r="J40" t="str">
            <v>2003/2004</v>
          </cell>
          <cell r="K40" t="str">
            <v>NER/D/KZ234</v>
          </cell>
          <cell r="L40" t="str">
            <v>Umtshezi</v>
          </cell>
        </row>
        <row r="41">
          <cell r="A41">
            <v>603828</v>
          </cell>
          <cell r="B41">
            <v>0</v>
          </cell>
          <cell r="C41">
            <v>0</v>
          </cell>
          <cell r="D41">
            <v>0</v>
          </cell>
          <cell r="E41">
            <v>0</v>
          </cell>
          <cell r="F41">
            <v>13646</v>
          </cell>
          <cell r="G41">
            <v>636689</v>
          </cell>
          <cell r="H41">
            <v>5.16</v>
          </cell>
          <cell r="I41">
            <v>603828</v>
          </cell>
          <cell r="J41" t="str">
            <v>2003/2004</v>
          </cell>
          <cell r="K41" t="str">
            <v>NER/D/KZ252</v>
          </cell>
          <cell r="L41" t="str">
            <v>Newcastle</v>
          </cell>
        </row>
        <row r="42">
          <cell r="A42">
            <v>7426</v>
          </cell>
          <cell r="B42">
            <v>0</v>
          </cell>
          <cell r="C42">
            <v>423</v>
          </cell>
          <cell r="D42">
            <v>446</v>
          </cell>
          <cell r="E42">
            <v>0</v>
          </cell>
          <cell r="F42">
            <v>982</v>
          </cell>
          <cell r="G42">
            <v>10960</v>
          </cell>
          <cell r="H42">
            <v>24.32</v>
          </cell>
          <cell r="I42">
            <v>8295</v>
          </cell>
          <cell r="J42" t="str">
            <v>2003/2004</v>
          </cell>
          <cell r="K42" t="str">
            <v>NER/D/KZ253</v>
          </cell>
          <cell r="L42" t="str">
            <v>Utrecht</v>
          </cell>
        </row>
        <row r="43">
          <cell r="A43">
            <v>100500</v>
          </cell>
          <cell r="B43">
            <v>0</v>
          </cell>
          <cell r="C43">
            <v>5500</v>
          </cell>
          <cell r="D43">
            <v>0</v>
          </cell>
          <cell r="E43">
            <v>0</v>
          </cell>
          <cell r="F43">
            <v>10200</v>
          </cell>
          <cell r="G43">
            <v>137718</v>
          </cell>
          <cell r="H43">
            <v>23.03</v>
          </cell>
          <cell r="I43">
            <v>106000</v>
          </cell>
          <cell r="J43" t="str">
            <v>2003/2004</v>
          </cell>
          <cell r="K43" t="str">
            <v>NER/D/KZ263</v>
          </cell>
          <cell r="L43" t="str">
            <v>Abaqulusi</v>
          </cell>
        </row>
        <row r="44">
          <cell r="A44">
            <v>59624</v>
          </cell>
          <cell r="B44">
            <v>0</v>
          </cell>
          <cell r="C44">
            <v>970</v>
          </cell>
          <cell r="D44">
            <v>980</v>
          </cell>
          <cell r="E44">
            <v>0</v>
          </cell>
          <cell r="F44">
            <v>0</v>
          </cell>
          <cell r="G44">
            <v>66928</v>
          </cell>
          <cell r="H44">
            <v>8</v>
          </cell>
          <cell r="I44">
            <v>61574</v>
          </cell>
          <cell r="J44" t="str">
            <v>2003/2004</v>
          </cell>
          <cell r="K44" t="str">
            <v>Ner/d/kz266</v>
          </cell>
          <cell r="L44" t="str">
            <v>Ulundi</v>
          </cell>
        </row>
        <row r="45">
          <cell r="A45">
            <v>1029864</v>
          </cell>
          <cell r="B45">
            <v>0</v>
          </cell>
          <cell r="C45">
            <v>10222</v>
          </cell>
          <cell r="D45">
            <v>6845</v>
          </cell>
          <cell r="E45">
            <v>129158</v>
          </cell>
          <cell r="F45">
            <v>40404</v>
          </cell>
          <cell r="G45">
            <v>1208811</v>
          </cell>
          <cell r="H45">
            <v>2.71</v>
          </cell>
          <cell r="I45">
            <v>1176089</v>
          </cell>
          <cell r="J45" t="str">
            <v>2003/2004</v>
          </cell>
          <cell r="K45" t="str">
            <v>NER/D/KZ282</v>
          </cell>
          <cell r="L45" t="str">
            <v>uMhlathuze</v>
          </cell>
        </row>
        <row r="46">
          <cell r="A46">
            <v>44080</v>
          </cell>
          <cell r="B46">
            <v>0</v>
          </cell>
          <cell r="C46">
            <v>0</v>
          </cell>
          <cell r="D46">
            <v>0</v>
          </cell>
          <cell r="E46">
            <v>0</v>
          </cell>
          <cell r="F46">
            <v>3566</v>
          </cell>
          <cell r="G46">
            <v>48218</v>
          </cell>
          <cell r="H46">
            <v>8.58</v>
          </cell>
          <cell r="I46">
            <v>44080</v>
          </cell>
          <cell r="J46" t="str">
            <v>2003/2004</v>
          </cell>
          <cell r="K46" t="str">
            <v>NER/D/KZ284</v>
          </cell>
          <cell r="L46" t="str">
            <v>Umlalazi</v>
          </cell>
        </row>
        <row r="47">
          <cell r="A47">
            <v>12043</v>
          </cell>
          <cell r="B47">
            <v>0</v>
          </cell>
          <cell r="C47">
            <v>0</v>
          </cell>
          <cell r="D47">
            <v>0</v>
          </cell>
          <cell r="E47">
            <v>0</v>
          </cell>
          <cell r="F47">
            <v>0</v>
          </cell>
          <cell r="G47">
            <v>13223</v>
          </cell>
          <cell r="H47">
            <v>8.92</v>
          </cell>
          <cell r="I47">
            <v>12043</v>
          </cell>
          <cell r="J47" t="str">
            <v>2003/2004</v>
          </cell>
          <cell r="K47" t="str">
            <v>NER/D/KZ285</v>
          </cell>
          <cell r="L47" t="str">
            <v>Mthonjaneni</v>
          </cell>
        </row>
        <row r="48">
          <cell r="A48">
            <v>0</v>
          </cell>
          <cell r="B48">
            <v>0</v>
          </cell>
          <cell r="C48">
            <v>0</v>
          </cell>
          <cell r="D48">
            <v>0</v>
          </cell>
          <cell r="E48">
            <v>5202</v>
          </cell>
          <cell r="F48">
            <v>0</v>
          </cell>
          <cell r="G48">
            <v>0</v>
          </cell>
          <cell r="H48">
            <v>0</v>
          </cell>
          <cell r="I48">
            <v>5202</v>
          </cell>
          <cell r="J48" t="str">
            <v>2003/2004</v>
          </cell>
          <cell r="K48" t="str">
            <v>NER/D/KZ291</v>
          </cell>
          <cell r="L48" t="str">
            <v>Ndodakusuka</v>
          </cell>
        </row>
        <row r="49">
          <cell r="A49">
            <v>384915</v>
          </cell>
          <cell r="B49">
            <v>0</v>
          </cell>
          <cell r="C49">
            <v>486</v>
          </cell>
          <cell r="D49">
            <v>2641</v>
          </cell>
          <cell r="E49">
            <v>50</v>
          </cell>
          <cell r="F49">
            <v>29900</v>
          </cell>
          <cell r="G49">
            <v>433982</v>
          </cell>
          <cell r="H49">
            <v>10.57</v>
          </cell>
          <cell r="I49">
            <v>388092</v>
          </cell>
          <cell r="J49" t="str">
            <v>2003/2004</v>
          </cell>
          <cell r="K49" t="str">
            <v>NER/D/KZ292</v>
          </cell>
          <cell r="L49" t="str">
            <v>KwaDukuza</v>
          </cell>
        </row>
        <row r="50">
          <cell r="A50">
            <v>26414</v>
          </cell>
          <cell r="B50">
            <v>0</v>
          </cell>
          <cell r="C50">
            <v>0</v>
          </cell>
          <cell r="D50">
            <v>0</v>
          </cell>
          <cell r="E50">
            <v>0</v>
          </cell>
          <cell r="F50">
            <v>0</v>
          </cell>
          <cell r="G50">
            <v>27486</v>
          </cell>
          <cell r="H50">
            <v>3.9</v>
          </cell>
          <cell r="I50">
            <v>26414</v>
          </cell>
          <cell r="J50" t="str">
            <v>2003/2004</v>
          </cell>
          <cell r="K50" t="str">
            <v>NER/D/KZ5a3</v>
          </cell>
          <cell r="L50" t="str">
            <v>Matatiele</v>
          </cell>
        </row>
        <row r="51">
          <cell r="A51">
            <v>56845</v>
          </cell>
          <cell r="B51">
            <v>0</v>
          </cell>
          <cell r="C51">
            <v>5997</v>
          </cell>
          <cell r="D51">
            <v>0</v>
          </cell>
          <cell r="E51">
            <v>1000</v>
          </cell>
          <cell r="F51">
            <v>2798</v>
          </cell>
          <cell r="G51">
            <v>66961</v>
          </cell>
          <cell r="H51">
            <v>4.66</v>
          </cell>
          <cell r="I51">
            <v>63842</v>
          </cell>
          <cell r="J51" t="str">
            <v>2003/2004</v>
          </cell>
          <cell r="K51" t="str">
            <v>NER/D/KZ5a4</v>
          </cell>
          <cell r="L51" t="str">
            <v>Greater Kokstad</v>
          </cell>
        </row>
        <row r="53">
          <cell r="A53">
            <v>92800</v>
          </cell>
          <cell r="B53">
            <v>0</v>
          </cell>
          <cell r="C53">
            <v>0</v>
          </cell>
          <cell r="D53">
            <v>0</v>
          </cell>
          <cell r="E53">
            <v>3525</v>
          </cell>
          <cell r="F53">
            <v>19911</v>
          </cell>
          <cell r="G53">
            <v>114539</v>
          </cell>
          <cell r="H53">
            <v>15.9</v>
          </cell>
          <cell r="I53">
            <v>96325</v>
          </cell>
          <cell r="J53" t="str">
            <v>2003/2004</v>
          </cell>
          <cell r="K53" t="str">
            <v>NER/D/MP302</v>
          </cell>
          <cell r="L53" t="str">
            <v>Msukaligwa</v>
          </cell>
        </row>
        <row r="54">
          <cell r="A54">
            <v>0</v>
          </cell>
          <cell r="B54">
            <v>0</v>
          </cell>
          <cell r="C54">
            <v>0</v>
          </cell>
          <cell r="D54">
            <v>0</v>
          </cell>
          <cell r="E54">
            <v>0</v>
          </cell>
          <cell r="F54">
            <v>0</v>
          </cell>
          <cell r="G54">
            <v>36967</v>
          </cell>
          <cell r="H54">
            <v>100</v>
          </cell>
          <cell r="I54">
            <v>0</v>
          </cell>
          <cell r="J54" t="str">
            <v>2003/2004</v>
          </cell>
          <cell r="K54" t="str">
            <v>NER/D/MP304</v>
          </cell>
          <cell r="L54" t="str">
            <v>Seme</v>
          </cell>
        </row>
        <row r="55">
          <cell r="A55">
            <v>161868</v>
          </cell>
          <cell r="B55">
            <v>0</v>
          </cell>
          <cell r="C55">
            <v>5711</v>
          </cell>
          <cell r="D55">
            <v>0</v>
          </cell>
          <cell r="E55">
            <v>0</v>
          </cell>
          <cell r="F55">
            <v>12416</v>
          </cell>
          <cell r="G55">
            <v>216192</v>
          </cell>
          <cell r="H55">
            <v>22.49</v>
          </cell>
          <cell r="I55">
            <v>167579</v>
          </cell>
          <cell r="J55" t="str">
            <v>2003/2004</v>
          </cell>
          <cell r="K55" t="str">
            <v>NER/D/MP305</v>
          </cell>
          <cell r="L55" t="str">
            <v>Lekwa</v>
          </cell>
        </row>
        <row r="56">
          <cell r="A56">
            <v>0</v>
          </cell>
          <cell r="B56">
            <v>13626</v>
          </cell>
          <cell r="C56">
            <v>11588</v>
          </cell>
          <cell r="D56">
            <v>11531</v>
          </cell>
          <cell r="E56">
            <v>0</v>
          </cell>
          <cell r="F56">
            <v>0</v>
          </cell>
          <cell r="G56">
            <v>399286</v>
          </cell>
          <cell r="H56">
            <v>90.8</v>
          </cell>
          <cell r="I56">
            <v>36745</v>
          </cell>
          <cell r="J56" t="str">
            <v>2003/2004</v>
          </cell>
          <cell r="K56" t="str">
            <v>NER/D/MP307</v>
          </cell>
          <cell r="L56" t="str">
            <v>Govan Mbeki</v>
          </cell>
        </row>
        <row r="57">
          <cell r="A57">
            <v>49077</v>
          </cell>
          <cell r="B57">
            <v>0</v>
          </cell>
          <cell r="C57">
            <v>2146</v>
          </cell>
          <cell r="D57">
            <v>0</v>
          </cell>
          <cell r="E57">
            <v>0</v>
          </cell>
          <cell r="F57">
            <v>6277</v>
          </cell>
          <cell r="G57">
            <v>63353</v>
          </cell>
          <cell r="H57">
            <v>19.149999999999999</v>
          </cell>
          <cell r="I57">
            <v>51223</v>
          </cell>
          <cell r="J57" t="str">
            <v>2003/2004</v>
          </cell>
          <cell r="K57" t="str">
            <v>NER/D/MP311</v>
          </cell>
          <cell r="L57" t="str">
            <v>Delmas</v>
          </cell>
        </row>
        <row r="58">
          <cell r="A58">
            <v>267217</v>
          </cell>
          <cell r="B58">
            <v>0</v>
          </cell>
          <cell r="C58">
            <v>0</v>
          </cell>
          <cell r="D58">
            <v>6039</v>
          </cell>
          <cell r="E58">
            <v>14420</v>
          </cell>
          <cell r="F58">
            <v>25030</v>
          </cell>
          <cell r="G58">
            <v>319283</v>
          </cell>
          <cell r="H58">
            <v>9.9</v>
          </cell>
          <cell r="I58">
            <v>287676</v>
          </cell>
          <cell r="J58" t="str">
            <v>2003/2004</v>
          </cell>
          <cell r="K58" t="str">
            <v>NER/D/MP313</v>
          </cell>
          <cell r="L58" t="str">
            <v>Middelburg</v>
          </cell>
        </row>
        <row r="59">
          <cell r="A59">
            <v>100665</v>
          </cell>
          <cell r="B59">
            <v>0</v>
          </cell>
          <cell r="C59">
            <v>0</v>
          </cell>
          <cell r="D59">
            <v>4410</v>
          </cell>
          <cell r="E59">
            <v>0</v>
          </cell>
          <cell r="F59">
            <v>10649</v>
          </cell>
          <cell r="G59">
            <v>119061</v>
          </cell>
          <cell r="H59">
            <v>11.75</v>
          </cell>
          <cell r="I59">
            <v>105075</v>
          </cell>
          <cell r="J59" t="str">
            <v>2003/2004</v>
          </cell>
          <cell r="K59" t="str">
            <v>NER/D/MP321</v>
          </cell>
          <cell r="L59" t="str">
            <v>Thaba Chweu</v>
          </cell>
        </row>
        <row r="60">
          <cell r="A60">
            <v>386777</v>
          </cell>
          <cell r="B60">
            <v>0</v>
          </cell>
          <cell r="C60">
            <v>9040</v>
          </cell>
          <cell r="D60">
            <v>5132</v>
          </cell>
          <cell r="E60">
            <v>0</v>
          </cell>
          <cell r="F60">
            <v>12330</v>
          </cell>
          <cell r="G60">
            <v>459252</v>
          </cell>
          <cell r="H60">
            <v>12.7</v>
          </cell>
          <cell r="I60">
            <v>400949</v>
          </cell>
          <cell r="J60" t="str">
            <v>2003/2004</v>
          </cell>
          <cell r="K60" t="str">
            <v>NER/D/MP322</v>
          </cell>
          <cell r="L60" t="str">
            <v>Mbombela</v>
          </cell>
        </row>
        <row r="61">
          <cell r="A61">
            <v>55019</v>
          </cell>
          <cell r="B61">
            <v>0</v>
          </cell>
          <cell r="C61">
            <v>2448</v>
          </cell>
          <cell r="D61">
            <v>1776</v>
          </cell>
          <cell r="E61">
            <v>0</v>
          </cell>
          <cell r="F61">
            <v>7632</v>
          </cell>
          <cell r="G61">
            <v>69210</v>
          </cell>
          <cell r="H61">
            <v>14.4</v>
          </cell>
          <cell r="I61">
            <v>59243</v>
          </cell>
          <cell r="J61" t="str">
            <v>2003/2004</v>
          </cell>
          <cell r="K61" t="str">
            <v>NER/D/MP323</v>
          </cell>
          <cell r="L61" t="str">
            <v>Umjindi</v>
          </cell>
        </row>
        <row r="62">
          <cell r="A62">
            <v>3710</v>
          </cell>
          <cell r="B62">
            <v>0</v>
          </cell>
          <cell r="C62">
            <v>4232</v>
          </cell>
          <cell r="D62">
            <v>0</v>
          </cell>
          <cell r="E62">
            <v>0</v>
          </cell>
          <cell r="F62">
            <v>3529</v>
          </cell>
          <cell r="G62">
            <v>10985</v>
          </cell>
          <cell r="H62">
            <v>27.7</v>
          </cell>
          <cell r="I62">
            <v>7942</v>
          </cell>
          <cell r="J62" t="str">
            <v>2003/2004</v>
          </cell>
          <cell r="K62" t="str">
            <v>NER/D/MP324</v>
          </cell>
          <cell r="L62" t="str">
            <v>Nkomazi</v>
          </cell>
        </row>
        <row r="64">
          <cell r="A64">
            <v>299929</v>
          </cell>
          <cell r="B64">
            <v>0</v>
          </cell>
          <cell r="C64">
            <v>0</v>
          </cell>
          <cell r="D64">
            <v>3280</v>
          </cell>
          <cell r="E64">
            <v>15940</v>
          </cell>
          <cell r="F64">
            <v>0</v>
          </cell>
          <cell r="G64">
            <v>344950</v>
          </cell>
          <cell r="H64">
            <v>7.48</v>
          </cell>
          <cell r="I64">
            <v>319149</v>
          </cell>
          <cell r="J64" t="str">
            <v>2003/2004</v>
          </cell>
          <cell r="K64" t="str">
            <v>NER/D/NW372</v>
          </cell>
          <cell r="L64" t="str">
            <v>Madibeng</v>
          </cell>
        </row>
        <row r="65">
          <cell r="A65">
            <v>2031481</v>
          </cell>
          <cell r="B65">
            <v>0</v>
          </cell>
          <cell r="C65">
            <v>0</v>
          </cell>
          <cell r="D65">
            <v>8191</v>
          </cell>
          <cell r="E65">
            <v>11679</v>
          </cell>
          <cell r="F65">
            <v>32746</v>
          </cell>
          <cell r="G65">
            <v>2146054</v>
          </cell>
          <cell r="H65">
            <v>4.41</v>
          </cell>
          <cell r="I65">
            <v>2051351</v>
          </cell>
          <cell r="J65" t="str">
            <v>2003/2004</v>
          </cell>
          <cell r="K65" t="str">
            <v>NER/D/NW373</v>
          </cell>
          <cell r="L65" t="str">
            <v>Rustenburg</v>
          </cell>
        </row>
        <row r="66">
          <cell r="A66">
            <v>95079</v>
          </cell>
          <cell r="B66">
            <v>0</v>
          </cell>
          <cell r="C66">
            <v>138</v>
          </cell>
          <cell r="D66">
            <v>3122</v>
          </cell>
          <cell r="E66">
            <v>7210</v>
          </cell>
          <cell r="F66">
            <v>6226</v>
          </cell>
          <cell r="G66">
            <v>116941</v>
          </cell>
          <cell r="H66">
            <v>9.74</v>
          </cell>
          <cell r="I66">
            <v>105549</v>
          </cell>
          <cell r="J66" t="str">
            <v>2003/2004</v>
          </cell>
          <cell r="K66" t="str">
            <v>NER/D/NW384</v>
          </cell>
          <cell r="L66" t="str">
            <v>Ditsobotla</v>
          </cell>
        </row>
        <row r="67">
          <cell r="A67">
            <v>0</v>
          </cell>
          <cell r="B67">
            <v>0</v>
          </cell>
          <cell r="C67">
            <v>0</v>
          </cell>
          <cell r="D67">
            <v>0</v>
          </cell>
          <cell r="E67">
            <v>0</v>
          </cell>
          <cell r="F67">
            <v>0</v>
          </cell>
          <cell r="G67">
            <v>0</v>
          </cell>
          <cell r="H67">
            <v>0</v>
          </cell>
          <cell r="I67">
            <v>0</v>
          </cell>
          <cell r="J67" t="str">
            <v>2003/2004</v>
          </cell>
          <cell r="K67" t="str">
            <v>NER/D/NW385</v>
          </cell>
          <cell r="L67" t="str">
            <v>Zeerust</v>
          </cell>
        </row>
        <row r="68">
          <cell r="A68">
            <v>0</v>
          </cell>
          <cell r="B68">
            <v>0</v>
          </cell>
          <cell r="C68">
            <v>0</v>
          </cell>
          <cell r="D68">
            <v>0</v>
          </cell>
          <cell r="E68">
            <v>0</v>
          </cell>
          <cell r="F68">
            <v>0</v>
          </cell>
          <cell r="G68">
            <v>0</v>
          </cell>
          <cell r="H68">
            <v>0</v>
          </cell>
          <cell r="I68">
            <v>0</v>
          </cell>
          <cell r="J68" t="str">
            <v>2003/2004</v>
          </cell>
          <cell r="K68" t="str">
            <v>NER/D/NW394</v>
          </cell>
          <cell r="L68" t="str">
            <v>Greater Taung</v>
          </cell>
        </row>
        <row r="69">
          <cell r="A69">
            <v>365818</v>
          </cell>
          <cell r="B69">
            <v>0</v>
          </cell>
          <cell r="C69">
            <v>0</v>
          </cell>
          <cell r="D69">
            <v>6902</v>
          </cell>
          <cell r="E69">
            <v>14607</v>
          </cell>
          <cell r="F69">
            <v>30577</v>
          </cell>
          <cell r="G69">
            <v>423259</v>
          </cell>
          <cell r="H69">
            <v>8.49</v>
          </cell>
          <cell r="I69">
            <v>387327</v>
          </cell>
          <cell r="J69" t="str">
            <v>2003/2004</v>
          </cell>
          <cell r="K69" t="str">
            <v>NER/D/NW402</v>
          </cell>
          <cell r="L69" t="str">
            <v>Potchefstroom</v>
          </cell>
        </row>
        <row r="70">
          <cell r="A70">
            <v>379561</v>
          </cell>
          <cell r="B70">
            <v>0</v>
          </cell>
          <cell r="C70">
            <v>0</v>
          </cell>
          <cell r="D70">
            <v>0</v>
          </cell>
          <cell r="E70">
            <v>0</v>
          </cell>
          <cell r="F70">
            <v>44613</v>
          </cell>
          <cell r="G70">
            <v>527882</v>
          </cell>
          <cell r="H70">
            <v>28.1</v>
          </cell>
          <cell r="I70">
            <v>379561</v>
          </cell>
          <cell r="J70" t="str">
            <v>2003/2004</v>
          </cell>
          <cell r="K70" t="str">
            <v>NER/D/NW403</v>
          </cell>
          <cell r="L70" t="str">
            <v>City Council of Klerksdorp</v>
          </cell>
        </row>
        <row r="72">
          <cell r="A72">
            <v>39220</v>
          </cell>
          <cell r="B72">
            <v>0</v>
          </cell>
          <cell r="C72">
            <v>3500</v>
          </cell>
          <cell r="D72">
            <v>0</v>
          </cell>
          <cell r="E72">
            <v>0</v>
          </cell>
          <cell r="F72">
            <v>0</v>
          </cell>
          <cell r="G72">
            <v>48000</v>
          </cell>
          <cell r="H72">
            <v>0</v>
          </cell>
          <cell r="I72">
            <v>42720</v>
          </cell>
          <cell r="J72" t="str">
            <v>2003/2004</v>
          </cell>
          <cell r="K72" t="str">
            <v>NER/D/NC01b1</v>
          </cell>
          <cell r="L72" t="str">
            <v>Gamagara</v>
          </cell>
        </row>
        <row r="73">
          <cell r="A73">
            <v>9271352</v>
          </cell>
          <cell r="B73">
            <v>0</v>
          </cell>
          <cell r="C73">
            <v>0</v>
          </cell>
          <cell r="D73">
            <v>0</v>
          </cell>
          <cell r="E73">
            <v>0</v>
          </cell>
          <cell r="F73">
            <v>2988</v>
          </cell>
          <cell r="G73">
            <v>9271352</v>
          </cell>
          <cell r="H73">
            <v>0</v>
          </cell>
          <cell r="I73">
            <v>9271352</v>
          </cell>
          <cell r="J73" t="str">
            <v>2003/2004</v>
          </cell>
          <cell r="K73" t="str">
            <v>NER/D/NC061</v>
          </cell>
          <cell r="L73" t="str">
            <v>Richtersveld</v>
          </cell>
        </row>
        <row r="74">
          <cell r="A74">
            <v>29998</v>
          </cell>
          <cell r="B74">
            <v>0</v>
          </cell>
          <cell r="C74">
            <v>0</v>
          </cell>
          <cell r="D74">
            <v>645</v>
          </cell>
          <cell r="E74">
            <v>0</v>
          </cell>
          <cell r="F74">
            <v>5510</v>
          </cell>
          <cell r="G74">
            <v>36081</v>
          </cell>
          <cell r="H74">
            <v>15.07</v>
          </cell>
          <cell r="I74">
            <v>30643</v>
          </cell>
          <cell r="J74" t="str">
            <v>2003/2004</v>
          </cell>
          <cell r="K74" t="str">
            <v>NER/D/NC062</v>
          </cell>
          <cell r="L74" t="str">
            <v>Nama Khoi</v>
          </cell>
        </row>
        <row r="75">
          <cell r="A75">
            <v>4511550</v>
          </cell>
          <cell r="B75">
            <v>0</v>
          </cell>
          <cell r="C75">
            <v>0</v>
          </cell>
          <cell r="D75">
            <v>117520</v>
          </cell>
          <cell r="E75">
            <v>0</v>
          </cell>
          <cell r="F75">
            <v>916</v>
          </cell>
          <cell r="G75">
            <v>4997890</v>
          </cell>
          <cell r="H75">
            <v>7.38</v>
          </cell>
          <cell r="I75">
            <v>4629070</v>
          </cell>
          <cell r="J75" t="str">
            <v>2003/2004</v>
          </cell>
          <cell r="K75" t="str">
            <v>NER/D/NC066</v>
          </cell>
          <cell r="L75" t="str">
            <v>Karoo Hoogland</v>
          </cell>
        </row>
        <row r="76">
          <cell r="A76">
            <v>2825</v>
          </cell>
          <cell r="B76">
            <v>0</v>
          </cell>
          <cell r="C76">
            <v>20</v>
          </cell>
          <cell r="D76">
            <v>211</v>
          </cell>
          <cell r="E76">
            <v>96</v>
          </cell>
          <cell r="F76">
            <v>851</v>
          </cell>
          <cell r="G76">
            <v>3589</v>
          </cell>
          <cell r="H76">
            <v>12.18</v>
          </cell>
          <cell r="I76">
            <v>3152</v>
          </cell>
          <cell r="J76" t="str">
            <v>2003/2004</v>
          </cell>
          <cell r="K76" t="str">
            <v>NER/D/NC067</v>
          </cell>
          <cell r="L76" t="str">
            <v>Khai-Ma</v>
          </cell>
        </row>
        <row r="77">
          <cell r="A77">
            <v>6071</v>
          </cell>
          <cell r="B77">
            <v>0</v>
          </cell>
          <cell r="C77">
            <v>306</v>
          </cell>
          <cell r="D77">
            <v>166</v>
          </cell>
          <cell r="E77">
            <v>0</v>
          </cell>
          <cell r="F77">
            <v>4000</v>
          </cell>
          <cell r="G77">
            <v>10250</v>
          </cell>
          <cell r="H77">
            <v>36.17</v>
          </cell>
          <cell r="I77">
            <v>6543</v>
          </cell>
          <cell r="J77" t="str">
            <v>2003/2004</v>
          </cell>
          <cell r="K77" t="str">
            <v>NER/D/NC071</v>
          </cell>
          <cell r="L77" t="str">
            <v>Ubuntu</v>
          </cell>
        </row>
        <row r="78">
          <cell r="A78">
            <v>5122342</v>
          </cell>
          <cell r="B78">
            <v>0</v>
          </cell>
          <cell r="C78">
            <v>1330</v>
          </cell>
          <cell r="D78">
            <v>207600</v>
          </cell>
          <cell r="E78">
            <v>249391</v>
          </cell>
          <cell r="F78">
            <v>0</v>
          </cell>
          <cell r="G78">
            <v>6188099</v>
          </cell>
          <cell r="H78">
            <v>9.82</v>
          </cell>
          <cell r="I78">
            <v>5580663</v>
          </cell>
          <cell r="J78" t="str">
            <v>2003/2004</v>
          </cell>
          <cell r="K78" t="str">
            <v>NER/D/NC074</v>
          </cell>
          <cell r="L78" t="str">
            <v>Kareeberg</v>
          </cell>
        </row>
        <row r="79">
          <cell r="A79">
            <v>5650</v>
          </cell>
          <cell r="B79">
            <v>0</v>
          </cell>
          <cell r="C79">
            <v>283</v>
          </cell>
          <cell r="D79">
            <v>195</v>
          </cell>
          <cell r="E79">
            <v>0</v>
          </cell>
          <cell r="F79">
            <v>1244</v>
          </cell>
          <cell r="G79">
            <v>6865</v>
          </cell>
          <cell r="H79">
            <v>10.74</v>
          </cell>
          <cell r="I79">
            <v>6128</v>
          </cell>
          <cell r="J79" t="str">
            <v>2003/2004</v>
          </cell>
          <cell r="K79" t="str">
            <v>NER/D/NC075</v>
          </cell>
          <cell r="L79" t="str">
            <v>Renosterberg</v>
          </cell>
        </row>
        <row r="80">
          <cell r="A80">
            <v>7917</v>
          </cell>
          <cell r="B80">
            <v>0</v>
          </cell>
          <cell r="C80">
            <v>561</v>
          </cell>
          <cell r="D80">
            <v>0</v>
          </cell>
          <cell r="E80">
            <v>0</v>
          </cell>
          <cell r="F80">
            <v>495</v>
          </cell>
          <cell r="G80">
            <v>9884</v>
          </cell>
          <cell r="H80">
            <v>14.23</v>
          </cell>
          <cell r="I80">
            <v>8478</v>
          </cell>
          <cell r="J80" t="str">
            <v>2003/2004</v>
          </cell>
          <cell r="K80" t="str">
            <v>NER/D/NC076</v>
          </cell>
          <cell r="L80" t="str">
            <v>Thembelihle</v>
          </cell>
        </row>
        <row r="81">
          <cell r="A81">
            <v>0</v>
          </cell>
          <cell r="B81">
            <v>0</v>
          </cell>
          <cell r="C81">
            <v>0</v>
          </cell>
          <cell r="D81">
            <v>0</v>
          </cell>
          <cell r="E81">
            <v>0</v>
          </cell>
          <cell r="F81">
            <v>0</v>
          </cell>
          <cell r="G81">
            <v>0</v>
          </cell>
          <cell r="H81">
            <v>0</v>
          </cell>
          <cell r="I81">
            <v>0</v>
          </cell>
          <cell r="J81" t="str">
            <v>2003/2004</v>
          </cell>
          <cell r="K81" t="str">
            <v>NER/D/NC078</v>
          </cell>
          <cell r="L81" t="str">
            <v>Siyancuma</v>
          </cell>
        </row>
        <row r="82">
          <cell r="A82">
            <v>118908</v>
          </cell>
          <cell r="B82">
            <v>0</v>
          </cell>
          <cell r="C82">
            <v>11</v>
          </cell>
          <cell r="D82">
            <v>3859</v>
          </cell>
          <cell r="E82">
            <v>10870</v>
          </cell>
          <cell r="F82">
            <v>14901</v>
          </cell>
          <cell r="G82">
            <v>149537</v>
          </cell>
          <cell r="H82">
            <v>10.63</v>
          </cell>
          <cell r="I82">
            <v>133648</v>
          </cell>
          <cell r="J82" t="str">
            <v>2003/2004</v>
          </cell>
          <cell r="K82" t="str">
            <v>NER/D/NC083</v>
          </cell>
          <cell r="L82" t="str">
            <v>Khara Hais</v>
          </cell>
        </row>
        <row r="83">
          <cell r="A83">
            <v>2200</v>
          </cell>
          <cell r="B83">
            <v>0</v>
          </cell>
          <cell r="C83">
            <v>100</v>
          </cell>
          <cell r="D83">
            <v>100</v>
          </cell>
          <cell r="E83">
            <v>0</v>
          </cell>
          <cell r="F83">
            <v>879</v>
          </cell>
          <cell r="G83">
            <v>3253</v>
          </cell>
          <cell r="H83">
            <v>26.22</v>
          </cell>
          <cell r="I83">
            <v>2400</v>
          </cell>
          <cell r="J83" t="str">
            <v>2003/2004</v>
          </cell>
          <cell r="K83" t="str">
            <v>NER/D/NC085</v>
          </cell>
          <cell r="L83" t="str">
            <v>Tsantsabane</v>
          </cell>
        </row>
        <row r="84">
          <cell r="A84">
            <v>9420</v>
          </cell>
          <cell r="B84">
            <v>0</v>
          </cell>
          <cell r="C84">
            <v>0</v>
          </cell>
          <cell r="D84">
            <v>0</v>
          </cell>
          <cell r="E84">
            <v>0</v>
          </cell>
          <cell r="F84">
            <v>2724</v>
          </cell>
          <cell r="G84">
            <v>9890</v>
          </cell>
          <cell r="H84">
            <v>4.75</v>
          </cell>
          <cell r="I84">
            <v>9420</v>
          </cell>
          <cell r="J84" t="str">
            <v>2003/2004</v>
          </cell>
          <cell r="K84" t="str">
            <v>NER/D/NC086</v>
          </cell>
          <cell r="L84" t="str">
            <v>Kgatelopele</v>
          </cell>
        </row>
        <row r="85">
          <cell r="A85">
            <v>190454</v>
          </cell>
          <cell r="B85">
            <v>0</v>
          </cell>
          <cell r="C85">
            <v>0</v>
          </cell>
          <cell r="D85">
            <v>4692</v>
          </cell>
          <cell r="E85">
            <v>0</v>
          </cell>
          <cell r="F85">
            <v>41460</v>
          </cell>
          <cell r="G85">
            <v>239843</v>
          </cell>
          <cell r="H85">
            <v>18.64</v>
          </cell>
          <cell r="I85">
            <v>195146</v>
          </cell>
          <cell r="J85" t="str">
            <v>2003/2004</v>
          </cell>
          <cell r="K85" t="str">
            <v>NER/D/NC091</v>
          </cell>
          <cell r="L85" t="str">
            <v>Sol Plaatjie</v>
          </cell>
        </row>
        <row r="86">
          <cell r="A86">
            <v>9751</v>
          </cell>
          <cell r="B86">
            <v>0</v>
          </cell>
          <cell r="C86">
            <v>177</v>
          </cell>
          <cell r="D86">
            <v>515</v>
          </cell>
          <cell r="E86">
            <v>0</v>
          </cell>
          <cell r="F86">
            <v>812</v>
          </cell>
          <cell r="G86">
            <v>13889</v>
          </cell>
          <cell r="H86">
            <v>24.81</v>
          </cell>
          <cell r="I86">
            <v>10443</v>
          </cell>
          <cell r="J86" t="str">
            <v>2003/2004</v>
          </cell>
          <cell r="K86" t="str">
            <v>NER/D/NC093</v>
          </cell>
          <cell r="L86" t="str">
            <v>Magareng</v>
          </cell>
        </row>
        <row r="88">
          <cell r="A88">
            <v>10000</v>
          </cell>
          <cell r="B88">
            <v>0</v>
          </cell>
          <cell r="C88">
            <v>242</v>
          </cell>
          <cell r="D88">
            <v>0</v>
          </cell>
          <cell r="E88">
            <v>0</v>
          </cell>
          <cell r="F88">
            <v>559</v>
          </cell>
          <cell r="G88">
            <v>14502</v>
          </cell>
          <cell r="H88">
            <v>29.38</v>
          </cell>
          <cell r="I88">
            <v>10242</v>
          </cell>
          <cell r="J88" t="str">
            <v>2003/2004</v>
          </cell>
          <cell r="K88" t="str">
            <v>NER/D/NP332</v>
          </cell>
          <cell r="L88" t="str">
            <v>Greater Letaba</v>
          </cell>
        </row>
        <row r="89">
          <cell r="A89">
            <v>395325</v>
          </cell>
          <cell r="B89">
            <v>0</v>
          </cell>
          <cell r="C89">
            <v>1844</v>
          </cell>
          <cell r="D89">
            <v>1220</v>
          </cell>
          <cell r="E89">
            <v>0</v>
          </cell>
          <cell r="F89">
            <v>6985</v>
          </cell>
          <cell r="G89">
            <v>467180</v>
          </cell>
          <cell r="H89">
            <v>14.72</v>
          </cell>
          <cell r="I89">
            <v>398389</v>
          </cell>
          <cell r="J89" t="str">
            <v>2003/2004</v>
          </cell>
          <cell r="K89" t="str">
            <v>NER/D/NP333</v>
          </cell>
          <cell r="L89" t="str">
            <v>Greater Tzaneen</v>
          </cell>
        </row>
        <row r="90">
          <cell r="A90">
            <v>161592</v>
          </cell>
          <cell r="B90">
            <v>14370</v>
          </cell>
          <cell r="C90">
            <v>0</v>
          </cell>
          <cell r="D90">
            <v>2524</v>
          </cell>
          <cell r="E90">
            <v>10708</v>
          </cell>
          <cell r="F90">
            <v>17050</v>
          </cell>
          <cell r="G90">
            <v>244116</v>
          </cell>
          <cell r="H90">
            <v>22.5</v>
          </cell>
          <cell r="I90">
            <v>189194</v>
          </cell>
          <cell r="J90" t="str">
            <v>2003/2004</v>
          </cell>
          <cell r="K90" t="str">
            <v>NER/D/NP344</v>
          </cell>
          <cell r="L90" t="str">
            <v>Makhado</v>
          </cell>
        </row>
        <row r="91">
          <cell r="A91">
            <v>3000</v>
          </cell>
          <cell r="B91">
            <v>0</v>
          </cell>
          <cell r="C91">
            <v>0</v>
          </cell>
          <cell r="D91">
            <v>0</v>
          </cell>
          <cell r="E91">
            <v>0</v>
          </cell>
          <cell r="F91">
            <v>1250</v>
          </cell>
          <cell r="G91">
            <v>3264</v>
          </cell>
          <cell r="H91">
            <v>8.09</v>
          </cell>
          <cell r="I91">
            <v>3000</v>
          </cell>
          <cell r="J91" t="str">
            <v>2003/2004</v>
          </cell>
          <cell r="K91" t="str">
            <v>NER/D/NP351</v>
          </cell>
          <cell r="L91" t="str">
            <v>Blouberg</v>
          </cell>
        </row>
        <row r="92">
          <cell r="A92">
            <v>5296</v>
          </cell>
          <cell r="B92">
            <v>0</v>
          </cell>
          <cell r="C92">
            <v>0</v>
          </cell>
          <cell r="D92">
            <v>0</v>
          </cell>
          <cell r="E92">
            <v>0</v>
          </cell>
          <cell r="F92">
            <v>10022</v>
          </cell>
          <cell r="G92">
            <v>5376</v>
          </cell>
          <cell r="H92">
            <v>1.49</v>
          </cell>
          <cell r="I92">
            <v>5296</v>
          </cell>
          <cell r="J92" t="str">
            <v>2003/2004</v>
          </cell>
          <cell r="K92" t="str">
            <v>NER/D/NP353</v>
          </cell>
          <cell r="L92" t="str">
            <v>Molemole</v>
          </cell>
        </row>
        <row r="93">
          <cell r="A93">
            <v>40900</v>
          </cell>
          <cell r="B93">
            <v>0</v>
          </cell>
          <cell r="C93">
            <v>0</v>
          </cell>
          <cell r="D93">
            <v>0</v>
          </cell>
          <cell r="E93">
            <v>36000</v>
          </cell>
          <cell r="F93">
            <v>3449</v>
          </cell>
          <cell r="G93">
            <v>404211</v>
          </cell>
          <cell r="H93">
            <v>80.98</v>
          </cell>
          <cell r="I93">
            <v>76900</v>
          </cell>
          <cell r="J93" t="str">
            <v>2003/2004</v>
          </cell>
          <cell r="K93" t="str">
            <v>NER/D/NP361</v>
          </cell>
          <cell r="L93" t="str">
            <v>Thabazimbi</v>
          </cell>
        </row>
        <row r="94">
          <cell r="A94">
            <v>49659</v>
          </cell>
          <cell r="B94">
            <v>0</v>
          </cell>
          <cell r="C94">
            <v>3454</v>
          </cell>
          <cell r="D94">
            <v>0</v>
          </cell>
          <cell r="E94">
            <v>0</v>
          </cell>
          <cell r="F94">
            <v>0</v>
          </cell>
          <cell r="G94">
            <v>56000</v>
          </cell>
          <cell r="H94">
            <v>5.16</v>
          </cell>
          <cell r="I94">
            <v>53113</v>
          </cell>
          <cell r="J94" t="str">
            <v>2003/2004</v>
          </cell>
          <cell r="K94" t="str">
            <v>NER/D/NP362</v>
          </cell>
          <cell r="L94" t="str">
            <v>Lephalale</v>
          </cell>
        </row>
        <row r="95">
          <cell r="A95">
            <v>32394</v>
          </cell>
          <cell r="B95">
            <v>0</v>
          </cell>
          <cell r="C95">
            <v>0</v>
          </cell>
          <cell r="D95">
            <v>777</v>
          </cell>
          <cell r="E95">
            <v>1192</v>
          </cell>
          <cell r="F95">
            <v>2205</v>
          </cell>
          <cell r="G95">
            <v>35221</v>
          </cell>
          <cell r="H95">
            <v>2.44</v>
          </cell>
          <cell r="I95">
            <v>34363</v>
          </cell>
          <cell r="J95" t="str">
            <v>2003/2004</v>
          </cell>
          <cell r="K95" t="str">
            <v>NER/D/NP364</v>
          </cell>
          <cell r="L95" t="str">
            <v>Mookgopong</v>
          </cell>
        </row>
        <row r="96">
          <cell r="A96">
            <v>41357</v>
          </cell>
          <cell r="B96">
            <v>0</v>
          </cell>
          <cell r="C96">
            <v>1322</v>
          </cell>
          <cell r="D96">
            <v>2733</v>
          </cell>
          <cell r="E96">
            <v>0</v>
          </cell>
          <cell r="F96">
            <v>10591</v>
          </cell>
          <cell r="G96">
            <v>70868</v>
          </cell>
          <cell r="H96">
            <v>35.92</v>
          </cell>
          <cell r="I96">
            <v>45412</v>
          </cell>
          <cell r="J96" t="str">
            <v>2003/2004</v>
          </cell>
          <cell r="K96" t="str">
            <v>NER/D/NP366</v>
          </cell>
          <cell r="L96" t="str">
            <v>Bela Bela</v>
          </cell>
        </row>
        <row r="97">
          <cell r="A97">
            <v>147593</v>
          </cell>
          <cell r="B97">
            <v>0</v>
          </cell>
          <cell r="C97">
            <v>6143</v>
          </cell>
          <cell r="D97">
            <v>1384</v>
          </cell>
          <cell r="E97">
            <v>0</v>
          </cell>
          <cell r="F97">
            <v>7870</v>
          </cell>
          <cell r="G97">
            <v>170211</v>
          </cell>
          <cell r="H97">
            <v>8.8699999999999992</v>
          </cell>
          <cell r="I97">
            <v>155120</v>
          </cell>
          <cell r="J97" t="str">
            <v>2003/2004</v>
          </cell>
          <cell r="K97" t="str">
            <v>NER/D/NP367</v>
          </cell>
          <cell r="L97" t="str">
            <v>Mogalakwena</v>
          </cell>
        </row>
        <row r="99">
          <cell r="A99">
            <v>8396623</v>
          </cell>
          <cell r="B99">
            <v>0</v>
          </cell>
          <cell r="C99">
            <v>185348</v>
          </cell>
          <cell r="D99">
            <v>107750</v>
          </cell>
          <cell r="E99">
            <v>192260</v>
          </cell>
          <cell r="F99">
            <v>552110</v>
          </cell>
          <cell r="G99">
            <v>9674623</v>
          </cell>
          <cell r="H99">
            <v>8.19</v>
          </cell>
          <cell r="I99">
            <v>8881981</v>
          </cell>
          <cell r="J99" t="str">
            <v>2003/2004</v>
          </cell>
          <cell r="K99" t="str">
            <v>NER/D/CPT</v>
          </cell>
          <cell r="L99" t="str">
            <v>City of Cape Town</v>
          </cell>
        </row>
        <row r="100">
          <cell r="A100">
            <v>0</v>
          </cell>
          <cell r="B100">
            <v>0</v>
          </cell>
          <cell r="C100">
            <v>0</v>
          </cell>
          <cell r="D100">
            <v>0</v>
          </cell>
          <cell r="E100">
            <v>0</v>
          </cell>
          <cell r="F100">
            <v>0</v>
          </cell>
          <cell r="G100">
            <v>0</v>
          </cell>
          <cell r="H100">
            <v>0</v>
          </cell>
          <cell r="I100">
            <v>0</v>
          </cell>
          <cell r="J100" t="str">
            <v>2003/2004</v>
          </cell>
          <cell r="K100" t="str">
            <v>NER/D/WC012</v>
          </cell>
          <cell r="L100" t="str">
            <v>Cederberg</v>
          </cell>
        </row>
        <row r="101">
          <cell r="A101">
            <v>167521</v>
          </cell>
          <cell r="B101">
            <v>0</v>
          </cell>
          <cell r="C101">
            <v>9</v>
          </cell>
          <cell r="D101">
            <v>2289</v>
          </cell>
          <cell r="E101">
            <v>3799</v>
          </cell>
          <cell r="F101">
            <v>17349</v>
          </cell>
          <cell r="G101">
            <v>194975</v>
          </cell>
          <cell r="H101">
            <v>10.95</v>
          </cell>
          <cell r="I101">
            <v>173618</v>
          </cell>
          <cell r="J101" t="str">
            <v>2003/2004</v>
          </cell>
          <cell r="K101" t="str">
            <v>NER/D/WC014</v>
          </cell>
          <cell r="L101" t="str">
            <v>Saldanha Bay</v>
          </cell>
        </row>
        <row r="102">
          <cell r="A102">
            <v>128642</v>
          </cell>
          <cell r="B102">
            <v>0</v>
          </cell>
          <cell r="C102">
            <v>2520</v>
          </cell>
          <cell r="D102">
            <v>2955</v>
          </cell>
          <cell r="E102">
            <v>0</v>
          </cell>
          <cell r="F102">
            <v>13450</v>
          </cell>
          <cell r="G102">
            <v>142389</v>
          </cell>
          <cell r="H102">
            <v>5.81</v>
          </cell>
          <cell r="I102">
            <v>134117</v>
          </cell>
          <cell r="J102" t="str">
            <v>2003/2004</v>
          </cell>
          <cell r="K102" t="str">
            <v>NER/D/WC015</v>
          </cell>
          <cell r="L102" t="str">
            <v>Swartland</v>
          </cell>
        </row>
        <row r="103">
          <cell r="A103">
            <v>128301</v>
          </cell>
          <cell r="B103">
            <v>0</v>
          </cell>
          <cell r="C103">
            <v>0</v>
          </cell>
          <cell r="D103">
            <v>2007</v>
          </cell>
          <cell r="E103">
            <v>0</v>
          </cell>
          <cell r="F103">
            <v>0</v>
          </cell>
          <cell r="G103">
            <v>154110</v>
          </cell>
          <cell r="H103">
            <v>15.44</v>
          </cell>
          <cell r="I103">
            <v>130308</v>
          </cell>
          <cell r="J103" t="str">
            <v>2003/2004</v>
          </cell>
          <cell r="K103" t="str">
            <v>NER/D/WC022</v>
          </cell>
          <cell r="L103" t="str">
            <v>Witzenberg</v>
          </cell>
        </row>
        <row r="104">
          <cell r="A104">
            <v>228639</v>
          </cell>
          <cell r="B104">
            <v>0</v>
          </cell>
          <cell r="C104">
            <v>4075</v>
          </cell>
          <cell r="D104">
            <v>1600</v>
          </cell>
          <cell r="E104">
            <v>169</v>
          </cell>
          <cell r="F104">
            <v>29077</v>
          </cell>
          <cell r="G104">
            <v>246456</v>
          </cell>
          <cell r="H104">
            <v>0</v>
          </cell>
          <cell r="I104">
            <v>234483</v>
          </cell>
          <cell r="J104" t="str">
            <v>2003/2004</v>
          </cell>
          <cell r="K104" t="str">
            <v>NER/D/WC025</v>
          </cell>
          <cell r="L104" t="str">
            <v>Breede Valley</v>
          </cell>
        </row>
        <row r="105">
          <cell r="A105">
            <v>219749</v>
          </cell>
          <cell r="B105">
            <v>0</v>
          </cell>
          <cell r="C105">
            <v>0</v>
          </cell>
          <cell r="D105">
            <v>3685</v>
          </cell>
          <cell r="E105">
            <v>7128</v>
          </cell>
          <cell r="F105">
            <v>16746</v>
          </cell>
          <cell r="G105">
            <v>250200</v>
          </cell>
          <cell r="H105">
            <v>7.85</v>
          </cell>
          <cell r="I105">
            <v>230562</v>
          </cell>
          <cell r="J105" t="str">
            <v>2003/2004</v>
          </cell>
          <cell r="K105" t="str">
            <v>NER/D/WC026</v>
          </cell>
          <cell r="L105" t="str">
            <v>Breede River/Winelands</v>
          </cell>
        </row>
        <row r="106">
          <cell r="A106">
            <v>48167</v>
          </cell>
          <cell r="B106">
            <v>0</v>
          </cell>
          <cell r="C106">
            <v>0</v>
          </cell>
          <cell r="D106">
            <v>1035</v>
          </cell>
          <cell r="E106">
            <v>998</v>
          </cell>
          <cell r="F106">
            <v>5160</v>
          </cell>
          <cell r="G106">
            <v>55007</v>
          </cell>
          <cell r="H106">
            <v>8.74</v>
          </cell>
          <cell r="I106">
            <v>50200</v>
          </cell>
          <cell r="J106" t="str">
            <v>2003/2004</v>
          </cell>
          <cell r="K106" t="str">
            <v>NER/D/WC031</v>
          </cell>
          <cell r="L106" t="str">
            <v>Theewaterskloof</v>
          </cell>
        </row>
        <row r="107">
          <cell r="A107">
            <v>143435</v>
          </cell>
          <cell r="B107">
            <v>0</v>
          </cell>
          <cell r="C107">
            <v>0</v>
          </cell>
          <cell r="D107">
            <v>2208</v>
          </cell>
          <cell r="E107">
            <v>0</v>
          </cell>
          <cell r="F107">
            <v>0</v>
          </cell>
          <cell r="G107">
            <v>167642</v>
          </cell>
          <cell r="H107">
            <v>13.12</v>
          </cell>
          <cell r="I107">
            <v>145643</v>
          </cell>
          <cell r="J107" t="str">
            <v>2003/2004</v>
          </cell>
          <cell r="K107" t="str">
            <v>NER/D/WC032</v>
          </cell>
          <cell r="L107" t="str">
            <v>Overstrand</v>
          </cell>
        </row>
        <row r="108">
          <cell r="A108">
            <v>44500</v>
          </cell>
          <cell r="B108">
            <v>0</v>
          </cell>
          <cell r="C108">
            <v>1200</v>
          </cell>
          <cell r="D108">
            <v>500</v>
          </cell>
          <cell r="E108">
            <v>0</v>
          </cell>
          <cell r="F108">
            <v>0</v>
          </cell>
          <cell r="G108">
            <v>52000</v>
          </cell>
          <cell r="H108">
            <v>11.15</v>
          </cell>
          <cell r="I108">
            <v>46200</v>
          </cell>
          <cell r="J108" t="str">
            <v>2003/2004</v>
          </cell>
          <cell r="K108" t="str">
            <v>NER/D/WC033</v>
          </cell>
          <cell r="L108" t="str">
            <v>Cape Agulhas</v>
          </cell>
        </row>
        <row r="109">
          <cell r="A109">
            <v>31700</v>
          </cell>
          <cell r="B109">
            <v>0</v>
          </cell>
          <cell r="C109">
            <v>800</v>
          </cell>
          <cell r="D109">
            <v>690</v>
          </cell>
          <cell r="E109">
            <v>1400</v>
          </cell>
          <cell r="F109">
            <v>5090</v>
          </cell>
          <cell r="G109">
            <v>38696</v>
          </cell>
          <cell r="H109">
            <v>10.61</v>
          </cell>
          <cell r="I109">
            <v>34590</v>
          </cell>
          <cell r="J109" t="str">
            <v>2003/2004</v>
          </cell>
          <cell r="K109" t="str">
            <v>NER/D/WC034</v>
          </cell>
          <cell r="L109" t="str">
            <v>Swellendam</v>
          </cell>
        </row>
        <row r="110">
          <cell r="A110">
            <v>63773</v>
          </cell>
          <cell r="B110">
            <v>0</v>
          </cell>
          <cell r="C110">
            <v>41</v>
          </cell>
          <cell r="D110">
            <v>1632</v>
          </cell>
          <cell r="E110">
            <v>3867</v>
          </cell>
          <cell r="F110">
            <v>11309</v>
          </cell>
          <cell r="G110">
            <v>72744</v>
          </cell>
          <cell r="H110">
            <v>4.72</v>
          </cell>
          <cell r="I110">
            <v>69313</v>
          </cell>
          <cell r="J110" t="str">
            <v>2003/2004</v>
          </cell>
          <cell r="K110" t="str">
            <v>NER/D/WC042</v>
          </cell>
          <cell r="L110" t="str">
            <v>Langeberg</v>
          </cell>
        </row>
        <row r="111">
          <cell r="A111">
            <v>195114</v>
          </cell>
          <cell r="B111">
            <v>0</v>
          </cell>
          <cell r="C111">
            <v>75</v>
          </cell>
          <cell r="D111">
            <v>6421</v>
          </cell>
          <cell r="E111">
            <v>11400</v>
          </cell>
          <cell r="F111">
            <v>24106</v>
          </cell>
          <cell r="G111">
            <v>240723</v>
          </cell>
          <cell r="H111">
            <v>11.51</v>
          </cell>
          <cell r="I111">
            <v>213010</v>
          </cell>
          <cell r="J111" t="str">
            <v>2003/2004</v>
          </cell>
          <cell r="K111" t="str">
            <v>NER/D/WC043</v>
          </cell>
          <cell r="L111" t="str">
            <v>Mossel Bay</v>
          </cell>
        </row>
        <row r="112">
          <cell r="A112">
            <v>128233</v>
          </cell>
          <cell r="B112">
            <v>0</v>
          </cell>
          <cell r="C112">
            <v>24</v>
          </cell>
          <cell r="D112">
            <v>4166</v>
          </cell>
          <cell r="E112">
            <v>0</v>
          </cell>
          <cell r="F112">
            <v>13614</v>
          </cell>
          <cell r="G112">
            <v>141591</v>
          </cell>
          <cell r="H112">
            <v>6.47</v>
          </cell>
          <cell r="I112">
            <v>132423</v>
          </cell>
          <cell r="J112" t="str">
            <v>2003/2004</v>
          </cell>
          <cell r="K112" t="str">
            <v>NER/D/WC045</v>
          </cell>
          <cell r="L112" t="str">
            <v>Oudtshoorn</v>
          </cell>
        </row>
        <row r="113">
          <cell r="A113">
            <v>140840</v>
          </cell>
          <cell r="B113">
            <v>0</v>
          </cell>
          <cell r="C113">
            <v>0</v>
          </cell>
          <cell r="D113">
            <v>0</v>
          </cell>
          <cell r="E113">
            <v>5045</v>
          </cell>
          <cell r="F113">
            <v>14483</v>
          </cell>
          <cell r="G113">
            <v>153980</v>
          </cell>
          <cell r="H113">
            <v>5.26</v>
          </cell>
          <cell r="I113">
            <v>145885</v>
          </cell>
          <cell r="J113" t="str">
            <v>2003/2004</v>
          </cell>
          <cell r="K113" t="str">
            <v>NER/D/WC048</v>
          </cell>
          <cell r="L113" t="str">
            <v>Knysna</v>
          </cell>
        </row>
        <row r="114">
          <cell r="A114">
            <v>5020</v>
          </cell>
          <cell r="B114">
            <v>0</v>
          </cell>
          <cell r="C114">
            <v>134</v>
          </cell>
          <cell r="D114">
            <v>55</v>
          </cell>
          <cell r="E114">
            <v>0</v>
          </cell>
          <cell r="F114">
            <v>767</v>
          </cell>
          <cell r="G114">
            <v>5209</v>
          </cell>
          <cell r="H114">
            <v>0</v>
          </cell>
          <cell r="I114">
            <v>5209</v>
          </cell>
          <cell r="J114" t="str">
            <v>2003/2004</v>
          </cell>
          <cell r="K114" t="str">
            <v>NER/D/WC051</v>
          </cell>
          <cell r="L114" t="str">
            <v>Laingsburg</v>
          </cell>
        </row>
        <row r="115">
          <cell r="A115">
            <v>6967</v>
          </cell>
          <cell r="B115">
            <v>0</v>
          </cell>
          <cell r="C115">
            <v>1</v>
          </cell>
          <cell r="D115">
            <v>240</v>
          </cell>
          <cell r="E115">
            <v>80</v>
          </cell>
          <cell r="F115">
            <v>1293</v>
          </cell>
          <cell r="G115">
            <v>7778</v>
          </cell>
          <cell r="H115">
            <v>6.3</v>
          </cell>
          <cell r="I115">
            <v>7288</v>
          </cell>
          <cell r="J115" t="str">
            <v>2003/2004</v>
          </cell>
          <cell r="K115" t="str">
            <v>NER/D/WC052</v>
          </cell>
          <cell r="L115" t="str">
            <v>Prince Albert</v>
          </cell>
        </row>
        <row r="116">
          <cell r="A116">
            <v>0</v>
          </cell>
          <cell r="B116">
            <v>0</v>
          </cell>
          <cell r="C116">
            <v>0</v>
          </cell>
          <cell r="D116">
            <v>0</v>
          </cell>
          <cell r="E116">
            <v>0</v>
          </cell>
          <cell r="F116">
            <v>0</v>
          </cell>
          <cell r="G116">
            <v>0</v>
          </cell>
          <cell r="H116">
            <v>0</v>
          </cell>
          <cell r="I116">
            <v>0</v>
          </cell>
          <cell r="J116" t="str">
            <v>2003/2004</v>
          </cell>
          <cell r="K116" t="str">
            <v>NER/D/WC053</v>
          </cell>
          <cell r="L116" t="str">
            <v>Beaufort West</v>
          </cell>
        </row>
      </sheetData>
      <sheetData sheetId="2">
        <row r="2">
          <cell r="A2" t="str">
            <v>N_O_C_A1</v>
          </cell>
          <cell r="B2" t="str">
            <v>Sales_A1</v>
          </cell>
          <cell r="C2" t="str">
            <v>N_O_C_A2</v>
          </cell>
          <cell r="D2" t="str">
            <v>Sales_A2</v>
          </cell>
          <cell r="E2" t="str">
            <v>N_O_C_A3</v>
          </cell>
          <cell r="F2" t="str">
            <v>Sales_A3</v>
          </cell>
          <cell r="G2" t="str">
            <v>N_O_C_A4</v>
          </cell>
          <cell r="H2" t="str">
            <v>Sales_A4</v>
          </cell>
          <cell r="I2" t="str">
            <v>N_O_C_A5</v>
          </cell>
          <cell r="J2" t="str">
            <v>Sales_A5</v>
          </cell>
          <cell r="K2" t="str">
            <v>N_O_C_A6</v>
          </cell>
          <cell r="L2" t="str">
            <v>Sales_A6</v>
          </cell>
          <cell r="M2" t="str">
            <v>N_O_C_A7</v>
          </cell>
          <cell r="N2" t="str">
            <v>Sales_A7</v>
          </cell>
          <cell r="O2" t="str">
            <v>N_O_C_A8</v>
          </cell>
          <cell r="P2" t="str">
            <v>Sales_A8</v>
          </cell>
          <cell r="Q2" t="str">
            <v>N_O_C_A9</v>
          </cell>
          <cell r="R2" t="str">
            <v>Sales_A9</v>
          </cell>
          <cell r="S2" t="str">
            <v>Total_Sales_A</v>
          </cell>
          <cell r="T2" t="str">
            <v>Total_Sales_B</v>
          </cell>
          <cell r="U2" t="str">
            <v>Total_N_O_C_A</v>
          </cell>
          <cell r="V2" t="str">
            <v>Licence_Number1</v>
          </cell>
          <cell r="W2" t="str">
            <v>F_Year</v>
          </cell>
          <cell r="X2" t="str">
            <v>LicenceNo</v>
          </cell>
          <cell r="Y2" t="str">
            <v>MunicName</v>
          </cell>
        </row>
        <row r="3">
          <cell r="A3">
            <v>5692</v>
          </cell>
          <cell r="B3">
            <v>22246</v>
          </cell>
          <cell r="C3">
            <v>100</v>
          </cell>
          <cell r="D3">
            <v>1646</v>
          </cell>
          <cell r="E3">
            <v>0</v>
          </cell>
          <cell r="F3">
            <v>0</v>
          </cell>
          <cell r="G3">
            <v>14</v>
          </cell>
          <cell r="H3">
            <v>4638</v>
          </cell>
          <cell r="I3">
            <v>543</v>
          </cell>
          <cell r="J3">
            <v>19862</v>
          </cell>
          <cell r="K3">
            <v>0</v>
          </cell>
          <cell r="L3">
            <v>0</v>
          </cell>
          <cell r="M3">
            <v>0</v>
          </cell>
          <cell r="N3">
            <v>0</v>
          </cell>
          <cell r="O3">
            <v>0</v>
          </cell>
          <cell r="P3">
            <v>0</v>
          </cell>
          <cell r="Q3">
            <v>160</v>
          </cell>
          <cell r="R3">
            <v>3294</v>
          </cell>
          <cell r="S3">
            <v>51686</v>
          </cell>
          <cell r="T3">
            <v>57447</v>
          </cell>
          <cell r="U3">
            <v>6509</v>
          </cell>
          <cell r="V3" t="str">
            <v>NER/D/EC101</v>
          </cell>
          <cell r="W3" t="str">
            <v>2003/2004</v>
          </cell>
          <cell r="X3" t="str">
            <v>NER/D/EC101</v>
          </cell>
          <cell r="Y3" t="str">
            <v>Camdeboo</v>
          </cell>
        </row>
        <row r="4">
          <cell r="A4">
            <v>5783</v>
          </cell>
          <cell r="B4">
            <v>16041</v>
          </cell>
          <cell r="C4">
            <v>487</v>
          </cell>
          <cell r="D4">
            <v>7403</v>
          </cell>
          <cell r="E4">
            <v>0</v>
          </cell>
          <cell r="F4">
            <v>0</v>
          </cell>
          <cell r="G4">
            <v>52</v>
          </cell>
          <cell r="H4">
            <v>13697</v>
          </cell>
          <cell r="I4">
            <v>417</v>
          </cell>
          <cell r="J4">
            <v>10982</v>
          </cell>
          <cell r="K4">
            <v>0</v>
          </cell>
          <cell r="L4">
            <v>0</v>
          </cell>
          <cell r="M4">
            <v>0</v>
          </cell>
          <cell r="N4">
            <v>0</v>
          </cell>
          <cell r="O4">
            <v>0</v>
          </cell>
          <cell r="P4">
            <v>0</v>
          </cell>
          <cell r="Q4">
            <v>78</v>
          </cell>
          <cell r="R4">
            <v>1564</v>
          </cell>
          <cell r="S4">
            <v>49687</v>
          </cell>
          <cell r="T4">
            <v>52171</v>
          </cell>
          <cell r="U4">
            <v>6817</v>
          </cell>
          <cell r="V4" t="str">
            <v>NER/D/EC102</v>
          </cell>
          <cell r="W4" t="str">
            <v>2003/2004</v>
          </cell>
          <cell r="X4" t="str">
            <v>NER/D/EC102</v>
          </cell>
          <cell r="Y4" t="str">
            <v>Blue Crane Route</v>
          </cell>
        </row>
        <row r="5">
          <cell r="A5">
            <v>4457</v>
          </cell>
          <cell r="B5">
            <v>29413</v>
          </cell>
          <cell r="C5">
            <v>0</v>
          </cell>
          <cell r="D5">
            <v>0</v>
          </cell>
          <cell r="E5">
            <v>0</v>
          </cell>
          <cell r="F5">
            <v>0</v>
          </cell>
          <cell r="G5">
            <v>0</v>
          </cell>
          <cell r="H5">
            <v>0</v>
          </cell>
          <cell r="I5">
            <v>652</v>
          </cell>
          <cell r="J5">
            <v>50506</v>
          </cell>
          <cell r="K5">
            <v>1</v>
          </cell>
          <cell r="L5">
            <v>82</v>
          </cell>
          <cell r="M5">
            <v>18</v>
          </cell>
          <cell r="N5">
            <v>1423</v>
          </cell>
          <cell r="O5">
            <v>0</v>
          </cell>
          <cell r="P5">
            <v>0</v>
          </cell>
          <cell r="Q5">
            <v>1</v>
          </cell>
          <cell r="R5">
            <v>6326</v>
          </cell>
          <cell r="S5">
            <v>87750</v>
          </cell>
          <cell r="T5">
            <v>92357</v>
          </cell>
          <cell r="U5">
            <v>5129</v>
          </cell>
          <cell r="V5" t="str">
            <v>NER/D/EC104</v>
          </cell>
          <cell r="W5" t="str">
            <v>2003/2004</v>
          </cell>
          <cell r="X5" t="str">
            <v>NER/D/EC104</v>
          </cell>
          <cell r="Y5" t="str">
            <v>Makana</v>
          </cell>
        </row>
        <row r="6">
          <cell r="A6">
            <v>3108</v>
          </cell>
          <cell r="B6">
            <v>33930</v>
          </cell>
          <cell r="C6">
            <v>0</v>
          </cell>
          <cell r="D6">
            <v>0</v>
          </cell>
          <cell r="E6">
            <v>0</v>
          </cell>
          <cell r="F6">
            <v>0</v>
          </cell>
          <cell r="G6">
            <v>0</v>
          </cell>
          <cell r="H6">
            <v>0</v>
          </cell>
          <cell r="I6">
            <v>140</v>
          </cell>
          <cell r="J6">
            <v>0</v>
          </cell>
          <cell r="K6">
            <v>0</v>
          </cell>
          <cell r="L6">
            <v>0</v>
          </cell>
          <cell r="M6">
            <v>3</v>
          </cell>
          <cell r="N6">
            <v>0</v>
          </cell>
          <cell r="O6">
            <v>0</v>
          </cell>
          <cell r="P6">
            <v>0</v>
          </cell>
          <cell r="Q6">
            <v>38</v>
          </cell>
          <cell r="R6">
            <v>0</v>
          </cell>
          <cell r="S6">
            <v>33930</v>
          </cell>
          <cell r="T6">
            <v>34990</v>
          </cell>
          <cell r="U6">
            <v>3289</v>
          </cell>
          <cell r="V6" t="str">
            <v>NER/D/EC105</v>
          </cell>
          <cell r="W6" t="str">
            <v>2003/2004</v>
          </cell>
          <cell r="X6" t="str">
            <v>NER/D/EC105</v>
          </cell>
          <cell r="Y6" t="str">
            <v>Ndlambe</v>
          </cell>
        </row>
        <row r="7">
          <cell r="A7">
            <v>0</v>
          </cell>
          <cell r="B7">
            <v>0</v>
          </cell>
          <cell r="C7">
            <v>0</v>
          </cell>
          <cell r="D7">
            <v>0</v>
          </cell>
          <cell r="E7">
            <v>0</v>
          </cell>
          <cell r="F7">
            <v>0</v>
          </cell>
          <cell r="G7">
            <v>0</v>
          </cell>
          <cell r="H7">
            <v>0</v>
          </cell>
          <cell r="I7">
            <v>0</v>
          </cell>
          <cell r="J7">
            <v>0</v>
          </cell>
          <cell r="K7">
            <v>0</v>
          </cell>
          <cell r="L7">
            <v>0</v>
          </cell>
          <cell r="M7">
            <v>0</v>
          </cell>
          <cell r="N7">
            <v>0</v>
          </cell>
          <cell r="O7">
            <v>0</v>
          </cell>
          <cell r="P7">
            <v>0</v>
          </cell>
          <cell r="Q7">
            <v>0</v>
          </cell>
          <cell r="R7">
            <v>0</v>
          </cell>
          <cell r="S7">
            <v>0</v>
          </cell>
          <cell r="T7">
            <v>0</v>
          </cell>
          <cell r="U7">
            <v>0</v>
          </cell>
          <cell r="V7" t="str">
            <v>NER/D/EC107</v>
          </cell>
          <cell r="W7" t="str">
            <v>2003/2004</v>
          </cell>
          <cell r="X7" t="str">
            <v>NER/D/EC107</v>
          </cell>
          <cell r="Y7" t="str">
            <v>Baviaans</v>
          </cell>
        </row>
        <row r="8">
          <cell r="A8">
            <v>12333</v>
          </cell>
          <cell r="B8">
            <v>57620</v>
          </cell>
          <cell r="C8">
            <v>0</v>
          </cell>
          <cell r="D8">
            <v>0</v>
          </cell>
          <cell r="E8">
            <v>0</v>
          </cell>
          <cell r="F8">
            <v>0</v>
          </cell>
          <cell r="G8">
            <v>0</v>
          </cell>
          <cell r="H8">
            <v>0</v>
          </cell>
          <cell r="I8">
            <v>863</v>
          </cell>
          <cell r="J8">
            <v>46981</v>
          </cell>
          <cell r="K8">
            <v>0</v>
          </cell>
          <cell r="L8">
            <v>0</v>
          </cell>
          <cell r="M8">
            <v>0</v>
          </cell>
          <cell r="N8">
            <v>0</v>
          </cell>
          <cell r="O8">
            <v>0</v>
          </cell>
          <cell r="P8">
            <v>0</v>
          </cell>
          <cell r="Q8">
            <v>0</v>
          </cell>
          <cell r="R8">
            <v>0</v>
          </cell>
          <cell r="S8">
            <v>104601</v>
          </cell>
          <cell r="T8">
            <v>69526</v>
          </cell>
          <cell r="U8">
            <v>13196</v>
          </cell>
          <cell r="V8" t="str">
            <v>NER/D/EC108</v>
          </cell>
          <cell r="W8" t="str">
            <v>2003/2004</v>
          </cell>
          <cell r="X8" t="str">
            <v>NER/D/EC108</v>
          </cell>
          <cell r="Y8" t="str">
            <v>Kouga</v>
          </cell>
        </row>
        <row r="9">
          <cell r="A9">
            <v>106529</v>
          </cell>
          <cell r="B9">
            <v>0</v>
          </cell>
          <cell r="C9">
            <v>0</v>
          </cell>
          <cell r="D9">
            <v>0</v>
          </cell>
          <cell r="E9">
            <v>0</v>
          </cell>
          <cell r="F9">
            <v>0</v>
          </cell>
          <cell r="G9">
            <v>2700</v>
          </cell>
          <cell r="H9">
            <v>0</v>
          </cell>
          <cell r="I9">
            <v>4517</v>
          </cell>
          <cell r="J9">
            <v>0</v>
          </cell>
          <cell r="K9">
            <v>0</v>
          </cell>
          <cell r="L9">
            <v>0</v>
          </cell>
          <cell r="M9">
            <v>0</v>
          </cell>
          <cell r="N9">
            <v>0</v>
          </cell>
          <cell r="O9">
            <v>0</v>
          </cell>
          <cell r="P9">
            <v>0</v>
          </cell>
          <cell r="Q9">
            <v>54</v>
          </cell>
          <cell r="R9">
            <v>0</v>
          </cell>
          <cell r="S9">
            <v>0</v>
          </cell>
          <cell r="T9">
            <v>0</v>
          </cell>
          <cell r="U9">
            <v>113800</v>
          </cell>
          <cell r="V9" t="str">
            <v>NER/D/EC125</v>
          </cell>
          <cell r="W9" t="str">
            <v>2003/2004</v>
          </cell>
          <cell r="X9" t="str">
            <v>NER/D/EC125</v>
          </cell>
          <cell r="Y9" t="str">
            <v>Buffalo City</v>
          </cell>
        </row>
        <row r="10">
          <cell r="A10">
            <v>0</v>
          </cell>
          <cell r="B10">
            <v>0</v>
          </cell>
          <cell r="C10">
            <v>0</v>
          </cell>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t="str">
            <v>NER/D/EC131</v>
          </cell>
          <cell r="W10" t="str">
            <v>2003/2004</v>
          </cell>
          <cell r="X10" t="str">
            <v>NER/D/EC131</v>
          </cell>
          <cell r="Y10" t="str">
            <v>Inxuba Yethemba</v>
          </cell>
        </row>
        <row r="11">
          <cell r="A11">
            <v>2361</v>
          </cell>
          <cell r="B11">
            <v>5330</v>
          </cell>
          <cell r="C11">
            <v>0</v>
          </cell>
          <cell r="D11">
            <v>0</v>
          </cell>
          <cell r="E11">
            <v>0</v>
          </cell>
          <cell r="F11">
            <v>0</v>
          </cell>
          <cell r="G11">
            <v>0</v>
          </cell>
          <cell r="H11">
            <v>0</v>
          </cell>
          <cell r="I11">
            <v>0</v>
          </cell>
          <cell r="J11">
            <v>0</v>
          </cell>
          <cell r="K11">
            <v>0</v>
          </cell>
          <cell r="L11">
            <v>0</v>
          </cell>
          <cell r="M11">
            <v>0</v>
          </cell>
          <cell r="N11">
            <v>0</v>
          </cell>
          <cell r="O11">
            <v>0</v>
          </cell>
          <cell r="P11">
            <v>0</v>
          </cell>
          <cell r="Q11">
            <v>2</v>
          </cell>
          <cell r="R11">
            <v>303</v>
          </cell>
          <cell r="S11">
            <v>5633</v>
          </cell>
          <cell r="T11">
            <v>6226</v>
          </cell>
          <cell r="U11">
            <v>2363</v>
          </cell>
          <cell r="V11" t="str">
            <v>NER/D/EC132</v>
          </cell>
          <cell r="W11" t="str">
            <v>2003/2004</v>
          </cell>
          <cell r="X11" t="str">
            <v>NER/D/EC132</v>
          </cell>
          <cell r="Y11" t="str">
            <v>Tsolwana</v>
          </cell>
        </row>
        <row r="12">
          <cell r="A12">
            <v>1395</v>
          </cell>
          <cell r="B12">
            <v>4700</v>
          </cell>
          <cell r="C12">
            <v>4</v>
          </cell>
          <cell r="D12">
            <v>10</v>
          </cell>
          <cell r="E12">
            <v>0</v>
          </cell>
          <cell r="F12">
            <v>0</v>
          </cell>
          <cell r="G12">
            <v>3</v>
          </cell>
          <cell r="H12">
            <v>80</v>
          </cell>
          <cell r="I12">
            <v>102</v>
          </cell>
          <cell r="J12">
            <v>0</v>
          </cell>
          <cell r="K12">
            <v>1</v>
          </cell>
          <cell r="L12">
            <v>10</v>
          </cell>
          <cell r="M12">
            <v>7</v>
          </cell>
          <cell r="N12">
            <v>0</v>
          </cell>
          <cell r="O12">
            <v>0</v>
          </cell>
          <cell r="P12">
            <v>0</v>
          </cell>
          <cell r="Q12">
            <v>0</v>
          </cell>
          <cell r="R12">
            <v>12</v>
          </cell>
          <cell r="S12">
            <v>4812</v>
          </cell>
          <cell r="T12">
            <v>5110</v>
          </cell>
          <cell r="U12">
            <v>1512</v>
          </cell>
          <cell r="V12" t="str">
            <v>NER/D/EC133</v>
          </cell>
          <cell r="W12" t="str">
            <v>2003/2004</v>
          </cell>
          <cell r="X12" t="str">
            <v>NER/D/EC133</v>
          </cell>
          <cell r="Y12" t="str">
            <v>Inkwanca</v>
          </cell>
        </row>
        <row r="13">
          <cell r="A13">
            <v>1295</v>
          </cell>
          <cell r="B13">
            <v>0</v>
          </cell>
          <cell r="C13">
            <v>0</v>
          </cell>
          <cell r="D13">
            <v>0</v>
          </cell>
          <cell r="E13">
            <v>0</v>
          </cell>
          <cell r="F13">
            <v>0</v>
          </cell>
          <cell r="G13">
            <v>0</v>
          </cell>
          <cell r="H13">
            <v>0</v>
          </cell>
          <cell r="I13">
            <v>390</v>
          </cell>
          <cell r="J13">
            <v>17529</v>
          </cell>
          <cell r="K13">
            <v>0</v>
          </cell>
          <cell r="L13">
            <v>0</v>
          </cell>
          <cell r="M13">
            <v>0</v>
          </cell>
          <cell r="N13">
            <v>0</v>
          </cell>
          <cell r="O13">
            <v>0</v>
          </cell>
          <cell r="P13">
            <v>0</v>
          </cell>
          <cell r="Q13">
            <v>15</v>
          </cell>
          <cell r="R13">
            <v>0</v>
          </cell>
          <cell r="S13">
            <v>17529</v>
          </cell>
          <cell r="T13">
            <v>17000</v>
          </cell>
          <cell r="U13">
            <v>1700</v>
          </cell>
          <cell r="V13" t="str">
            <v>NER/D/EC142</v>
          </cell>
          <cell r="W13" t="str">
            <v>2003/2004</v>
          </cell>
          <cell r="X13" t="str">
            <v>NER/D/EC142</v>
          </cell>
          <cell r="Y13" t="str">
            <v>Senqu</v>
          </cell>
        </row>
        <row r="14">
          <cell r="A14">
            <v>2198</v>
          </cell>
          <cell r="B14">
            <v>11578</v>
          </cell>
          <cell r="C14">
            <v>17</v>
          </cell>
          <cell r="D14">
            <v>1266</v>
          </cell>
          <cell r="E14">
            <v>0</v>
          </cell>
          <cell r="F14">
            <v>0</v>
          </cell>
          <cell r="G14">
            <v>8</v>
          </cell>
          <cell r="H14">
            <v>2115</v>
          </cell>
          <cell r="I14">
            <v>132</v>
          </cell>
          <cell r="J14">
            <v>2852</v>
          </cell>
          <cell r="K14">
            <v>0</v>
          </cell>
          <cell r="L14">
            <v>0</v>
          </cell>
          <cell r="M14">
            <v>0</v>
          </cell>
          <cell r="N14">
            <v>0</v>
          </cell>
          <cell r="O14">
            <v>0</v>
          </cell>
          <cell r="P14">
            <v>0</v>
          </cell>
          <cell r="Q14">
            <v>139</v>
          </cell>
          <cell r="R14">
            <v>1487</v>
          </cell>
          <cell r="S14">
            <v>19298</v>
          </cell>
          <cell r="T14">
            <v>20909</v>
          </cell>
          <cell r="U14">
            <v>2494</v>
          </cell>
          <cell r="V14" t="str">
            <v>NER/D/EC144</v>
          </cell>
          <cell r="W14" t="str">
            <v>2003/2004</v>
          </cell>
          <cell r="X14" t="str">
            <v>NER/D/EC144</v>
          </cell>
          <cell r="Y14" t="str">
            <v>Gariep</v>
          </cell>
        </row>
        <row r="15">
          <cell r="U15">
            <v>156809</v>
          </cell>
        </row>
        <row r="16">
          <cell r="A16">
            <v>7460</v>
          </cell>
          <cell r="B16">
            <v>13818</v>
          </cell>
          <cell r="C16">
            <v>0</v>
          </cell>
          <cell r="D16">
            <v>0</v>
          </cell>
          <cell r="E16">
            <v>0</v>
          </cell>
          <cell r="F16">
            <v>0</v>
          </cell>
          <cell r="G16">
            <v>0</v>
          </cell>
          <cell r="H16">
            <v>0</v>
          </cell>
          <cell r="I16">
            <v>224</v>
          </cell>
          <cell r="J16">
            <v>427</v>
          </cell>
          <cell r="K16">
            <v>0</v>
          </cell>
          <cell r="L16">
            <v>0</v>
          </cell>
          <cell r="M16">
            <v>0</v>
          </cell>
          <cell r="N16">
            <v>0</v>
          </cell>
          <cell r="O16">
            <v>0</v>
          </cell>
          <cell r="P16">
            <v>0</v>
          </cell>
          <cell r="Q16">
            <v>30</v>
          </cell>
          <cell r="R16">
            <v>1614</v>
          </cell>
          <cell r="S16">
            <v>15859</v>
          </cell>
          <cell r="T16">
            <v>19250</v>
          </cell>
          <cell r="U16">
            <v>7714</v>
          </cell>
          <cell r="V16" t="str">
            <v>NER/D/FS161</v>
          </cell>
          <cell r="W16" t="str">
            <v>2003/2004</v>
          </cell>
          <cell r="X16" t="str">
            <v>NER/D/FS161</v>
          </cell>
          <cell r="Y16" t="str">
            <v>Letsemeng</v>
          </cell>
        </row>
        <row r="17">
          <cell r="A17">
            <v>5919</v>
          </cell>
          <cell r="B17">
            <v>20246</v>
          </cell>
          <cell r="C17">
            <v>0</v>
          </cell>
          <cell r="D17">
            <v>0</v>
          </cell>
          <cell r="E17">
            <v>0</v>
          </cell>
          <cell r="F17">
            <v>0</v>
          </cell>
          <cell r="G17">
            <v>22</v>
          </cell>
          <cell r="H17">
            <v>5109</v>
          </cell>
          <cell r="I17">
            <v>117</v>
          </cell>
          <cell r="J17">
            <v>2839</v>
          </cell>
          <cell r="K17">
            <v>0</v>
          </cell>
          <cell r="L17">
            <v>0</v>
          </cell>
          <cell r="M17">
            <v>0</v>
          </cell>
          <cell r="N17">
            <v>0</v>
          </cell>
          <cell r="O17">
            <v>0</v>
          </cell>
          <cell r="P17">
            <v>0</v>
          </cell>
          <cell r="Q17">
            <v>145</v>
          </cell>
          <cell r="R17">
            <v>3826</v>
          </cell>
          <cell r="S17">
            <v>32020</v>
          </cell>
          <cell r="T17">
            <v>33423</v>
          </cell>
          <cell r="U17">
            <v>6203</v>
          </cell>
          <cell r="V17" t="str">
            <v>NER/D/FS162</v>
          </cell>
          <cell r="W17" t="str">
            <v>2003/2004</v>
          </cell>
          <cell r="X17" t="str">
            <v>NER/D/FS162</v>
          </cell>
          <cell r="Y17" t="str">
            <v>Kopanong</v>
          </cell>
        </row>
        <row r="18">
          <cell r="A18">
            <v>1928</v>
          </cell>
          <cell r="B18">
            <v>8597</v>
          </cell>
          <cell r="C18">
            <v>0</v>
          </cell>
          <cell r="D18">
            <v>0</v>
          </cell>
          <cell r="E18">
            <v>0</v>
          </cell>
          <cell r="F18">
            <v>0</v>
          </cell>
          <cell r="G18">
            <v>8</v>
          </cell>
          <cell r="H18">
            <v>871</v>
          </cell>
          <cell r="I18">
            <v>52</v>
          </cell>
          <cell r="J18">
            <v>1188</v>
          </cell>
          <cell r="K18">
            <v>0</v>
          </cell>
          <cell r="L18">
            <v>0</v>
          </cell>
          <cell r="M18">
            <v>0</v>
          </cell>
          <cell r="N18">
            <v>0</v>
          </cell>
          <cell r="O18">
            <v>0</v>
          </cell>
          <cell r="P18">
            <v>0</v>
          </cell>
          <cell r="Q18">
            <v>37</v>
          </cell>
          <cell r="R18">
            <v>1519</v>
          </cell>
          <cell r="S18">
            <v>12175</v>
          </cell>
          <cell r="T18">
            <v>13502</v>
          </cell>
          <cell r="U18">
            <v>2025</v>
          </cell>
          <cell r="V18" t="str">
            <v>NER/D/FS163</v>
          </cell>
          <cell r="W18" t="str">
            <v>2003/2004</v>
          </cell>
          <cell r="X18" t="str">
            <v>NER/D/FS163</v>
          </cell>
          <cell r="Y18" t="str">
            <v>Mohokare</v>
          </cell>
        </row>
        <row r="19">
          <cell r="A19">
            <v>2645</v>
          </cell>
          <cell r="B19">
            <v>7481</v>
          </cell>
          <cell r="C19">
            <v>0</v>
          </cell>
          <cell r="D19">
            <v>0</v>
          </cell>
          <cell r="E19">
            <v>0</v>
          </cell>
          <cell r="F19">
            <v>0</v>
          </cell>
          <cell r="G19">
            <v>7</v>
          </cell>
          <cell r="H19">
            <v>1737</v>
          </cell>
          <cell r="I19">
            <v>36</v>
          </cell>
          <cell r="J19">
            <v>1974</v>
          </cell>
          <cell r="K19">
            <v>0</v>
          </cell>
          <cell r="L19">
            <v>0</v>
          </cell>
          <cell r="M19">
            <v>0</v>
          </cell>
          <cell r="N19">
            <v>0</v>
          </cell>
          <cell r="O19">
            <v>0</v>
          </cell>
          <cell r="P19">
            <v>0</v>
          </cell>
          <cell r="Q19">
            <v>37</v>
          </cell>
          <cell r="R19">
            <v>843</v>
          </cell>
          <cell r="S19">
            <v>12035</v>
          </cell>
          <cell r="T19">
            <v>12293</v>
          </cell>
          <cell r="U19">
            <v>2725</v>
          </cell>
          <cell r="V19" t="str">
            <v>NER/D/FS171</v>
          </cell>
          <cell r="W19" t="str">
            <v>2003/2004</v>
          </cell>
          <cell r="X19" t="str">
            <v>NER/D/FS171</v>
          </cell>
          <cell r="Y19" t="str">
            <v>Naledi</v>
          </cell>
        </row>
        <row r="20">
          <cell r="A20">
            <v>132367</v>
          </cell>
          <cell r="B20">
            <v>618242</v>
          </cell>
          <cell r="C20">
            <v>0</v>
          </cell>
          <cell r="D20">
            <v>0</v>
          </cell>
          <cell r="E20">
            <v>0</v>
          </cell>
          <cell r="F20">
            <v>0</v>
          </cell>
          <cell r="G20">
            <v>578</v>
          </cell>
          <cell r="H20">
            <v>594901</v>
          </cell>
          <cell r="I20">
            <v>0</v>
          </cell>
          <cell r="J20">
            <v>0</v>
          </cell>
          <cell r="K20">
            <v>0</v>
          </cell>
          <cell r="L20">
            <v>0</v>
          </cell>
          <cell r="M20">
            <v>0</v>
          </cell>
          <cell r="N20">
            <v>0</v>
          </cell>
          <cell r="O20">
            <v>0</v>
          </cell>
          <cell r="P20">
            <v>0</v>
          </cell>
          <cell r="Q20">
            <v>190</v>
          </cell>
          <cell r="R20">
            <v>25675</v>
          </cell>
          <cell r="S20">
            <v>1238818</v>
          </cell>
          <cell r="T20">
            <v>1273429</v>
          </cell>
          <cell r="U20">
            <v>133135</v>
          </cell>
          <cell r="V20" t="str">
            <v>NER/D/FS172</v>
          </cell>
          <cell r="W20" t="str">
            <v>2003/2004</v>
          </cell>
          <cell r="X20" t="str">
            <v>NER/D/FS172</v>
          </cell>
          <cell r="Y20" t="str">
            <v>Mangaung</v>
          </cell>
        </row>
        <row r="21">
          <cell r="A21">
            <v>0</v>
          </cell>
          <cell r="B21">
            <v>0</v>
          </cell>
          <cell r="C21">
            <v>0</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t="str">
            <v>NER/D/FS173</v>
          </cell>
          <cell r="W21" t="str">
            <v>2003/2004</v>
          </cell>
          <cell r="X21" t="str">
            <v>NER/D/FS173</v>
          </cell>
          <cell r="Y21" t="str">
            <v>Mantsopa</v>
          </cell>
        </row>
        <row r="22">
          <cell r="A22">
            <v>28283</v>
          </cell>
          <cell r="B22">
            <v>213413</v>
          </cell>
          <cell r="C22">
            <v>0</v>
          </cell>
          <cell r="D22">
            <v>0</v>
          </cell>
          <cell r="E22">
            <v>0</v>
          </cell>
          <cell r="F22">
            <v>0</v>
          </cell>
          <cell r="G22">
            <v>181</v>
          </cell>
          <cell r="H22">
            <v>189169</v>
          </cell>
          <cell r="I22">
            <v>2528</v>
          </cell>
          <cell r="J22">
            <v>71672</v>
          </cell>
          <cell r="K22">
            <v>0</v>
          </cell>
          <cell r="L22">
            <v>0</v>
          </cell>
          <cell r="M22">
            <v>0</v>
          </cell>
          <cell r="N22">
            <v>0</v>
          </cell>
          <cell r="O22">
            <v>0</v>
          </cell>
          <cell r="P22">
            <v>0</v>
          </cell>
          <cell r="Q22">
            <v>207</v>
          </cell>
          <cell r="R22">
            <v>15571</v>
          </cell>
          <cell r="S22">
            <v>489825</v>
          </cell>
          <cell r="T22">
            <v>489825</v>
          </cell>
          <cell r="U22">
            <v>31199</v>
          </cell>
          <cell r="V22" t="str">
            <v>NER/D/FS184</v>
          </cell>
          <cell r="W22" t="str">
            <v>2003/2004</v>
          </cell>
          <cell r="X22" t="str">
            <v>NER/D/FS184</v>
          </cell>
          <cell r="Y22" t="str">
            <v>Matjhabeng</v>
          </cell>
        </row>
        <row r="23">
          <cell r="A23">
            <v>16111</v>
          </cell>
          <cell r="B23">
            <v>45005</v>
          </cell>
          <cell r="C23">
            <v>0</v>
          </cell>
          <cell r="D23">
            <v>0</v>
          </cell>
          <cell r="E23">
            <v>0</v>
          </cell>
          <cell r="F23">
            <v>0</v>
          </cell>
          <cell r="G23">
            <v>36</v>
          </cell>
          <cell r="H23">
            <v>6541</v>
          </cell>
          <cell r="I23">
            <v>465</v>
          </cell>
          <cell r="J23">
            <v>5691</v>
          </cell>
          <cell r="K23">
            <v>0</v>
          </cell>
          <cell r="L23">
            <v>0</v>
          </cell>
          <cell r="M23">
            <v>0</v>
          </cell>
          <cell r="N23">
            <v>0</v>
          </cell>
          <cell r="O23">
            <v>0</v>
          </cell>
          <cell r="P23">
            <v>0</v>
          </cell>
          <cell r="Q23">
            <v>50</v>
          </cell>
          <cell r="R23">
            <v>821</v>
          </cell>
          <cell r="S23">
            <v>58058</v>
          </cell>
          <cell r="T23">
            <v>70400</v>
          </cell>
          <cell r="U23">
            <v>16662</v>
          </cell>
          <cell r="V23" t="str">
            <v>NER/D/FS185</v>
          </cell>
          <cell r="W23" t="str">
            <v>2003/2004</v>
          </cell>
          <cell r="X23" t="str">
            <v>NER/D/FS185</v>
          </cell>
          <cell r="Y23" t="str">
            <v>Nala</v>
          </cell>
        </row>
        <row r="24">
          <cell r="A24">
            <v>6311</v>
          </cell>
          <cell r="B24">
            <v>41961</v>
          </cell>
          <cell r="C24">
            <v>0</v>
          </cell>
          <cell r="D24">
            <v>0</v>
          </cell>
          <cell r="E24">
            <v>0</v>
          </cell>
          <cell r="F24">
            <v>0</v>
          </cell>
          <cell r="G24">
            <v>77</v>
          </cell>
          <cell r="H24">
            <v>60492</v>
          </cell>
          <cell r="I24">
            <v>1414</v>
          </cell>
          <cell r="J24">
            <v>27239</v>
          </cell>
          <cell r="K24">
            <v>0</v>
          </cell>
          <cell r="L24">
            <v>0</v>
          </cell>
          <cell r="M24">
            <v>0</v>
          </cell>
          <cell r="N24">
            <v>0</v>
          </cell>
          <cell r="O24">
            <v>0</v>
          </cell>
          <cell r="P24">
            <v>0</v>
          </cell>
          <cell r="Q24">
            <v>0</v>
          </cell>
          <cell r="R24">
            <v>0</v>
          </cell>
          <cell r="S24">
            <v>129692</v>
          </cell>
          <cell r="T24">
            <v>129876</v>
          </cell>
          <cell r="U24">
            <v>7802</v>
          </cell>
          <cell r="V24" t="str">
            <v>NER/d/FS192</v>
          </cell>
          <cell r="W24" t="str">
            <v>2003/2004</v>
          </cell>
          <cell r="X24" t="str">
            <v>NER/D/FS192</v>
          </cell>
          <cell r="Y24" t="str">
            <v>Dihlabeng</v>
          </cell>
        </row>
        <row r="25">
          <cell r="A25">
            <v>0</v>
          </cell>
          <cell r="B25">
            <v>0</v>
          </cell>
          <cell r="C25">
            <v>0</v>
          </cell>
          <cell r="D25">
            <v>0</v>
          </cell>
          <cell r="E25">
            <v>0</v>
          </cell>
          <cell r="F25">
            <v>0</v>
          </cell>
          <cell r="G25">
            <v>0</v>
          </cell>
          <cell r="H25">
            <v>0</v>
          </cell>
          <cell r="I25">
            <v>65</v>
          </cell>
          <cell r="J25">
            <v>5</v>
          </cell>
          <cell r="K25">
            <v>0</v>
          </cell>
          <cell r="L25">
            <v>0</v>
          </cell>
          <cell r="M25">
            <v>0</v>
          </cell>
          <cell r="N25">
            <v>0</v>
          </cell>
          <cell r="O25">
            <v>0</v>
          </cell>
          <cell r="P25">
            <v>0</v>
          </cell>
          <cell r="Q25">
            <v>0</v>
          </cell>
          <cell r="R25">
            <v>0</v>
          </cell>
          <cell r="S25">
            <v>5</v>
          </cell>
          <cell r="T25">
            <v>6</v>
          </cell>
          <cell r="U25">
            <v>65</v>
          </cell>
          <cell r="V25" t="str">
            <v>NER/D/FS193</v>
          </cell>
          <cell r="W25" t="str">
            <v>2003/2004</v>
          </cell>
          <cell r="X25" t="str">
            <v>NER/D/FS193</v>
          </cell>
          <cell r="Y25" t="str">
            <v>Nketoana</v>
          </cell>
        </row>
        <row r="26">
          <cell r="A26">
            <v>61714</v>
          </cell>
          <cell r="B26">
            <v>170699</v>
          </cell>
          <cell r="C26">
            <v>0</v>
          </cell>
          <cell r="D26">
            <v>0</v>
          </cell>
          <cell r="E26">
            <v>0</v>
          </cell>
          <cell r="F26">
            <v>0</v>
          </cell>
          <cell r="G26">
            <v>394</v>
          </cell>
          <cell r="H26">
            <v>103758</v>
          </cell>
          <cell r="I26">
            <v>1195</v>
          </cell>
          <cell r="J26">
            <v>60246</v>
          </cell>
          <cell r="K26">
            <v>0</v>
          </cell>
          <cell r="L26">
            <v>0</v>
          </cell>
          <cell r="M26">
            <v>0</v>
          </cell>
          <cell r="N26">
            <v>0</v>
          </cell>
          <cell r="O26">
            <v>0</v>
          </cell>
          <cell r="P26">
            <v>0</v>
          </cell>
          <cell r="Q26">
            <v>0</v>
          </cell>
          <cell r="R26">
            <v>0</v>
          </cell>
          <cell r="S26">
            <v>334703</v>
          </cell>
          <cell r="T26">
            <v>342374</v>
          </cell>
          <cell r="U26">
            <v>63303</v>
          </cell>
          <cell r="V26" t="str">
            <v>NER/D/FS194</v>
          </cell>
          <cell r="W26" t="str">
            <v>2003/2004</v>
          </cell>
          <cell r="X26" t="str">
            <v>NER/D/FS194</v>
          </cell>
          <cell r="Y26" t="str">
            <v>Maluti a Phofung</v>
          </cell>
        </row>
        <row r="27">
          <cell r="A27">
            <v>25031</v>
          </cell>
          <cell r="B27">
            <v>16840</v>
          </cell>
          <cell r="C27">
            <v>0</v>
          </cell>
          <cell r="D27">
            <v>0</v>
          </cell>
          <cell r="E27">
            <v>0</v>
          </cell>
          <cell r="F27">
            <v>0</v>
          </cell>
          <cell r="G27">
            <v>0</v>
          </cell>
          <cell r="H27">
            <v>0</v>
          </cell>
          <cell r="I27">
            <v>151</v>
          </cell>
          <cell r="J27">
            <v>1821</v>
          </cell>
          <cell r="K27">
            <v>0</v>
          </cell>
          <cell r="L27">
            <v>0</v>
          </cell>
          <cell r="M27">
            <v>0</v>
          </cell>
          <cell r="N27">
            <v>0</v>
          </cell>
          <cell r="O27">
            <v>0</v>
          </cell>
          <cell r="P27">
            <v>0</v>
          </cell>
          <cell r="Q27">
            <v>0</v>
          </cell>
          <cell r="R27">
            <v>1</v>
          </cell>
          <cell r="S27">
            <v>18662</v>
          </cell>
          <cell r="T27">
            <v>18943</v>
          </cell>
          <cell r="U27">
            <v>25182</v>
          </cell>
          <cell r="V27" t="str">
            <v>NER/D/FS204</v>
          </cell>
          <cell r="W27" t="str">
            <v>2003/2004</v>
          </cell>
          <cell r="X27" t="str">
            <v>NER/D/FS204</v>
          </cell>
          <cell r="Y27" t="str">
            <v>Metsimaholo</v>
          </cell>
        </row>
        <row r="29">
          <cell r="A29">
            <v>4290</v>
          </cell>
          <cell r="B29">
            <v>13110</v>
          </cell>
          <cell r="C29">
            <v>0</v>
          </cell>
          <cell r="D29">
            <v>0</v>
          </cell>
          <cell r="E29">
            <v>0</v>
          </cell>
          <cell r="F29">
            <v>0</v>
          </cell>
          <cell r="G29">
            <v>0</v>
          </cell>
          <cell r="H29">
            <v>0</v>
          </cell>
          <cell r="I29">
            <v>31</v>
          </cell>
          <cell r="J29">
            <v>700</v>
          </cell>
          <cell r="K29">
            <v>0</v>
          </cell>
          <cell r="L29">
            <v>0</v>
          </cell>
          <cell r="M29">
            <v>0</v>
          </cell>
          <cell r="N29">
            <v>0</v>
          </cell>
          <cell r="O29">
            <v>0</v>
          </cell>
          <cell r="P29">
            <v>0</v>
          </cell>
          <cell r="Q29">
            <v>16</v>
          </cell>
          <cell r="R29">
            <v>691</v>
          </cell>
          <cell r="S29">
            <v>14501</v>
          </cell>
          <cell r="T29">
            <v>14800</v>
          </cell>
          <cell r="U29">
            <v>4337</v>
          </cell>
          <cell r="V29" t="str">
            <v>NER/D/GT02b1</v>
          </cell>
          <cell r="W29" t="str">
            <v>2003/2004</v>
          </cell>
          <cell r="X29" t="str">
            <v>NER/D/GT02b1</v>
          </cell>
          <cell r="Y29" t="str">
            <v>Nokeng Tsa Taemane</v>
          </cell>
        </row>
        <row r="30">
          <cell r="A30">
            <v>17790</v>
          </cell>
          <cell r="B30">
            <v>124</v>
          </cell>
          <cell r="C30">
            <v>0</v>
          </cell>
          <cell r="D30">
            <v>0</v>
          </cell>
          <cell r="E30">
            <v>0</v>
          </cell>
          <cell r="F30">
            <v>0</v>
          </cell>
          <cell r="G30">
            <v>220</v>
          </cell>
          <cell r="H30">
            <v>104</v>
          </cell>
          <cell r="I30">
            <v>1265</v>
          </cell>
          <cell r="J30">
            <v>46</v>
          </cell>
          <cell r="K30">
            <v>0</v>
          </cell>
          <cell r="L30">
            <v>0</v>
          </cell>
          <cell r="M30">
            <v>0</v>
          </cell>
          <cell r="N30">
            <v>0</v>
          </cell>
          <cell r="O30">
            <v>0</v>
          </cell>
          <cell r="P30">
            <v>0</v>
          </cell>
          <cell r="Q30">
            <v>60</v>
          </cell>
          <cell r="R30">
            <v>181</v>
          </cell>
          <cell r="S30">
            <v>455</v>
          </cell>
          <cell r="T30">
            <v>238</v>
          </cell>
          <cell r="U30">
            <v>19335</v>
          </cell>
          <cell r="V30" t="str">
            <v>NER/D/CBLC8</v>
          </cell>
          <cell r="W30" t="str">
            <v>2003/2004</v>
          </cell>
          <cell r="X30" t="str">
            <v>NER/D/CBLC8</v>
          </cell>
          <cell r="Y30" t="str">
            <v>Merafong City</v>
          </cell>
        </row>
        <row r="31">
          <cell r="A31">
            <v>26734</v>
          </cell>
          <cell r="B31">
            <v>295656</v>
          </cell>
          <cell r="C31">
            <v>0</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295656</v>
          </cell>
          <cell r="T31">
            <v>0</v>
          </cell>
          <cell r="U31">
            <v>26734</v>
          </cell>
          <cell r="V31" t="str">
            <v>NER/D/GT412</v>
          </cell>
          <cell r="W31" t="str">
            <v>2003/2004</v>
          </cell>
          <cell r="X31" t="str">
            <v>NER/D/GT412</v>
          </cell>
          <cell r="Y31" t="str">
            <v>Randfontein</v>
          </cell>
        </row>
        <row r="32">
          <cell r="A32">
            <v>13738</v>
          </cell>
          <cell r="B32">
            <v>63146320</v>
          </cell>
          <cell r="C32">
            <v>65</v>
          </cell>
          <cell r="D32">
            <v>3276406</v>
          </cell>
          <cell r="E32">
            <v>0</v>
          </cell>
          <cell r="F32">
            <v>0</v>
          </cell>
          <cell r="G32">
            <v>70</v>
          </cell>
          <cell r="H32">
            <v>67756931</v>
          </cell>
          <cell r="I32">
            <v>555</v>
          </cell>
          <cell r="J32">
            <v>9251973</v>
          </cell>
          <cell r="K32">
            <v>0</v>
          </cell>
          <cell r="L32">
            <v>0</v>
          </cell>
          <cell r="M32">
            <v>65</v>
          </cell>
          <cell r="N32">
            <v>3108836</v>
          </cell>
          <cell r="O32">
            <v>0</v>
          </cell>
          <cell r="P32">
            <v>0</v>
          </cell>
          <cell r="Q32">
            <v>291</v>
          </cell>
          <cell r="R32">
            <v>5666848</v>
          </cell>
          <cell r="S32">
            <v>152207314</v>
          </cell>
          <cell r="T32">
            <v>145516090</v>
          </cell>
          <cell r="U32">
            <v>14784</v>
          </cell>
          <cell r="V32" t="str">
            <v>NER/D/GT423</v>
          </cell>
          <cell r="W32" t="str">
            <v>2003/2004</v>
          </cell>
          <cell r="X32" t="str">
            <v>NER/D/GT423</v>
          </cell>
          <cell r="Y32" t="str">
            <v>Lesedi</v>
          </cell>
        </row>
        <row r="33">
          <cell r="A33">
            <v>290230</v>
          </cell>
          <cell r="B33">
            <v>3622356</v>
          </cell>
          <cell r="C33">
            <v>3620</v>
          </cell>
          <cell r="D33">
            <v>46253</v>
          </cell>
          <cell r="E33">
            <v>1</v>
          </cell>
          <cell r="F33">
            <v>179267</v>
          </cell>
          <cell r="G33">
            <v>4013</v>
          </cell>
          <cell r="H33">
            <v>4529898</v>
          </cell>
          <cell r="I33">
            <v>15246</v>
          </cell>
          <cell r="J33">
            <v>565116</v>
          </cell>
          <cell r="K33">
            <v>115</v>
          </cell>
          <cell r="L33">
            <v>6011</v>
          </cell>
          <cell r="M33">
            <v>1100</v>
          </cell>
          <cell r="N33">
            <v>27211</v>
          </cell>
          <cell r="O33">
            <v>0</v>
          </cell>
          <cell r="P33">
            <v>0</v>
          </cell>
          <cell r="Q33">
            <v>2586</v>
          </cell>
          <cell r="R33">
            <v>246091</v>
          </cell>
          <cell r="S33">
            <v>9222203</v>
          </cell>
          <cell r="T33">
            <v>9403864</v>
          </cell>
          <cell r="U33">
            <v>316911</v>
          </cell>
          <cell r="V33" t="str">
            <v>NER/D/RHULENI</v>
          </cell>
          <cell r="W33" t="str">
            <v>2003/2004</v>
          </cell>
          <cell r="X33" t="str">
            <v>NER/D/RHULENI</v>
          </cell>
          <cell r="Y33" t="str">
            <v>Ekurhuleni Metropolitan</v>
          </cell>
        </row>
        <row r="34">
          <cell r="A34">
            <v>278424</v>
          </cell>
          <cell r="B34">
            <v>4033736</v>
          </cell>
          <cell r="C34">
            <v>28</v>
          </cell>
          <cell r="D34">
            <v>142</v>
          </cell>
          <cell r="E34">
            <v>0</v>
          </cell>
          <cell r="F34">
            <v>0</v>
          </cell>
          <cell r="G34">
            <v>0</v>
          </cell>
          <cell r="H34">
            <v>0</v>
          </cell>
          <cell r="I34">
            <v>16946</v>
          </cell>
          <cell r="J34">
            <v>5427153</v>
          </cell>
          <cell r="K34">
            <v>0</v>
          </cell>
          <cell r="L34">
            <v>0</v>
          </cell>
          <cell r="M34">
            <v>0</v>
          </cell>
          <cell r="N34">
            <v>0</v>
          </cell>
          <cell r="O34">
            <v>0</v>
          </cell>
          <cell r="P34">
            <v>0</v>
          </cell>
          <cell r="Q34">
            <v>0</v>
          </cell>
          <cell r="R34">
            <v>0</v>
          </cell>
          <cell r="S34">
            <v>9461031</v>
          </cell>
          <cell r="T34">
            <v>10478836</v>
          </cell>
          <cell r="U34">
            <v>295398</v>
          </cell>
          <cell r="V34" t="str">
            <v>NER/D/JHB</v>
          </cell>
          <cell r="W34" t="str">
            <v>2003/2004</v>
          </cell>
          <cell r="X34" t="str">
            <v>NER/D/JHB</v>
          </cell>
          <cell r="Y34" t="str">
            <v>City of Johannesburg Metropolitan</v>
          </cell>
        </row>
        <row r="35">
          <cell r="A35">
            <v>316652</v>
          </cell>
          <cell r="B35">
            <v>2957767</v>
          </cell>
          <cell r="C35">
            <v>4696</v>
          </cell>
          <cell r="D35">
            <v>142448</v>
          </cell>
          <cell r="E35">
            <v>0</v>
          </cell>
          <cell r="F35">
            <v>0</v>
          </cell>
          <cell r="G35">
            <v>829</v>
          </cell>
          <cell r="H35">
            <v>3364416</v>
          </cell>
          <cell r="I35">
            <v>7354</v>
          </cell>
          <cell r="J35">
            <v>1183940</v>
          </cell>
          <cell r="K35">
            <v>0</v>
          </cell>
          <cell r="L35">
            <v>0</v>
          </cell>
          <cell r="M35">
            <v>0</v>
          </cell>
          <cell r="N35">
            <v>0</v>
          </cell>
          <cell r="O35">
            <v>0</v>
          </cell>
          <cell r="P35">
            <v>0</v>
          </cell>
          <cell r="Q35">
            <v>0</v>
          </cell>
          <cell r="R35">
            <v>0</v>
          </cell>
          <cell r="S35">
            <v>7648571</v>
          </cell>
          <cell r="T35">
            <v>8749124</v>
          </cell>
          <cell r="U35">
            <v>329531</v>
          </cell>
          <cell r="V35" t="str">
            <v>NER/D/TSHWANE</v>
          </cell>
          <cell r="W35" t="str">
            <v>2003/2004</v>
          </cell>
          <cell r="X35" t="str">
            <v>NER/D/TSHWANE</v>
          </cell>
          <cell r="Y35" t="str">
            <v>City of Tshwane Metropolitan</v>
          </cell>
        </row>
        <row r="37">
          <cell r="A37">
            <v>0</v>
          </cell>
          <cell r="B37">
            <v>0</v>
          </cell>
          <cell r="C37">
            <v>0</v>
          </cell>
          <cell r="D37">
            <v>0</v>
          </cell>
          <cell r="E37">
            <v>0</v>
          </cell>
          <cell r="F37">
            <v>0</v>
          </cell>
          <cell r="G37">
            <v>0</v>
          </cell>
          <cell r="H37">
            <v>0</v>
          </cell>
          <cell r="I37">
            <v>0</v>
          </cell>
          <cell r="J37">
            <v>0</v>
          </cell>
          <cell r="K37">
            <v>0</v>
          </cell>
          <cell r="L37">
            <v>0</v>
          </cell>
          <cell r="M37">
            <v>3068</v>
          </cell>
          <cell r="N37">
            <v>76</v>
          </cell>
          <cell r="O37">
            <v>0</v>
          </cell>
          <cell r="P37">
            <v>0</v>
          </cell>
          <cell r="Q37">
            <v>60</v>
          </cell>
          <cell r="R37">
            <v>2</v>
          </cell>
          <cell r="S37">
            <v>78</v>
          </cell>
          <cell r="T37">
            <v>80</v>
          </cell>
          <cell r="U37">
            <v>3128</v>
          </cell>
          <cell r="V37" t="str">
            <v>NER/D/KZ216</v>
          </cell>
          <cell r="W37" t="str">
            <v>2003/2004</v>
          </cell>
          <cell r="X37" t="str">
            <v>NER/D/KZ216</v>
          </cell>
          <cell r="Y37" t="str">
            <v>Hibiscus Coast</v>
          </cell>
        </row>
        <row r="38">
          <cell r="A38">
            <v>9194</v>
          </cell>
          <cell r="B38">
            <v>37673</v>
          </cell>
          <cell r="C38">
            <v>0</v>
          </cell>
          <cell r="D38">
            <v>0</v>
          </cell>
          <cell r="E38">
            <v>0</v>
          </cell>
          <cell r="F38">
            <v>0</v>
          </cell>
          <cell r="G38">
            <v>0</v>
          </cell>
          <cell r="H38">
            <v>0</v>
          </cell>
          <cell r="I38">
            <v>421</v>
          </cell>
          <cell r="J38">
            <v>7360</v>
          </cell>
          <cell r="K38">
            <v>0</v>
          </cell>
          <cell r="L38">
            <v>0</v>
          </cell>
          <cell r="M38">
            <v>0</v>
          </cell>
          <cell r="N38">
            <v>0</v>
          </cell>
          <cell r="O38">
            <v>0</v>
          </cell>
          <cell r="P38">
            <v>0</v>
          </cell>
          <cell r="Q38">
            <v>0</v>
          </cell>
          <cell r="R38">
            <v>0</v>
          </cell>
          <cell r="S38">
            <v>45033</v>
          </cell>
          <cell r="T38">
            <v>45933</v>
          </cell>
          <cell r="U38">
            <v>9615</v>
          </cell>
          <cell r="V38" t="str">
            <v>NER/D/KZ222</v>
          </cell>
          <cell r="W38" t="str">
            <v>2003/2004</v>
          </cell>
          <cell r="X38" t="str">
            <v>NER/D/KZ222</v>
          </cell>
          <cell r="Y38" t="str">
            <v>uMngeni</v>
          </cell>
        </row>
        <row r="39">
          <cell r="A39">
            <v>57415</v>
          </cell>
          <cell r="B39">
            <v>413080</v>
          </cell>
          <cell r="C39">
            <v>0</v>
          </cell>
          <cell r="D39">
            <v>0</v>
          </cell>
          <cell r="E39">
            <v>0</v>
          </cell>
          <cell r="F39">
            <v>0</v>
          </cell>
          <cell r="G39">
            <v>7355</v>
          </cell>
          <cell r="H39">
            <v>1059690</v>
          </cell>
          <cell r="I39">
            <v>0</v>
          </cell>
          <cell r="J39">
            <v>0</v>
          </cell>
          <cell r="K39">
            <v>0</v>
          </cell>
          <cell r="L39">
            <v>0</v>
          </cell>
          <cell r="M39">
            <v>0</v>
          </cell>
          <cell r="N39">
            <v>0</v>
          </cell>
          <cell r="O39">
            <v>0</v>
          </cell>
          <cell r="P39">
            <v>0</v>
          </cell>
          <cell r="Q39">
            <v>0</v>
          </cell>
          <cell r="R39">
            <v>9448</v>
          </cell>
          <cell r="S39">
            <v>1482218</v>
          </cell>
          <cell r="T39">
            <v>1505942</v>
          </cell>
          <cell r="U39">
            <v>64770</v>
          </cell>
          <cell r="V39" t="str">
            <v>NER/D/KZ225</v>
          </cell>
          <cell r="W39" t="str">
            <v>2003/2004</v>
          </cell>
          <cell r="X39" t="str">
            <v>NER/D/KZ225</v>
          </cell>
          <cell r="Y39" t="str">
            <v>Msunduzi</v>
          </cell>
        </row>
        <row r="40">
          <cell r="A40">
            <v>13607</v>
          </cell>
          <cell r="B40">
            <v>81121</v>
          </cell>
          <cell r="C40">
            <v>0</v>
          </cell>
          <cell r="D40">
            <v>0</v>
          </cell>
          <cell r="E40">
            <v>0</v>
          </cell>
          <cell r="F40">
            <v>0</v>
          </cell>
          <cell r="G40">
            <v>79</v>
          </cell>
          <cell r="H40">
            <v>148900</v>
          </cell>
          <cell r="I40">
            <v>1294</v>
          </cell>
          <cell r="J40">
            <v>27429</v>
          </cell>
          <cell r="K40">
            <v>0</v>
          </cell>
          <cell r="L40">
            <v>0</v>
          </cell>
          <cell r="M40">
            <v>31</v>
          </cell>
          <cell r="N40">
            <v>75</v>
          </cell>
          <cell r="O40">
            <v>0</v>
          </cell>
          <cell r="P40">
            <v>0</v>
          </cell>
          <cell r="Q40">
            <v>0</v>
          </cell>
          <cell r="R40">
            <v>0</v>
          </cell>
          <cell r="S40">
            <v>257525</v>
          </cell>
          <cell r="T40">
            <v>0</v>
          </cell>
          <cell r="U40">
            <v>15011</v>
          </cell>
          <cell r="V40" t="str">
            <v>NER/D/KZ232</v>
          </cell>
          <cell r="W40" t="str">
            <v>2003/2004</v>
          </cell>
          <cell r="X40" t="str">
            <v>NER/D/KZ232</v>
          </cell>
          <cell r="Y40" t="str">
            <v>Emnambithi-Ladysmith</v>
          </cell>
        </row>
        <row r="41">
          <cell r="A41">
            <v>7403</v>
          </cell>
          <cell r="B41">
            <v>35830</v>
          </cell>
          <cell r="C41">
            <v>0</v>
          </cell>
          <cell r="D41">
            <v>0</v>
          </cell>
          <cell r="E41">
            <v>0</v>
          </cell>
          <cell r="F41">
            <v>0</v>
          </cell>
          <cell r="G41">
            <v>27</v>
          </cell>
          <cell r="H41">
            <v>142524</v>
          </cell>
          <cell r="I41">
            <v>1050</v>
          </cell>
          <cell r="J41">
            <v>12929</v>
          </cell>
          <cell r="K41">
            <v>0</v>
          </cell>
          <cell r="L41">
            <v>0</v>
          </cell>
          <cell r="M41">
            <v>0</v>
          </cell>
          <cell r="N41">
            <v>0</v>
          </cell>
          <cell r="O41">
            <v>0</v>
          </cell>
          <cell r="P41">
            <v>0</v>
          </cell>
          <cell r="Q41">
            <v>1</v>
          </cell>
          <cell r="R41">
            <v>3397</v>
          </cell>
          <cell r="S41">
            <v>194680</v>
          </cell>
          <cell r="T41">
            <v>202500</v>
          </cell>
          <cell r="U41">
            <v>8481</v>
          </cell>
          <cell r="V41" t="str">
            <v>NER/D/KZ234</v>
          </cell>
          <cell r="W41" t="str">
            <v>2003/2004</v>
          </cell>
          <cell r="X41" t="str">
            <v>NER/D/KZ234</v>
          </cell>
          <cell r="Y41" t="str">
            <v>Umtshezi</v>
          </cell>
        </row>
        <row r="42">
          <cell r="A42">
            <v>11477</v>
          </cell>
          <cell r="B42">
            <v>106886</v>
          </cell>
          <cell r="C42">
            <v>0</v>
          </cell>
          <cell r="D42">
            <v>0</v>
          </cell>
          <cell r="E42">
            <v>0</v>
          </cell>
          <cell r="F42">
            <v>0</v>
          </cell>
          <cell r="G42">
            <v>110</v>
          </cell>
          <cell r="H42">
            <v>446073</v>
          </cell>
          <cell r="I42">
            <v>2059</v>
          </cell>
          <cell r="J42">
            <v>50869</v>
          </cell>
          <cell r="K42">
            <v>0</v>
          </cell>
          <cell r="L42">
            <v>0</v>
          </cell>
          <cell r="M42">
            <v>0</v>
          </cell>
          <cell r="N42">
            <v>0</v>
          </cell>
          <cell r="O42">
            <v>0</v>
          </cell>
          <cell r="P42">
            <v>0</v>
          </cell>
          <cell r="Q42">
            <v>0</v>
          </cell>
          <cell r="R42">
            <v>0</v>
          </cell>
          <cell r="S42">
            <v>603828</v>
          </cell>
          <cell r="T42">
            <v>0</v>
          </cell>
          <cell r="U42">
            <v>13646</v>
          </cell>
          <cell r="V42" t="str">
            <v>NER/D/KZ252</v>
          </cell>
          <cell r="W42" t="str">
            <v>2003/2004</v>
          </cell>
          <cell r="X42" t="str">
            <v>NER/D/KZ252</v>
          </cell>
          <cell r="Y42" t="str">
            <v>Newcastle</v>
          </cell>
        </row>
        <row r="43">
          <cell r="A43">
            <v>885</v>
          </cell>
          <cell r="B43">
            <v>4123</v>
          </cell>
          <cell r="C43">
            <v>0</v>
          </cell>
          <cell r="D43">
            <v>0</v>
          </cell>
          <cell r="E43">
            <v>4</v>
          </cell>
          <cell r="F43">
            <v>492</v>
          </cell>
          <cell r="G43">
            <v>2</v>
          </cell>
          <cell r="H43">
            <v>843</v>
          </cell>
          <cell r="I43">
            <v>78</v>
          </cell>
          <cell r="J43">
            <v>1968</v>
          </cell>
          <cell r="K43">
            <v>0</v>
          </cell>
          <cell r="L43">
            <v>0</v>
          </cell>
          <cell r="M43">
            <v>0</v>
          </cell>
          <cell r="N43">
            <v>0</v>
          </cell>
          <cell r="O43">
            <v>0</v>
          </cell>
          <cell r="P43">
            <v>0</v>
          </cell>
          <cell r="Q43">
            <v>13</v>
          </cell>
          <cell r="R43">
            <v>869</v>
          </cell>
          <cell r="S43">
            <v>8295</v>
          </cell>
          <cell r="T43">
            <v>8212</v>
          </cell>
          <cell r="U43">
            <v>982</v>
          </cell>
          <cell r="V43" t="str">
            <v>NER/D/KZ253</v>
          </cell>
          <cell r="W43" t="str">
            <v>2003/2004</v>
          </cell>
          <cell r="X43" t="str">
            <v>NER/D/KZ253</v>
          </cell>
          <cell r="Y43" t="str">
            <v>Utrecht</v>
          </cell>
        </row>
        <row r="44">
          <cell r="A44">
            <v>7915</v>
          </cell>
          <cell r="B44">
            <v>558</v>
          </cell>
          <cell r="C44">
            <v>0</v>
          </cell>
          <cell r="D44">
            <v>0</v>
          </cell>
          <cell r="E44">
            <v>1</v>
          </cell>
          <cell r="F44">
            <v>63</v>
          </cell>
          <cell r="G44">
            <v>0</v>
          </cell>
          <cell r="H44">
            <v>0</v>
          </cell>
          <cell r="I44">
            <v>816</v>
          </cell>
          <cell r="J44">
            <v>384</v>
          </cell>
          <cell r="K44">
            <v>0</v>
          </cell>
          <cell r="L44">
            <v>0</v>
          </cell>
          <cell r="M44">
            <v>0</v>
          </cell>
          <cell r="N44">
            <v>0</v>
          </cell>
          <cell r="O44">
            <v>0</v>
          </cell>
          <cell r="P44">
            <v>0</v>
          </cell>
          <cell r="Q44">
            <v>46</v>
          </cell>
          <cell r="R44">
            <v>55</v>
          </cell>
          <cell r="S44">
            <v>1060</v>
          </cell>
          <cell r="T44">
            <v>0</v>
          </cell>
          <cell r="U44">
            <v>8778</v>
          </cell>
          <cell r="V44" t="str">
            <v>NER/D/KZ263</v>
          </cell>
          <cell r="W44" t="str">
            <v>2003/2004</v>
          </cell>
          <cell r="X44" t="str">
            <v>NER/D/KZ263</v>
          </cell>
          <cell r="Y44" t="str">
            <v>Abaqulusi</v>
          </cell>
        </row>
        <row r="45">
          <cell r="A45">
            <v>15606</v>
          </cell>
          <cell r="B45">
            <v>28812</v>
          </cell>
          <cell r="C45">
            <v>0</v>
          </cell>
          <cell r="D45">
            <v>0</v>
          </cell>
          <cell r="E45">
            <v>0</v>
          </cell>
          <cell r="F45">
            <v>0</v>
          </cell>
          <cell r="G45">
            <v>0</v>
          </cell>
          <cell r="H45">
            <v>0</v>
          </cell>
          <cell r="I45">
            <v>192</v>
          </cell>
          <cell r="J45">
            <v>18472</v>
          </cell>
          <cell r="K45">
            <v>0</v>
          </cell>
          <cell r="L45">
            <v>0</v>
          </cell>
          <cell r="M45">
            <v>2</v>
          </cell>
          <cell r="N45">
            <v>12340</v>
          </cell>
          <cell r="O45">
            <v>0</v>
          </cell>
          <cell r="P45">
            <v>0</v>
          </cell>
          <cell r="Q45">
            <v>0</v>
          </cell>
          <cell r="R45">
            <v>1950</v>
          </cell>
          <cell r="S45">
            <v>61574</v>
          </cell>
          <cell r="T45">
            <v>64400</v>
          </cell>
          <cell r="U45">
            <v>15800</v>
          </cell>
          <cell r="V45" t="str">
            <v>Ner/d/kz266</v>
          </cell>
          <cell r="W45" t="str">
            <v>2003/2004</v>
          </cell>
          <cell r="X45" t="str">
            <v>NER/D/KZ266</v>
          </cell>
          <cell r="Y45" t="str">
            <v>Ulundi</v>
          </cell>
        </row>
        <row r="46">
          <cell r="A46">
            <v>25638</v>
          </cell>
          <cell r="B46">
            <v>196282</v>
          </cell>
          <cell r="C46">
            <v>117</v>
          </cell>
          <cell r="D46">
            <v>4.5499999999999999E-2</v>
          </cell>
          <cell r="E46">
            <v>0</v>
          </cell>
          <cell r="F46">
            <v>0</v>
          </cell>
          <cell r="G46">
            <v>67</v>
          </cell>
          <cell r="H46">
            <v>601276</v>
          </cell>
          <cell r="I46">
            <v>1908</v>
          </cell>
          <cell r="J46">
            <v>109667</v>
          </cell>
          <cell r="K46">
            <v>3</v>
          </cell>
          <cell r="L46">
            <v>185822</v>
          </cell>
          <cell r="M46">
            <v>772</v>
          </cell>
          <cell r="N46">
            <v>30697</v>
          </cell>
          <cell r="O46">
            <v>0</v>
          </cell>
          <cell r="P46">
            <v>0</v>
          </cell>
          <cell r="Q46">
            <v>11899</v>
          </cell>
          <cell r="R46">
            <v>6845</v>
          </cell>
          <cell r="S46">
            <v>1130589</v>
          </cell>
          <cell r="T46">
            <v>1067862</v>
          </cell>
          <cell r="U46">
            <v>40404</v>
          </cell>
          <cell r="V46" t="str">
            <v>NER/D/KZ282</v>
          </cell>
          <cell r="W46" t="str">
            <v>2003/2004</v>
          </cell>
          <cell r="X46" t="str">
            <v>NER/D/KZ282</v>
          </cell>
          <cell r="Y46" t="str">
            <v>uMhlathuze</v>
          </cell>
        </row>
        <row r="47">
          <cell r="A47">
            <v>3299</v>
          </cell>
          <cell r="B47">
            <v>13599</v>
          </cell>
          <cell r="C47">
            <v>13</v>
          </cell>
          <cell r="D47">
            <v>573</v>
          </cell>
          <cell r="E47">
            <v>0</v>
          </cell>
          <cell r="F47">
            <v>0</v>
          </cell>
          <cell r="G47">
            <v>0</v>
          </cell>
          <cell r="H47">
            <v>0</v>
          </cell>
          <cell r="I47">
            <v>22</v>
          </cell>
          <cell r="J47">
            <v>1283</v>
          </cell>
          <cell r="K47">
            <v>211</v>
          </cell>
          <cell r="L47">
            <v>28625</v>
          </cell>
          <cell r="M47">
            <v>0</v>
          </cell>
          <cell r="N47">
            <v>0</v>
          </cell>
          <cell r="O47">
            <v>0</v>
          </cell>
          <cell r="P47">
            <v>0</v>
          </cell>
          <cell r="Q47">
            <v>21</v>
          </cell>
          <cell r="R47">
            <v>0</v>
          </cell>
          <cell r="S47">
            <v>44080</v>
          </cell>
          <cell r="T47">
            <v>45710</v>
          </cell>
          <cell r="U47">
            <v>3566</v>
          </cell>
          <cell r="V47" t="str">
            <v>NER/D/KZ284</v>
          </cell>
          <cell r="W47" t="str">
            <v>2003/2004</v>
          </cell>
          <cell r="X47" t="str">
            <v>NER/D/KZ284</v>
          </cell>
          <cell r="Y47" t="str">
            <v>Umlalazi</v>
          </cell>
        </row>
        <row r="48">
          <cell r="A48">
            <v>1335</v>
          </cell>
          <cell r="B48">
            <v>7701</v>
          </cell>
          <cell r="C48">
            <v>0</v>
          </cell>
          <cell r="D48">
            <v>0</v>
          </cell>
          <cell r="E48">
            <v>0</v>
          </cell>
          <cell r="F48">
            <v>0</v>
          </cell>
          <cell r="G48">
            <v>0</v>
          </cell>
          <cell r="H48">
            <v>0</v>
          </cell>
          <cell r="I48">
            <v>136</v>
          </cell>
          <cell r="J48">
            <v>4342</v>
          </cell>
          <cell r="K48">
            <v>0</v>
          </cell>
          <cell r="L48">
            <v>0</v>
          </cell>
          <cell r="M48">
            <v>0</v>
          </cell>
          <cell r="N48">
            <v>0</v>
          </cell>
          <cell r="O48">
            <v>0</v>
          </cell>
          <cell r="P48">
            <v>0</v>
          </cell>
          <cell r="Q48">
            <v>0</v>
          </cell>
          <cell r="R48">
            <v>0</v>
          </cell>
          <cell r="S48">
            <v>12043</v>
          </cell>
          <cell r="T48">
            <v>13247</v>
          </cell>
          <cell r="U48">
            <v>1471</v>
          </cell>
          <cell r="V48" t="str">
            <v>NER/D/KZ285</v>
          </cell>
          <cell r="W48" t="str">
            <v>2003/2004</v>
          </cell>
          <cell r="X48" t="str">
            <v>NER/D/KZ285</v>
          </cell>
          <cell r="Y48" t="str">
            <v>Mthonjaneni</v>
          </cell>
        </row>
        <row r="49">
          <cell r="A49">
            <v>1375</v>
          </cell>
          <cell r="B49">
            <v>0</v>
          </cell>
          <cell r="C49">
            <v>0</v>
          </cell>
          <cell r="D49">
            <v>0</v>
          </cell>
          <cell r="E49">
            <v>0</v>
          </cell>
          <cell r="F49">
            <v>0</v>
          </cell>
          <cell r="G49">
            <v>15</v>
          </cell>
          <cell r="H49">
            <v>0</v>
          </cell>
          <cell r="I49">
            <v>0</v>
          </cell>
          <cell r="J49">
            <v>0</v>
          </cell>
          <cell r="K49">
            <v>0</v>
          </cell>
          <cell r="L49">
            <v>0</v>
          </cell>
          <cell r="M49">
            <v>0</v>
          </cell>
          <cell r="N49">
            <v>0</v>
          </cell>
          <cell r="O49">
            <v>0</v>
          </cell>
          <cell r="P49">
            <v>0</v>
          </cell>
          <cell r="Q49">
            <v>0</v>
          </cell>
          <cell r="R49">
            <v>0</v>
          </cell>
          <cell r="S49">
            <v>0</v>
          </cell>
          <cell r="T49">
            <v>0</v>
          </cell>
          <cell r="U49">
            <v>1390</v>
          </cell>
          <cell r="V49" t="str">
            <v>NER/D/KZ291</v>
          </cell>
          <cell r="W49" t="str">
            <v>2003/2004</v>
          </cell>
          <cell r="X49" t="str">
            <v>NER/D/KZ291</v>
          </cell>
          <cell r="Y49" t="str">
            <v>Ndodakusuka</v>
          </cell>
        </row>
        <row r="50">
          <cell r="A50">
            <v>24183</v>
          </cell>
          <cell r="B50">
            <v>136036</v>
          </cell>
          <cell r="C50">
            <v>0</v>
          </cell>
          <cell r="D50">
            <v>0</v>
          </cell>
          <cell r="E50">
            <v>0</v>
          </cell>
          <cell r="F50">
            <v>0</v>
          </cell>
          <cell r="G50">
            <v>230</v>
          </cell>
          <cell r="H50">
            <v>225539</v>
          </cell>
          <cell r="I50">
            <v>1086</v>
          </cell>
          <cell r="J50">
            <v>23842</v>
          </cell>
          <cell r="K50">
            <v>0</v>
          </cell>
          <cell r="L50">
            <v>0</v>
          </cell>
          <cell r="M50">
            <v>0</v>
          </cell>
          <cell r="N50">
            <v>0</v>
          </cell>
          <cell r="O50">
            <v>0</v>
          </cell>
          <cell r="P50">
            <v>0</v>
          </cell>
          <cell r="Q50">
            <v>3994</v>
          </cell>
          <cell r="R50">
            <v>2676</v>
          </cell>
          <cell r="S50">
            <v>388093</v>
          </cell>
          <cell r="T50">
            <v>399735</v>
          </cell>
          <cell r="U50">
            <v>29493</v>
          </cell>
          <cell r="V50" t="str">
            <v>NER/D/KZ292</v>
          </cell>
          <cell r="W50" t="str">
            <v>2003/2004</v>
          </cell>
          <cell r="X50" t="str">
            <v>NER/D/KZ292</v>
          </cell>
          <cell r="Y50" t="str">
            <v>KwaDukuza</v>
          </cell>
        </row>
        <row r="51">
          <cell r="A51">
            <v>3075</v>
          </cell>
          <cell r="B51">
            <v>11322</v>
          </cell>
          <cell r="C51">
            <v>4</v>
          </cell>
          <cell r="D51">
            <v>59</v>
          </cell>
          <cell r="E51">
            <v>0</v>
          </cell>
          <cell r="F51">
            <v>0</v>
          </cell>
          <cell r="G51">
            <v>2</v>
          </cell>
          <cell r="H51">
            <v>28</v>
          </cell>
          <cell r="I51">
            <v>285</v>
          </cell>
          <cell r="J51">
            <v>12779</v>
          </cell>
          <cell r="K51">
            <v>0</v>
          </cell>
          <cell r="L51">
            <v>0</v>
          </cell>
          <cell r="M51">
            <v>16</v>
          </cell>
          <cell r="N51">
            <v>1670</v>
          </cell>
          <cell r="O51">
            <v>0</v>
          </cell>
          <cell r="P51">
            <v>0</v>
          </cell>
          <cell r="Q51">
            <v>18</v>
          </cell>
          <cell r="R51">
            <v>555</v>
          </cell>
          <cell r="S51">
            <v>26413</v>
          </cell>
          <cell r="T51">
            <v>27735</v>
          </cell>
          <cell r="U51">
            <v>3400</v>
          </cell>
          <cell r="V51" t="str">
            <v>NER/D/KZ5a3</v>
          </cell>
          <cell r="W51" t="str">
            <v>2003/2004</v>
          </cell>
          <cell r="X51" t="str">
            <v>NER/D/KZ5a3</v>
          </cell>
          <cell r="Y51" t="str">
            <v>Matatiele</v>
          </cell>
        </row>
        <row r="52">
          <cell r="A52">
            <v>757</v>
          </cell>
          <cell r="B52">
            <v>35863</v>
          </cell>
          <cell r="C52">
            <v>1454</v>
          </cell>
          <cell r="D52">
            <v>2186</v>
          </cell>
          <cell r="E52">
            <v>0</v>
          </cell>
          <cell r="F52">
            <v>0</v>
          </cell>
          <cell r="G52">
            <v>0</v>
          </cell>
          <cell r="H52">
            <v>0</v>
          </cell>
          <cell r="I52">
            <v>464</v>
          </cell>
          <cell r="J52">
            <v>18331</v>
          </cell>
          <cell r="K52">
            <v>0</v>
          </cell>
          <cell r="L52">
            <v>0</v>
          </cell>
          <cell r="M52">
            <v>94</v>
          </cell>
          <cell r="N52">
            <v>465</v>
          </cell>
          <cell r="O52">
            <v>0</v>
          </cell>
          <cell r="P52">
            <v>0</v>
          </cell>
          <cell r="Q52">
            <v>29</v>
          </cell>
          <cell r="R52">
            <v>9667</v>
          </cell>
          <cell r="S52">
            <v>66512</v>
          </cell>
          <cell r="T52">
            <v>70227</v>
          </cell>
          <cell r="U52">
            <v>2798</v>
          </cell>
          <cell r="V52" t="str">
            <v>NER/D/KZ5a4</v>
          </cell>
          <cell r="W52" t="str">
            <v>2003/2004</v>
          </cell>
          <cell r="X52" t="str">
            <v>NER/D/KZ5a4</v>
          </cell>
          <cell r="Y52" t="str">
            <v>Greater Kokstad</v>
          </cell>
        </row>
        <row r="54">
          <cell r="A54">
            <v>19911</v>
          </cell>
          <cell r="B54">
            <v>0</v>
          </cell>
          <cell r="C54">
            <v>0</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19911</v>
          </cell>
          <cell r="V54" t="str">
            <v>NER/D/MP302</v>
          </cell>
          <cell r="W54" t="str">
            <v>2003/2004</v>
          </cell>
          <cell r="X54" t="str">
            <v>NER/D/MP302</v>
          </cell>
          <cell r="Y54" t="str">
            <v>Msukaligwa</v>
          </cell>
        </row>
        <row r="55">
          <cell r="A55">
            <v>0</v>
          </cell>
          <cell r="B55">
            <v>0</v>
          </cell>
          <cell r="C55">
            <v>0</v>
          </cell>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t="str">
            <v>NER/D/MP304</v>
          </cell>
          <cell r="W55" t="str">
            <v>2003/2004</v>
          </cell>
          <cell r="X55" t="str">
            <v>NER/D/MP304</v>
          </cell>
          <cell r="Y55" t="str">
            <v>Seme</v>
          </cell>
        </row>
        <row r="56">
          <cell r="A56">
            <v>11226</v>
          </cell>
          <cell r="B56">
            <v>39977</v>
          </cell>
          <cell r="C56">
            <v>238</v>
          </cell>
          <cell r="D56">
            <v>11487</v>
          </cell>
          <cell r="E56">
            <v>0</v>
          </cell>
          <cell r="F56">
            <v>0</v>
          </cell>
          <cell r="G56">
            <v>12</v>
          </cell>
          <cell r="H56">
            <v>82689</v>
          </cell>
          <cell r="I56">
            <v>905</v>
          </cell>
          <cell r="J56">
            <v>24424</v>
          </cell>
          <cell r="K56">
            <v>0</v>
          </cell>
          <cell r="L56">
            <v>0</v>
          </cell>
          <cell r="M56">
            <v>35</v>
          </cell>
          <cell r="N56">
            <v>3289</v>
          </cell>
          <cell r="O56">
            <v>0</v>
          </cell>
          <cell r="P56">
            <v>0</v>
          </cell>
          <cell r="Q56">
            <v>1</v>
          </cell>
          <cell r="R56">
            <v>5711</v>
          </cell>
          <cell r="S56">
            <v>167577</v>
          </cell>
          <cell r="T56">
            <v>167596</v>
          </cell>
          <cell r="U56">
            <v>12417</v>
          </cell>
          <cell r="V56" t="str">
            <v>NER/D/MP305</v>
          </cell>
          <cell r="W56" t="str">
            <v>2003/2004</v>
          </cell>
          <cell r="X56" t="str">
            <v>NER/D/MP305</v>
          </cell>
          <cell r="Y56" t="str">
            <v>Lekwa</v>
          </cell>
        </row>
        <row r="57">
          <cell r="A57">
            <v>0</v>
          </cell>
          <cell r="B57">
            <v>0</v>
          </cell>
          <cell r="C57">
            <v>0</v>
          </cell>
          <cell r="D57">
            <v>0</v>
          </cell>
          <cell r="E57">
            <v>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cell r="V57" t="str">
            <v>NER/D/MP307</v>
          </cell>
          <cell r="W57" t="str">
            <v>2003/2004</v>
          </cell>
          <cell r="X57" t="str">
            <v>NER/D/MP307</v>
          </cell>
          <cell r="Y57" t="str">
            <v>Govan Mbeki</v>
          </cell>
        </row>
        <row r="58">
          <cell r="A58">
            <v>5898</v>
          </cell>
          <cell r="B58">
            <v>18440</v>
          </cell>
          <cell r="C58">
            <v>0</v>
          </cell>
          <cell r="D58">
            <v>0</v>
          </cell>
          <cell r="E58">
            <v>0</v>
          </cell>
          <cell r="F58">
            <v>0</v>
          </cell>
          <cell r="G58">
            <v>20</v>
          </cell>
          <cell r="H58">
            <v>21718</v>
          </cell>
          <cell r="I58">
            <v>249</v>
          </cell>
          <cell r="J58">
            <v>8912</v>
          </cell>
          <cell r="K58">
            <v>0</v>
          </cell>
          <cell r="L58">
            <v>0</v>
          </cell>
          <cell r="M58">
            <v>0</v>
          </cell>
          <cell r="N58">
            <v>0</v>
          </cell>
          <cell r="O58">
            <v>0</v>
          </cell>
          <cell r="P58">
            <v>0</v>
          </cell>
          <cell r="Q58">
            <v>110</v>
          </cell>
          <cell r="R58">
            <v>2151</v>
          </cell>
          <cell r="S58">
            <v>51221</v>
          </cell>
          <cell r="T58">
            <v>0</v>
          </cell>
          <cell r="U58">
            <v>6277</v>
          </cell>
          <cell r="V58" t="str">
            <v>NER/D/MP311</v>
          </cell>
          <cell r="W58" t="str">
            <v>2003/2004</v>
          </cell>
          <cell r="X58" t="str">
            <v>NER/D/MP311</v>
          </cell>
          <cell r="Y58" t="str">
            <v>Delmas</v>
          </cell>
        </row>
        <row r="59">
          <cell r="A59">
            <v>23821</v>
          </cell>
          <cell r="B59">
            <v>145007</v>
          </cell>
          <cell r="C59">
            <v>0</v>
          </cell>
          <cell r="D59">
            <v>0</v>
          </cell>
          <cell r="E59">
            <v>0</v>
          </cell>
          <cell r="F59">
            <v>0</v>
          </cell>
          <cell r="G59">
            <v>1209</v>
          </cell>
          <cell r="H59">
            <v>122244</v>
          </cell>
          <cell r="I59">
            <v>0</v>
          </cell>
          <cell r="J59">
            <v>0</v>
          </cell>
          <cell r="K59">
            <v>0</v>
          </cell>
          <cell r="L59">
            <v>0</v>
          </cell>
          <cell r="M59">
            <v>0</v>
          </cell>
          <cell r="N59">
            <v>0</v>
          </cell>
          <cell r="O59">
            <v>0</v>
          </cell>
          <cell r="P59">
            <v>0</v>
          </cell>
          <cell r="Q59">
            <v>0</v>
          </cell>
          <cell r="R59">
            <v>20459</v>
          </cell>
          <cell r="S59">
            <v>287710</v>
          </cell>
          <cell r="T59">
            <v>295424</v>
          </cell>
          <cell r="U59">
            <v>25030</v>
          </cell>
          <cell r="V59" t="str">
            <v>NER/D/MP313</v>
          </cell>
          <cell r="W59" t="str">
            <v>2003/2004</v>
          </cell>
          <cell r="X59" t="str">
            <v>NER/D/MP313</v>
          </cell>
          <cell r="Y59" t="str">
            <v>Middelburg</v>
          </cell>
        </row>
        <row r="60">
          <cell r="A60">
            <v>10057</v>
          </cell>
          <cell r="B60">
            <v>38734</v>
          </cell>
          <cell r="C60">
            <v>6</v>
          </cell>
          <cell r="D60">
            <v>2622</v>
          </cell>
          <cell r="E60">
            <v>0</v>
          </cell>
          <cell r="F60">
            <v>0</v>
          </cell>
          <cell r="G60">
            <v>67</v>
          </cell>
          <cell r="H60">
            <v>22698</v>
          </cell>
          <cell r="I60">
            <v>453</v>
          </cell>
          <cell r="J60">
            <v>35866</v>
          </cell>
          <cell r="K60">
            <v>6</v>
          </cell>
          <cell r="L60">
            <v>745</v>
          </cell>
          <cell r="M60">
            <v>0</v>
          </cell>
          <cell r="N60">
            <v>0</v>
          </cell>
          <cell r="O60">
            <v>0</v>
          </cell>
          <cell r="P60">
            <v>0</v>
          </cell>
          <cell r="Q60">
            <v>60</v>
          </cell>
          <cell r="R60">
            <v>4410</v>
          </cell>
          <cell r="S60">
            <v>105075</v>
          </cell>
          <cell r="T60">
            <v>134428</v>
          </cell>
          <cell r="U60">
            <v>10649</v>
          </cell>
          <cell r="V60" t="str">
            <v>NER/D/MP321</v>
          </cell>
          <cell r="W60" t="str">
            <v>2003/2004</v>
          </cell>
          <cell r="X60" t="str">
            <v>NER/D/MP321</v>
          </cell>
          <cell r="Y60" t="str">
            <v>Thaba Chweu</v>
          </cell>
        </row>
        <row r="61">
          <cell r="A61">
            <v>10199</v>
          </cell>
          <cell r="B61">
            <v>112893</v>
          </cell>
          <cell r="C61">
            <v>2</v>
          </cell>
          <cell r="D61">
            <v>5451</v>
          </cell>
          <cell r="E61">
            <v>0</v>
          </cell>
          <cell r="F61">
            <v>0</v>
          </cell>
          <cell r="G61">
            <v>1</v>
          </cell>
          <cell r="H61">
            <v>23818</v>
          </cell>
          <cell r="I61">
            <v>1832</v>
          </cell>
          <cell r="J61">
            <v>248780</v>
          </cell>
          <cell r="K61">
            <v>0</v>
          </cell>
          <cell r="L61">
            <v>0</v>
          </cell>
          <cell r="M61">
            <v>0</v>
          </cell>
          <cell r="N61">
            <v>0</v>
          </cell>
          <cell r="O61">
            <v>0</v>
          </cell>
          <cell r="P61">
            <v>0</v>
          </cell>
          <cell r="Q61">
            <v>296</v>
          </cell>
          <cell r="R61">
            <v>10027</v>
          </cell>
          <cell r="S61">
            <v>400969</v>
          </cell>
          <cell r="T61">
            <v>435208</v>
          </cell>
          <cell r="U61">
            <v>12330</v>
          </cell>
          <cell r="V61" t="str">
            <v>NER/D/MP322</v>
          </cell>
          <cell r="W61" t="str">
            <v>2003/2004</v>
          </cell>
          <cell r="X61" t="str">
            <v>NER/D/MP322</v>
          </cell>
          <cell r="Y61" t="str">
            <v>Mbombela</v>
          </cell>
        </row>
        <row r="62">
          <cell r="A62">
            <v>7293</v>
          </cell>
          <cell r="B62">
            <v>16753</v>
          </cell>
          <cell r="C62">
            <v>0</v>
          </cell>
          <cell r="D62">
            <v>0</v>
          </cell>
          <cell r="E62">
            <v>0</v>
          </cell>
          <cell r="F62">
            <v>0</v>
          </cell>
          <cell r="G62">
            <v>41</v>
          </cell>
          <cell r="H62">
            <v>32806</v>
          </cell>
          <cell r="I62">
            <v>263</v>
          </cell>
          <cell r="J62">
            <v>5260</v>
          </cell>
          <cell r="K62">
            <v>0</v>
          </cell>
          <cell r="L62">
            <v>0</v>
          </cell>
          <cell r="M62">
            <v>0</v>
          </cell>
          <cell r="N62">
            <v>0</v>
          </cell>
          <cell r="O62">
            <v>0</v>
          </cell>
          <cell r="P62">
            <v>0</v>
          </cell>
          <cell r="Q62">
            <v>89</v>
          </cell>
          <cell r="R62">
            <v>4424</v>
          </cell>
          <cell r="S62">
            <v>59243</v>
          </cell>
          <cell r="T62">
            <v>63194</v>
          </cell>
          <cell r="U62">
            <v>7686</v>
          </cell>
          <cell r="V62" t="str">
            <v>NER/D/MP323</v>
          </cell>
          <cell r="W62" t="str">
            <v>2003/2004</v>
          </cell>
          <cell r="X62" t="str">
            <v>NER/D/MP323</v>
          </cell>
          <cell r="Y62" t="str">
            <v>Umjindi</v>
          </cell>
        </row>
        <row r="63">
          <cell r="A63">
            <v>3529</v>
          </cell>
          <cell r="B63">
            <v>37102</v>
          </cell>
          <cell r="C63">
            <v>0</v>
          </cell>
          <cell r="D63">
            <v>0</v>
          </cell>
          <cell r="E63">
            <v>0</v>
          </cell>
          <cell r="F63">
            <v>0</v>
          </cell>
          <cell r="G63">
            <v>0</v>
          </cell>
          <cell r="H63">
            <v>0</v>
          </cell>
          <cell r="I63">
            <v>0</v>
          </cell>
          <cell r="J63">
            <v>0</v>
          </cell>
          <cell r="K63">
            <v>0</v>
          </cell>
          <cell r="L63">
            <v>0</v>
          </cell>
          <cell r="M63">
            <v>0</v>
          </cell>
          <cell r="N63">
            <v>0</v>
          </cell>
          <cell r="O63">
            <v>0</v>
          </cell>
          <cell r="P63">
            <v>0</v>
          </cell>
          <cell r="Q63">
            <v>0</v>
          </cell>
          <cell r="R63">
            <v>0</v>
          </cell>
          <cell r="S63">
            <v>37102</v>
          </cell>
          <cell r="T63">
            <v>33372</v>
          </cell>
          <cell r="U63">
            <v>3529</v>
          </cell>
          <cell r="V63" t="str">
            <v>NER/D/MP324</v>
          </cell>
          <cell r="W63" t="str">
            <v>2003/2004</v>
          </cell>
          <cell r="X63" t="str">
            <v>NER/D/MP324</v>
          </cell>
          <cell r="Y63" t="str">
            <v>Nkomazi</v>
          </cell>
        </row>
        <row r="65">
          <cell r="A65">
            <v>23158</v>
          </cell>
          <cell r="B65">
            <v>89919</v>
          </cell>
          <cell r="C65">
            <v>0</v>
          </cell>
          <cell r="D65">
            <v>0</v>
          </cell>
          <cell r="E65">
            <v>1</v>
          </cell>
          <cell r="F65">
            <v>4810</v>
          </cell>
          <cell r="G65">
            <v>137</v>
          </cell>
          <cell r="H65">
            <v>156647</v>
          </cell>
          <cell r="I65">
            <v>1811</v>
          </cell>
          <cell r="J65">
            <v>46248</v>
          </cell>
          <cell r="K65">
            <v>0</v>
          </cell>
          <cell r="L65">
            <v>0</v>
          </cell>
          <cell r="M65">
            <v>47</v>
          </cell>
          <cell r="N65">
            <v>3310</v>
          </cell>
          <cell r="O65">
            <v>0</v>
          </cell>
          <cell r="P65">
            <v>0</v>
          </cell>
          <cell r="Q65">
            <v>11</v>
          </cell>
          <cell r="R65">
            <v>18215</v>
          </cell>
          <cell r="S65">
            <v>319149</v>
          </cell>
          <cell r="T65">
            <v>331000</v>
          </cell>
          <cell r="U65">
            <v>25165</v>
          </cell>
          <cell r="V65" t="str">
            <v>NER/D/NW372</v>
          </cell>
          <cell r="W65" t="str">
            <v>2003/2004</v>
          </cell>
          <cell r="X65" t="str">
            <v>NER/D/NW372</v>
          </cell>
          <cell r="Y65" t="str">
            <v>Madibeng</v>
          </cell>
        </row>
        <row r="66">
          <cell r="A66">
            <v>28177</v>
          </cell>
          <cell r="B66">
            <v>0</v>
          </cell>
          <cell r="C66">
            <v>974</v>
          </cell>
          <cell r="D66">
            <v>0</v>
          </cell>
          <cell r="E66">
            <v>0</v>
          </cell>
          <cell r="F66">
            <v>0</v>
          </cell>
          <cell r="G66">
            <v>0</v>
          </cell>
          <cell r="H66">
            <v>0</v>
          </cell>
          <cell r="I66">
            <v>3595</v>
          </cell>
          <cell r="J66">
            <v>1846002</v>
          </cell>
          <cell r="K66">
            <v>0</v>
          </cell>
          <cell r="L66">
            <v>0</v>
          </cell>
          <cell r="M66">
            <v>0</v>
          </cell>
          <cell r="N66">
            <v>0</v>
          </cell>
          <cell r="O66">
            <v>0</v>
          </cell>
          <cell r="P66">
            <v>0</v>
          </cell>
          <cell r="Q66">
            <v>0</v>
          </cell>
          <cell r="R66">
            <v>19870</v>
          </cell>
          <cell r="S66">
            <v>1865872</v>
          </cell>
          <cell r="T66">
            <v>1920467</v>
          </cell>
          <cell r="U66">
            <v>32746</v>
          </cell>
          <cell r="V66" t="str">
            <v>NER/D/NW373</v>
          </cell>
          <cell r="W66" t="str">
            <v>2003/2004</v>
          </cell>
          <cell r="X66" t="str">
            <v>NER/D/NW373</v>
          </cell>
          <cell r="Y66" t="str">
            <v>Rustenburg</v>
          </cell>
        </row>
        <row r="67">
          <cell r="A67">
            <v>5509</v>
          </cell>
          <cell r="B67">
            <v>35940</v>
          </cell>
          <cell r="C67">
            <v>0</v>
          </cell>
          <cell r="D67">
            <v>0</v>
          </cell>
          <cell r="E67">
            <v>0</v>
          </cell>
          <cell r="F67">
            <v>0</v>
          </cell>
          <cell r="G67">
            <v>136</v>
          </cell>
          <cell r="H67">
            <v>47716</v>
          </cell>
          <cell r="I67">
            <v>581</v>
          </cell>
          <cell r="J67">
            <v>0</v>
          </cell>
          <cell r="K67">
            <v>0</v>
          </cell>
          <cell r="L67">
            <v>0</v>
          </cell>
          <cell r="M67">
            <v>0</v>
          </cell>
          <cell r="N67">
            <v>11547</v>
          </cell>
          <cell r="O67">
            <v>0</v>
          </cell>
          <cell r="P67">
            <v>0</v>
          </cell>
          <cell r="Q67">
            <v>0</v>
          </cell>
          <cell r="R67">
            <v>10346</v>
          </cell>
          <cell r="S67">
            <v>105549</v>
          </cell>
          <cell r="T67">
            <v>115284</v>
          </cell>
          <cell r="U67">
            <v>6226</v>
          </cell>
          <cell r="V67" t="str">
            <v>NER/D/NW384</v>
          </cell>
          <cell r="W67" t="str">
            <v>2003/2004</v>
          </cell>
          <cell r="X67" t="str">
            <v>NER/D/NW384</v>
          </cell>
          <cell r="Y67" t="str">
            <v>Ditsobotla</v>
          </cell>
        </row>
        <row r="68">
          <cell r="A68">
            <v>0</v>
          </cell>
          <cell r="B68">
            <v>0</v>
          </cell>
          <cell r="C68">
            <v>0</v>
          </cell>
          <cell r="D68">
            <v>0</v>
          </cell>
          <cell r="E68">
            <v>0</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cell r="V68" t="str">
            <v>NER/D/NW385</v>
          </cell>
          <cell r="W68" t="str">
            <v>2003/2004</v>
          </cell>
          <cell r="X68" t="str">
            <v>NER/D/NW385</v>
          </cell>
          <cell r="Y68" t="str">
            <v>Zeerust</v>
          </cell>
        </row>
        <row r="69">
          <cell r="A69">
            <v>0</v>
          </cell>
          <cell r="B69">
            <v>0</v>
          </cell>
          <cell r="C69">
            <v>0</v>
          </cell>
          <cell r="D69">
            <v>0</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t="str">
            <v>NER/D/NW394</v>
          </cell>
          <cell r="W69" t="str">
            <v>2003/2004</v>
          </cell>
          <cell r="X69" t="str">
            <v>NER/D/NW394</v>
          </cell>
          <cell r="Y69" t="str">
            <v>Greater Taung</v>
          </cell>
        </row>
        <row r="70">
          <cell r="A70">
            <v>29248</v>
          </cell>
          <cell r="B70">
            <v>158191</v>
          </cell>
          <cell r="C70">
            <v>560</v>
          </cell>
          <cell r="D70">
            <v>12627</v>
          </cell>
          <cell r="E70">
            <v>0</v>
          </cell>
          <cell r="F70">
            <v>0</v>
          </cell>
          <cell r="G70">
            <v>59</v>
          </cell>
          <cell r="H70">
            <v>159287</v>
          </cell>
          <cell r="I70">
            <v>229</v>
          </cell>
          <cell r="J70">
            <v>35683</v>
          </cell>
          <cell r="K70">
            <v>0</v>
          </cell>
          <cell r="L70">
            <v>0</v>
          </cell>
          <cell r="M70">
            <v>5</v>
          </cell>
          <cell r="N70">
            <v>30</v>
          </cell>
          <cell r="O70">
            <v>0</v>
          </cell>
          <cell r="P70">
            <v>0</v>
          </cell>
          <cell r="Q70">
            <v>476</v>
          </cell>
          <cell r="R70">
            <v>21509</v>
          </cell>
          <cell r="S70">
            <v>387327</v>
          </cell>
          <cell r="T70">
            <v>389756</v>
          </cell>
          <cell r="U70">
            <v>30577</v>
          </cell>
          <cell r="V70" t="str">
            <v>NER/D/NW402</v>
          </cell>
          <cell r="W70" t="str">
            <v>2003/2004</v>
          </cell>
          <cell r="X70" t="str">
            <v>NER/D/NW402</v>
          </cell>
          <cell r="Y70" t="str">
            <v>Potchefstroom</v>
          </cell>
        </row>
        <row r="71">
          <cell r="A71">
            <v>41861</v>
          </cell>
          <cell r="B71">
            <v>378547</v>
          </cell>
          <cell r="C71">
            <v>0</v>
          </cell>
          <cell r="D71">
            <v>0</v>
          </cell>
          <cell r="E71">
            <v>0</v>
          </cell>
          <cell r="F71">
            <v>0</v>
          </cell>
          <cell r="G71">
            <v>2538</v>
          </cell>
          <cell r="H71">
            <v>1000</v>
          </cell>
          <cell r="I71">
            <v>0</v>
          </cell>
          <cell r="J71">
            <v>0</v>
          </cell>
          <cell r="K71">
            <v>0</v>
          </cell>
          <cell r="L71">
            <v>0</v>
          </cell>
          <cell r="M71">
            <v>0</v>
          </cell>
          <cell r="N71">
            <v>0</v>
          </cell>
          <cell r="O71">
            <v>0</v>
          </cell>
          <cell r="P71">
            <v>0</v>
          </cell>
          <cell r="Q71">
            <v>214</v>
          </cell>
          <cell r="R71">
            <v>13</v>
          </cell>
          <cell r="S71">
            <v>379560</v>
          </cell>
          <cell r="T71">
            <v>0</v>
          </cell>
          <cell r="U71">
            <v>44613</v>
          </cell>
          <cell r="V71" t="str">
            <v>NER/D/NW403</v>
          </cell>
          <cell r="W71" t="str">
            <v>2003/2004</v>
          </cell>
          <cell r="X71" t="str">
            <v>NER/D/NW403</v>
          </cell>
          <cell r="Y71" t="str">
            <v>City Council of Klerksdorp</v>
          </cell>
        </row>
        <row r="73">
          <cell r="A73">
            <v>2300</v>
          </cell>
          <cell r="B73">
            <v>29000</v>
          </cell>
          <cell r="C73">
            <v>50</v>
          </cell>
          <cell r="D73">
            <v>1650</v>
          </cell>
          <cell r="E73">
            <v>0</v>
          </cell>
          <cell r="F73">
            <v>0</v>
          </cell>
          <cell r="G73">
            <v>15</v>
          </cell>
          <cell r="H73">
            <v>250</v>
          </cell>
          <cell r="I73">
            <v>155</v>
          </cell>
          <cell r="J73">
            <v>8400</v>
          </cell>
          <cell r="K73">
            <v>0</v>
          </cell>
          <cell r="L73">
            <v>0</v>
          </cell>
          <cell r="M73">
            <v>0</v>
          </cell>
          <cell r="N73">
            <v>0</v>
          </cell>
          <cell r="O73">
            <v>0</v>
          </cell>
          <cell r="P73">
            <v>0</v>
          </cell>
          <cell r="Q73">
            <v>0</v>
          </cell>
          <cell r="R73">
            <v>3420</v>
          </cell>
          <cell r="S73">
            <v>42720</v>
          </cell>
          <cell r="T73">
            <v>43120</v>
          </cell>
          <cell r="U73">
            <v>2520</v>
          </cell>
          <cell r="V73" t="str">
            <v>NER/D/NC01b1</v>
          </cell>
          <cell r="W73" t="str">
            <v>2003/2004</v>
          </cell>
          <cell r="X73" t="str">
            <v>NER/D/NC01B1</v>
          </cell>
          <cell r="Y73" t="str">
            <v>Gamagara</v>
          </cell>
        </row>
        <row r="74">
          <cell r="A74">
            <v>2835</v>
          </cell>
          <cell r="B74">
            <v>0</v>
          </cell>
          <cell r="C74">
            <v>0</v>
          </cell>
          <cell r="D74">
            <v>0</v>
          </cell>
          <cell r="E74">
            <v>5</v>
          </cell>
          <cell r="F74">
            <v>0</v>
          </cell>
          <cell r="G74">
            <v>2</v>
          </cell>
          <cell r="H74">
            <v>0</v>
          </cell>
          <cell r="I74">
            <v>144</v>
          </cell>
          <cell r="J74">
            <v>0</v>
          </cell>
          <cell r="K74">
            <v>0</v>
          </cell>
          <cell r="L74">
            <v>0</v>
          </cell>
          <cell r="M74">
            <v>2</v>
          </cell>
          <cell r="N74">
            <v>0</v>
          </cell>
          <cell r="O74">
            <v>0</v>
          </cell>
          <cell r="P74">
            <v>0</v>
          </cell>
          <cell r="Q74">
            <v>0</v>
          </cell>
          <cell r="R74">
            <v>0</v>
          </cell>
          <cell r="S74">
            <v>0</v>
          </cell>
          <cell r="T74">
            <v>0</v>
          </cell>
          <cell r="U74">
            <v>2988</v>
          </cell>
          <cell r="V74" t="str">
            <v>NER/D/NC061</v>
          </cell>
          <cell r="W74" t="str">
            <v>2003/2004</v>
          </cell>
          <cell r="X74" t="str">
            <v>NER/D/NC061</v>
          </cell>
          <cell r="Y74" t="str">
            <v>Richtersveld</v>
          </cell>
        </row>
        <row r="75">
          <cell r="A75">
            <v>0</v>
          </cell>
          <cell r="B75">
            <v>29998</v>
          </cell>
          <cell r="C75">
            <v>0</v>
          </cell>
          <cell r="D75">
            <v>0</v>
          </cell>
          <cell r="E75">
            <v>0</v>
          </cell>
          <cell r="F75">
            <v>0</v>
          </cell>
          <cell r="G75">
            <v>0</v>
          </cell>
          <cell r="H75">
            <v>0</v>
          </cell>
          <cell r="I75">
            <v>0</v>
          </cell>
          <cell r="J75">
            <v>0</v>
          </cell>
          <cell r="K75">
            <v>0</v>
          </cell>
          <cell r="L75">
            <v>0</v>
          </cell>
          <cell r="M75">
            <v>0</v>
          </cell>
          <cell r="N75">
            <v>0</v>
          </cell>
          <cell r="O75">
            <v>0</v>
          </cell>
          <cell r="P75">
            <v>0</v>
          </cell>
          <cell r="Q75">
            <v>0</v>
          </cell>
          <cell r="R75">
            <v>1025</v>
          </cell>
          <cell r="S75">
            <v>31023</v>
          </cell>
          <cell r="T75">
            <v>36690</v>
          </cell>
          <cell r="U75">
            <v>0</v>
          </cell>
          <cell r="V75" t="str">
            <v>NER/D/NC062</v>
          </cell>
          <cell r="W75" t="str">
            <v>2003/2004</v>
          </cell>
          <cell r="X75" t="str">
            <v>NER/D/NC062</v>
          </cell>
          <cell r="Y75" t="str">
            <v>Nama Khoi</v>
          </cell>
        </row>
        <row r="76">
          <cell r="A76">
            <v>0</v>
          </cell>
          <cell r="B76">
            <v>0</v>
          </cell>
          <cell r="C76">
            <v>0</v>
          </cell>
          <cell r="D76">
            <v>0</v>
          </cell>
          <cell r="E76">
            <v>0</v>
          </cell>
          <cell r="F76">
            <v>0</v>
          </cell>
          <cell r="G76">
            <v>0</v>
          </cell>
          <cell r="H76">
            <v>0</v>
          </cell>
          <cell r="I76">
            <v>0</v>
          </cell>
          <cell r="J76">
            <v>0</v>
          </cell>
          <cell r="K76">
            <v>0</v>
          </cell>
          <cell r="L76">
            <v>0</v>
          </cell>
          <cell r="M76">
            <v>0</v>
          </cell>
          <cell r="N76">
            <v>0</v>
          </cell>
          <cell r="O76">
            <v>0</v>
          </cell>
          <cell r="P76">
            <v>0</v>
          </cell>
          <cell r="Q76">
            <v>0</v>
          </cell>
          <cell r="R76">
            <v>0</v>
          </cell>
          <cell r="S76">
            <v>0</v>
          </cell>
          <cell r="T76">
            <v>0</v>
          </cell>
          <cell r="U76">
            <v>0</v>
          </cell>
          <cell r="V76" t="str">
            <v>NER/D/NC066</v>
          </cell>
          <cell r="W76" t="str">
            <v>2003/2004</v>
          </cell>
          <cell r="X76" t="str">
            <v>NER/D/NC066</v>
          </cell>
          <cell r="Y76" t="str">
            <v>Karoo Hoogland</v>
          </cell>
        </row>
        <row r="77">
          <cell r="A77">
            <v>781</v>
          </cell>
          <cell r="B77">
            <v>1600</v>
          </cell>
          <cell r="C77">
            <v>0</v>
          </cell>
          <cell r="D77">
            <v>0</v>
          </cell>
          <cell r="E77">
            <v>0</v>
          </cell>
          <cell r="F77">
            <v>0</v>
          </cell>
          <cell r="G77">
            <v>0</v>
          </cell>
          <cell r="H77">
            <v>0</v>
          </cell>
          <cell r="I77">
            <v>46</v>
          </cell>
          <cell r="J77">
            <v>1225</v>
          </cell>
          <cell r="K77">
            <v>0</v>
          </cell>
          <cell r="L77">
            <v>0</v>
          </cell>
          <cell r="M77">
            <v>0</v>
          </cell>
          <cell r="N77">
            <v>0</v>
          </cell>
          <cell r="O77">
            <v>0</v>
          </cell>
          <cell r="P77">
            <v>0</v>
          </cell>
          <cell r="Q77">
            <v>24</v>
          </cell>
          <cell r="R77">
            <v>327</v>
          </cell>
          <cell r="S77">
            <v>3152</v>
          </cell>
          <cell r="T77">
            <v>3289</v>
          </cell>
          <cell r="U77">
            <v>851</v>
          </cell>
          <cell r="V77" t="str">
            <v>NER/D/NC067</v>
          </cell>
          <cell r="W77" t="str">
            <v>2003/2004</v>
          </cell>
          <cell r="X77" t="str">
            <v>NER/D/NC067</v>
          </cell>
          <cell r="Y77" t="str">
            <v>Khai-Ma</v>
          </cell>
        </row>
        <row r="78">
          <cell r="A78">
            <v>0</v>
          </cell>
          <cell r="B78">
            <v>0</v>
          </cell>
          <cell r="C78">
            <v>0</v>
          </cell>
          <cell r="D78">
            <v>0</v>
          </cell>
          <cell r="E78">
            <v>0</v>
          </cell>
          <cell r="F78">
            <v>0</v>
          </cell>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cell r="V78" t="str">
            <v>NER/D/NC071</v>
          </cell>
          <cell r="W78" t="str">
            <v>2003/2004</v>
          </cell>
          <cell r="X78" t="str">
            <v>NER/D/NC071</v>
          </cell>
          <cell r="Y78" t="str">
            <v>Ubuntu</v>
          </cell>
        </row>
        <row r="79">
          <cell r="A79">
            <v>586</v>
          </cell>
          <cell r="B79">
            <v>0</v>
          </cell>
          <cell r="C79">
            <v>0</v>
          </cell>
          <cell r="D79">
            <v>0</v>
          </cell>
          <cell r="E79">
            <v>0</v>
          </cell>
          <cell r="F79">
            <v>0</v>
          </cell>
          <cell r="G79">
            <v>0</v>
          </cell>
          <cell r="H79">
            <v>0</v>
          </cell>
          <cell r="I79">
            <v>67</v>
          </cell>
          <cell r="J79">
            <v>0</v>
          </cell>
          <cell r="K79">
            <v>0</v>
          </cell>
          <cell r="L79">
            <v>0</v>
          </cell>
          <cell r="M79">
            <v>0</v>
          </cell>
          <cell r="N79">
            <v>0</v>
          </cell>
          <cell r="O79">
            <v>0</v>
          </cell>
          <cell r="P79">
            <v>0</v>
          </cell>
          <cell r="Q79">
            <v>0</v>
          </cell>
          <cell r="R79">
            <v>0</v>
          </cell>
          <cell r="S79">
            <v>0</v>
          </cell>
          <cell r="T79">
            <v>0</v>
          </cell>
          <cell r="U79">
            <v>653</v>
          </cell>
          <cell r="V79" t="str">
            <v>NER/D/NC074</v>
          </cell>
          <cell r="W79" t="str">
            <v>2003/2004</v>
          </cell>
          <cell r="X79" t="str">
            <v>NER/D/NC074</v>
          </cell>
          <cell r="Y79" t="str">
            <v>Kareeberg</v>
          </cell>
        </row>
        <row r="80">
          <cell r="A80">
            <v>0</v>
          </cell>
          <cell r="B80">
            <v>0</v>
          </cell>
          <cell r="C80">
            <v>0</v>
          </cell>
          <cell r="D80">
            <v>0</v>
          </cell>
          <cell r="E80">
            <v>0</v>
          </cell>
          <cell r="F80">
            <v>0</v>
          </cell>
          <cell r="G80">
            <v>0</v>
          </cell>
          <cell r="H80">
            <v>0</v>
          </cell>
          <cell r="I80">
            <v>0</v>
          </cell>
          <cell r="J80">
            <v>0</v>
          </cell>
          <cell r="K80">
            <v>0</v>
          </cell>
          <cell r="L80">
            <v>0</v>
          </cell>
          <cell r="M80">
            <v>0</v>
          </cell>
          <cell r="N80">
            <v>0</v>
          </cell>
          <cell r="O80">
            <v>0</v>
          </cell>
          <cell r="P80">
            <v>0</v>
          </cell>
          <cell r="Q80">
            <v>0</v>
          </cell>
          <cell r="R80">
            <v>0</v>
          </cell>
          <cell r="S80">
            <v>0</v>
          </cell>
          <cell r="T80">
            <v>0</v>
          </cell>
          <cell r="U80">
            <v>0</v>
          </cell>
          <cell r="V80" t="str">
            <v>NER/D/NC075</v>
          </cell>
          <cell r="W80" t="str">
            <v>2003/2004</v>
          </cell>
          <cell r="X80" t="str">
            <v>NER/D/NC075</v>
          </cell>
          <cell r="Y80" t="str">
            <v>Renosterberg</v>
          </cell>
        </row>
        <row r="81">
          <cell r="A81">
            <v>373</v>
          </cell>
          <cell r="B81">
            <v>3736</v>
          </cell>
          <cell r="C81">
            <v>1</v>
          </cell>
          <cell r="D81">
            <v>911</v>
          </cell>
          <cell r="E81">
            <v>0</v>
          </cell>
          <cell r="F81">
            <v>0</v>
          </cell>
          <cell r="G81">
            <v>0</v>
          </cell>
          <cell r="H81">
            <v>0</v>
          </cell>
          <cell r="I81">
            <v>96</v>
          </cell>
          <cell r="J81">
            <v>2430</v>
          </cell>
          <cell r="K81">
            <v>0</v>
          </cell>
          <cell r="L81">
            <v>0</v>
          </cell>
          <cell r="M81">
            <v>21</v>
          </cell>
          <cell r="N81">
            <v>839</v>
          </cell>
          <cell r="O81">
            <v>0</v>
          </cell>
          <cell r="P81">
            <v>0</v>
          </cell>
          <cell r="Q81">
            <v>4</v>
          </cell>
          <cell r="R81">
            <v>562</v>
          </cell>
          <cell r="S81">
            <v>8478</v>
          </cell>
          <cell r="T81">
            <v>6975</v>
          </cell>
          <cell r="U81">
            <v>495</v>
          </cell>
          <cell r="V81" t="str">
            <v>NER/D/NC076</v>
          </cell>
          <cell r="W81" t="str">
            <v>2003/2004</v>
          </cell>
          <cell r="X81" t="str">
            <v>NER/D/NC076</v>
          </cell>
          <cell r="Y81" t="str">
            <v>Thembelihle</v>
          </cell>
        </row>
        <row r="82">
          <cell r="A82">
            <v>0</v>
          </cell>
          <cell r="B82">
            <v>0</v>
          </cell>
          <cell r="C82">
            <v>0</v>
          </cell>
          <cell r="D82">
            <v>0</v>
          </cell>
          <cell r="E82">
            <v>0</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t="str">
            <v>NER/D/NC078</v>
          </cell>
          <cell r="W82" t="str">
            <v>2003/2004</v>
          </cell>
          <cell r="X82" t="str">
            <v>NER/D/NC078</v>
          </cell>
          <cell r="Y82" t="str">
            <v>Siyancuma</v>
          </cell>
        </row>
        <row r="83">
          <cell r="A83">
            <v>13721</v>
          </cell>
          <cell r="B83">
            <v>52005</v>
          </cell>
          <cell r="C83">
            <v>122</v>
          </cell>
          <cell r="D83">
            <v>4940</v>
          </cell>
          <cell r="E83">
            <v>0</v>
          </cell>
          <cell r="F83">
            <v>0</v>
          </cell>
          <cell r="G83">
            <v>42</v>
          </cell>
          <cell r="H83">
            <v>14905</v>
          </cell>
          <cell r="I83">
            <v>810</v>
          </cell>
          <cell r="J83">
            <v>40467</v>
          </cell>
          <cell r="K83">
            <v>15</v>
          </cell>
          <cell r="L83">
            <v>2592</v>
          </cell>
          <cell r="M83">
            <v>112</v>
          </cell>
          <cell r="N83">
            <v>4010</v>
          </cell>
          <cell r="O83">
            <v>0</v>
          </cell>
          <cell r="P83">
            <v>0</v>
          </cell>
          <cell r="Q83">
            <v>79</v>
          </cell>
          <cell r="R83">
            <v>14729</v>
          </cell>
          <cell r="S83">
            <v>133648</v>
          </cell>
          <cell r="T83">
            <v>137300</v>
          </cell>
          <cell r="U83">
            <v>14901</v>
          </cell>
          <cell r="V83" t="str">
            <v>NER/D/NC083</v>
          </cell>
          <cell r="W83" t="str">
            <v>2003/2004</v>
          </cell>
          <cell r="X83" t="str">
            <v>NER/D/NC083</v>
          </cell>
          <cell r="Y83" t="str">
            <v>Khara Hais</v>
          </cell>
        </row>
        <row r="84">
          <cell r="A84">
            <v>468</v>
          </cell>
          <cell r="B84">
            <v>6000</v>
          </cell>
          <cell r="C84">
            <v>0</v>
          </cell>
          <cell r="D84">
            <v>0</v>
          </cell>
          <cell r="E84">
            <v>0</v>
          </cell>
          <cell r="F84">
            <v>0</v>
          </cell>
          <cell r="G84">
            <v>2</v>
          </cell>
          <cell r="H84">
            <v>4000</v>
          </cell>
          <cell r="I84">
            <v>190</v>
          </cell>
          <cell r="J84">
            <v>12000</v>
          </cell>
          <cell r="K84">
            <v>0</v>
          </cell>
          <cell r="L84">
            <v>0</v>
          </cell>
          <cell r="M84">
            <v>221</v>
          </cell>
          <cell r="N84">
            <v>2000</v>
          </cell>
          <cell r="O84">
            <v>0</v>
          </cell>
          <cell r="P84">
            <v>0</v>
          </cell>
          <cell r="Q84">
            <v>0</v>
          </cell>
          <cell r="R84">
            <v>0</v>
          </cell>
          <cell r="S84">
            <v>24</v>
          </cell>
          <cell r="T84">
            <v>25</v>
          </cell>
          <cell r="U84">
            <v>881</v>
          </cell>
          <cell r="V84" t="str">
            <v>NER/D/NC085</v>
          </cell>
          <cell r="W84" t="str">
            <v>2003/2004</v>
          </cell>
          <cell r="X84" t="str">
            <v>NER/D/NC085</v>
          </cell>
          <cell r="Y84" t="str">
            <v>Tsantsabane</v>
          </cell>
        </row>
        <row r="85">
          <cell r="A85">
            <v>2600</v>
          </cell>
          <cell r="B85">
            <v>6340</v>
          </cell>
          <cell r="C85">
            <v>0</v>
          </cell>
          <cell r="D85">
            <v>0</v>
          </cell>
          <cell r="E85">
            <v>0</v>
          </cell>
          <cell r="F85">
            <v>0</v>
          </cell>
          <cell r="G85">
            <v>10</v>
          </cell>
          <cell r="H85">
            <v>1540</v>
          </cell>
          <cell r="I85">
            <v>58</v>
          </cell>
          <cell r="J85">
            <v>1540</v>
          </cell>
          <cell r="K85">
            <v>0</v>
          </cell>
          <cell r="L85">
            <v>0</v>
          </cell>
          <cell r="M85">
            <v>0</v>
          </cell>
          <cell r="N85">
            <v>0</v>
          </cell>
          <cell r="O85">
            <v>0</v>
          </cell>
          <cell r="P85">
            <v>0</v>
          </cell>
          <cell r="Q85">
            <v>56</v>
          </cell>
          <cell r="R85">
            <v>0</v>
          </cell>
          <cell r="S85">
            <v>9420</v>
          </cell>
          <cell r="T85">
            <v>9440</v>
          </cell>
          <cell r="U85">
            <v>2724</v>
          </cell>
          <cell r="V85" t="str">
            <v>NER/D/NC086</v>
          </cell>
          <cell r="W85" t="str">
            <v>2003/2004</v>
          </cell>
          <cell r="X85" t="str">
            <v>NER/D/NC086</v>
          </cell>
          <cell r="Y85" t="str">
            <v>Kgatelopele</v>
          </cell>
        </row>
        <row r="86">
          <cell r="A86">
            <v>39548</v>
          </cell>
          <cell r="B86">
            <v>102565</v>
          </cell>
          <cell r="C86">
            <v>0</v>
          </cell>
          <cell r="D86">
            <v>0</v>
          </cell>
          <cell r="E86">
            <v>0</v>
          </cell>
          <cell r="F86">
            <v>0</v>
          </cell>
          <cell r="G86">
            <v>299</v>
          </cell>
          <cell r="H86">
            <v>26286</v>
          </cell>
          <cell r="I86">
            <v>1613</v>
          </cell>
          <cell r="J86">
            <v>61602</v>
          </cell>
          <cell r="K86">
            <v>0</v>
          </cell>
          <cell r="L86">
            <v>0</v>
          </cell>
          <cell r="M86">
            <v>0</v>
          </cell>
          <cell r="N86">
            <v>0</v>
          </cell>
          <cell r="O86">
            <v>0</v>
          </cell>
          <cell r="P86">
            <v>0</v>
          </cell>
          <cell r="Q86">
            <v>0</v>
          </cell>
          <cell r="R86">
            <v>4692</v>
          </cell>
          <cell r="S86">
            <v>195145</v>
          </cell>
          <cell r="T86">
            <v>0</v>
          </cell>
          <cell r="U86">
            <v>41460</v>
          </cell>
          <cell r="V86" t="str">
            <v>NER/D/NC091</v>
          </cell>
          <cell r="W86" t="str">
            <v>2003/2004</v>
          </cell>
          <cell r="X86" t="str">
            <v>NER/D/NC091</v>
          </cell>
          <cell r="Y86" t="str">
            <v>Sol Plaatjie</v>
          </cell>
        </row>
        <row r="87">
          <cell r="A87">
            <v>671</v>
          </cell>
          <cell r="B87">
            <v>6906</v>
          </cell>
          <cell r="C87">
            <v>0</v>
          </cell>
          <cell r="D87">
            <v>0</v>
          </cell>
          <cell r="E87">
            <v>0</v>
          </cell>
          <cell r="F87">
            <v>0</v>
          </cell>
          <cell r="G87">
            <v>0</v>
          </cell>
          <cell r="H87">
            <v>0</v>
          </cell>
          <cell r="I87">
            <v>141</v>
          </cell>
          <cell r="J87">
            <v>3254</v>
          </cell>
          <cell r="K87">
            <v>0</v>
          </cell>
          <cell r="L87">
            <v>0</v>
          </cell>
          <cell r="M87">
            <v>0</v>
          </cell>
          <cell r="N87">
            <v>0</v>
          </cell>
          <cell r="O87">
            <v>0</v>
          </cell>
          <cell r="P87">
            <v>0</v>
          </cell>
          <cell r="Q87">
            <v>3</v>
          </cell>
          <cell r="R87">
            <v>283</v>
          </cell>
          <cell r="S87">
            <v>10443</v>
          </cell>
          <cell r="T87">
            <v>10903</v>
          </cell>
          <cell r="U87">
            <v>815</v>
          </cell>
          <cell r="V87" t="str">
            <v>NER/D/NC093</v>
          </cell>
          <cell r="W87" t="str">
            <v>2003/2004</v>
          </cell>
          <cell r="X87" t="str">
            <v>NER/D/NC093</v>
          </cell>
          <cell r="Y87" t="str">
            <v>Magareng</v>
          </cell>
        </row>
        <row r="89">
          <cell r="A89">
            <v>411</v>
          </cell>
          <cell r="B89">
            <v>4873</v>
          </cell>
          <cell r="C89">
            <v>0</v>
          </cell>
          <cell r="D89">
            <v>0</v>
          </cell>
          <cell r="E89">
            <v>0</v>
          </cell>
          <cell r="F89">
            <v>0</v>
          </cell>
          <cell r="G89">
            <v>13</v>
          </cell>
          <cell r="H89">
            <v>1505</v>
          </cell>
          <cell r="I89">
            <v>73</v>
          </cell>
          <cell r="J89">
            <v>3622</v>
          </cell>
          <cell r="K89">
            <v>0</v>
          </cell>
          <cell r="L89">
            <v>0</v>
          </cell>
          <cell r="M89">
            <v>0</v>
          </cell>
          <cell r="N89">
            <v>0</v>
          </cell>
          <cell r="O89">
            <v>0</v>
          </cell>
          <cell r="P89">
            <v>0</v>
          </cell>
          <cell r="Q89">
            <v>62</v>
          </cell>
          <cell r="R89">
            <v>242</v>
          </cell>
          <cell r="S89">
            <v>10242</v>
          </cell>
          <cell r="T89">
            <v>14300</v>
          </cell>
          <cell r="U89">
            <v>559</v>
          </cell>
          <cell r="V89" t="str">
            <v>NER/D/NP332</v>
          </cell>
          <cell r="W89" t="str">
            <v>2003/2004</v>
          </cell>
          <cell r="X89" t="str">
            <v>NER/D/NP332</v>
          </cell>
          <cell r="Y89" t="str">
            <v>Greater Letaba</v>
          </cell>
        </row>
        <row r="90">
          <cell r="A90">
            <v>4241</v>
          </cell>
          <cell r="B90">
            <v>178253</v>
          </cell>
          <cell r="C90">
            <v>1242</v>
          </cell>
          <cell r="D90">
            <v>62798</v>
          </cell>
          <cell r="E90">
            <v>0</v>
          </cell>
          <cell r="F90">
            <v>0</v>
          </cell>
          <cell r="G90">
            <v>155</v>
          </cell>
          <cell r="H90">
            <v>84518</v>
          </cell>
          <cell r="I90">
            <v>1180</v>
          </cell>
          <cell r="J90">
            <v>69756</v>
          </cell>
          <cell r="K90">
            <v>0</v>
          </cell>
          <cell r="L90">
            <v>0</v>
          </cell>
          <cell r="M90">
            <v>0</v>
          </cell>
          <cell r="N90">
            <v>0</v>
          </cell>
          <cell r="O90">
            <v>0</v>
          </cell>
          <cell r="P90">
            <v>0</v>
          </cell>
          <cell r="Q90">
            <v>162</v>
          </cell>
          <cell r="R90">
            <v>3064</v>
          </cell>
          <cell r="S90">
            <v>398389</v>
          </cell>
          <cell r="T90">
            <v>414453</v>
          </cell>
          <cell r="U90">
            <v>6980</v>
          </cell>
          <cell r="V90" t="str">
            <v>NER/D/NP333</v>
          </cell>
          <cell r="W90" t="str">
            <v>2003/2004</v>
          </cell>
          <cell r="X90" t="str">
            <v>NER/D/NP333</v>
          </cell>
          <cell r="Y90" t="str">
            <v>Greater Tzaneen</v>
          </cell>
        </row>
        <row r="91">
          <cell r="A91">
            <v>12040</v>
          </cell>
          <cell r="B91">
            <v>172300</v>
          </cell>
          <cell r="C91">
            <v>2935</v>
          </cell>
          <cell r="D91">
            <v>0</v>
          </cell>
          <cell r="E91">
            <v>0</v>
          </cell>
          <cell r="F91">
            <v>0</v>
          </cell>
          <cell r="G91">
            <v>420</v>
          </cell>
          <cell r="H91">
            <v>0</v>
          </cell>
          <cell r="I91">
            <v>1702</v>
          </cell>
          <cell r="J91">
            <v>0</v>
          </cell>
          <cell r="K91">
            <v>0</v>
          </cell>
          <cell r="L91">
            <v>0</v>
          </cell>
          <cell r="M91">
            <v>0</v>
          </cell>
          <cell r="N91">
            <v>0</v>
          </cell>
          <cell r="O91">
            <v>0</v>
          </cell>
          <cell r="P91">
            <v>14370</v>
          </cell>
          <cell r="Q91">
            <v>150</v>
          </cell>
          <cell r="R91">
            <v>2524</v>
          </cell>
          <cell r="S91">
            <v>189194</v>
          </cell>
          <cell r="T91">
            <v>198654</v>
          </cell>
          <cell r="U91">
            <v>17247</v>
          </cell>
          <cell r="V91" t="str">
            <v>NER/D/NP344</v>
          </cell>
          <cell r="W91" t="str">
            <v>2003/2004</v>
          </cell>
          <cell r="X91" t="str">
            <v>NER/D/NP344</v>
          </cell>
          <cell r="Y91" t="str">
            <v>Makhado</v>
          </cell>
        </row>
        <row r="92">
          <cell r="A92">
            <v>1170</v>
          </cell>
          <cell r="B92">
            <v>9411</v>
          </cell>
          <cell r="C92">
            <v>56</v>
          </cell>
          <cell r="D92">
            <v>1558</v>
          </cell>
          <cell r="E92">
            <v>2</v>
          </cell>
          <cell r="F92">
            <v>2817</v>
          </cell>
          <cell r="G92">
            <v>9</v>
          </cell>
          <cell r="H92">
            <v>78</v>
          </cell>
          <cell r="I92">
            <v>13</v>
          </cell>
          <cell r="J92">
            <v>41</v>
          </cell>
          <cell r="K92">
            <v>0</v>
          </cell>
          <cell r="L92">
            <v>0</v>
          </cell>
          <cell r="M92">
            <v>0</v>
          </cell>
          <cell r="N92">
            <v>0</v>
          </cell>
          <cell r="O92">
            <v>0</v>
          </cell>
          <cell r="P92">
            <v>0</v>
          </cell>
          <cell r="Q92">
            <v>0</v>
          </cell>
          <cell r="R92">
            <v>0</v>
          </cell>
          <cell r="S92">
            <v>13905</v>
          </cell>
          <cell r="T92">
            <v>16200</v>
          </cell>
          <cell r="U92">
            <v>1250</v>
          </cell>
          <cell r="V92" t="str">
            <v>NER/D/NP351</v>
          </cell>
          <cell r="W92" t="str">
            <v>2003/2004</v>
          </cell>
          <cell r="X92" t="str">
            <v>NER/D/NP351</v>
          </cell>
          <cell r="Y92" t="str">
            <v>Blouberg</v>
          </cell>
        </row>
        <row r="93">
          <cell r="A93">
            <v>0</v>
          </cell>
          <cell r="B93">
            <v>1592</v>
          </cell>
          <cell r="C93">
            <v>0</v>
          </cell>
          <cell r="D93">
            <v>0</v>
          </cell>
          <cell r="E93">
            <v>0</v>
          </cell>
          <cell r="F93">
            <v>0</v>
          </cell>
          <cell r="G93">
            <v>0</v>
          </cell>
          <cell r="H93">
            <v>0</v>
          </cell>
          <cell r="I93">
            <v>0</v>
          </cell>
          <cell r="J93">
            <v>3704</v>
          </cell>
          <cell r="K93">
            <v>0</v>
          </cell>
          <cell r="L93">
            <v>0</v>
          </cell>
          <cell r="M93">
            <v>0</v>
          </cell>
          <cell r="N93">
            <v>0</v>
          </cell>
          <cell r="O93">
            <v>0</v>
          </cell>
          <cell r="P93">
            <v>0</v>
          </cell>
          <cell r="Q93">
            <v>0</v>
          </cell>
          <cell r="R93">
            <v>0</v>
          </cell>
          <cell r="S93">
            <v>5296</v>
          </cell>
          <cell r="T93">
            <v>0</v>
          </cell>
          <cell r="U93">
            <v>0</v>
          </cell>
          <cell r="V93" t="str">
            <v>NER/D/NP353</v>
          </cell>
          <cell r="W93" t="str">
            <v>2003/2004</v>
          </cell>
          <cell r="X93" t="str">
            <v>NER/D/NP353</v>
          </cell>
          <cell r="Y93" t="str">
            <v>Molemole</v>
          </cell>
        </row>
        <row r="94">
          <cell r="A94">
            <v>3157</v>
          </cell>
          <cell r="B94">
            <v>0</v>
          </cell>
          <cell r="C94">
            <v>34</v>
          </cell>
          <cell r="D94">
            <v>0</v>
          </cell>
          <cell r="E94">
            <v>0</v>
          </cell>
          <cell r="F94">
            <v>0</v>
          </cell>
          <cell r="G94">
            <v>3</v>
          </cell>
          <cell r="H94">
            <v>0</v>
          </cell>
          <cell r="I94">
            <v>419</v>
          </cell>
          <cell r="J94">
            <v>0</v>
          </cell>
          <cell r="K94">
            <v>0</v>
          </cell>
          <cell r="L94">
            <v>0</v>
          </cell>
          <cell r="M94">
            <v>0</v>
          </cell>
          <cell r="N94">
            <v>0</v>
          </cell>
          <cell r="O94">
            <v>0</v>
          </cell>
          <cell r="P94">
            <v>0</v>
          </cell>
          <cell r="Q94">
            <v>56</v>
          </cell>
          <cell r="R94">
            <v>0</v>
          </cell>
          <cell r="S94">
            <v>0</v>
          </cell>
          <cell r="T94">
            <v>0</v>
          </cell>
          <cell r="U94">
            <v>3669</v>
          </cell>
          <cell r="V94" t="str">
            <v>NER/D/NP361</v>
          </cell>
          <cell r="W94" t="str">
            <v>2003/2004</v>
          </cell>
          <cell r="X94" t="str">
            <v>NER/D/NP361</v>
          </cell>
          <cell r="Y94" t="str">
            <v>Thabazimbi</v>
          </cell>
        </row>
        <row r="95">
          <cell r="A95">
            <v>2588</v>
          </cell>
          <cell r="B95">
            <v>27048</v>
          </cell>
          <cell r="C95">
            <v>0</v>
          </cell>
          <cell r="D95">
            <v>0</v>
          </cell>
          <cell r="E95">
            <v>0</v>
          </cell>
          <cell r="F95">
            <v>0</v>
          </cell>
          <cell r="G95">
            <v>0</v>
          </cell>
          <cell r="H95">
            <v>0</v>
          </cell>
          <cell r="I95">
            <v>152</v>
          </cell>
          <cell r="J95">
            <v>20775</v>
          </cell>
          <cell r="K95">
            <v>0</v>
          </cell>
          <cell r="L95">
            <v>0</v>
          </cell>
          <cell r="M95">
            <v>2</v>
          </cell>
          <cell r="N95">
            <v>1836</v>
          </cell>
          <cell r="O95">
            <v>0</v>
          </cell>
          <cell r="P95">
            <v>0</v>
          </cell>
          <cell r="Q95">
            <v>22</v>
          </cell>
          <cell r="R95">
            <v>3454</v>
          </cell>
          <cell r="S95">
            <v>53113</v>
          </cell>
          <cell r="T95">
            <v>54450</v>
          </cell>
          <cell r="U95">
            <v>2764</v>
          </cell>
          <cell r="V95" t="str">
            <v>NER/D/NP362</v>
          </cell>
          <cell r="W95" t="str">
            <v>2003/2004</v>
          </cell>
          <cell r="X95" t="str">
            <v>NER/D/NP362</v>
          </cell>
          <cell r="Y95" t="str">
            <v>Lephalale</v>
          </cell>
        </row>
        <row r="96">
          <cell r="A96">
            <v>1805</v>
          </cell>
          <cell r="B96">
            <v>10642</v>
          </cell>
          <cell r="C96">
            <v>263</v>
          </cell>
          <cell r="D96">
            <v>5033</v>
          </cell>
          <cell r="E96">
            <v>1</v>
          </cell>
          <cell r="F96">
            <v>0</v>
          </cell>
          <cell r="G96">
            <v>39</v>
          </cell>
          <cell r="H96">
            <v>11731</v>
          </cell>
          <cell r="I96">
            <v>84</v>
          </cell>
          <cell r="J96">
            <v>4909</v>
          </cell>
          <cell r="K96">
            <v>0</v>
          </cell>
          <cell r="L96">
            <v>0</v>
          </cell>
          <cell r="M96">
            <v>6</v>
          </cell>
          <cell r="N96">
            <v>80</v>
          </cell>
          <cell r="O96">
            <v>0</v>
          </cell>
          <cell r="P96">
            <v>0</v>
          </cell>
          <cell r="Q96">
            <v>8</v>
          </cell>
          <cell r="R96">
            <v>1969</v>
          </cell>
          <cell r="S96">
            <v>34364</v>
          </cell>
          <cell r="T96">
            <v>34916</v>
          </cell>
          <cell r="U96">
            <v>2206</v>
          </cell>
          <cell r="V96" t="str">
            <v>NER/D/NP364</v>
          </cell>
          <cell r="W96" t="str">
            <v>2003/2004</v>
          </cell>
          <cell r="X96" t="str">
            <v>NER/D/NP364</v>
          </cell>
          <cell r="Y96" t="str">
            <v>Mookgopong</v>
          </cell>
        </row>
        <row r="97">
          <cell r="A97">
            <v>0</v>
          </cell>
          <cell r="B97">
            <v>0</v>
          </cell>
          <cell r="C97">
            <v>0</v>
          </cell>
          <cell r="D97">
            <v>0</v>
          </cell>
          <cell r="E97">
            <v>0</v>
          </cell>
          <cell r="F97">
            <v>0</v>
          </cell>
          <cell r="G97">
            <v>0</v>
          </cell>
          <cell r="H97">
            <v>0</v>
          </cell>
          <cell r="I97">
            <v>0</v>
          </cell>
          <cell r="J97">
            <v>0</v>
          </cell>
          <cell r="K97">
            <v>0</v>
          </cell>
          <cell r="L97">
            <v>0</v>
          </cell>
          <cell r="M97">
            <v>0</v>
          </cell>
          <cell r="N97">
            <v>0</v>
          </cell>
          <cell r="O97">
            <v>0</v>
          </cell>
          <cell r="P97">
            <v>0</v>
          </cell>
          <cell r="Q97">
            <v>0</v>
          </cell>
          <cell r="R97">
            <v>0</v>
          </cell>
          <cell r="S97">
            <v>0</v>
          </cell>
          <cell r="T97">
            <v>0</v>
          </cell>
          <cell r="U97">
            <v>0</v>
          </cell>
          <cell r="V97" t="str">
            <v>NER/D/NP366</v>
          </cell>
          <cell r="W97" t="str">
            <v>2003/2004</v>
          </cell>
          <cell r="X97" t="str">
            <v>NER/D/NP366</v>
          </cell>
          <cell r="Y97" t="str">
            <v>Bela Bela</v>
          </cell>
        </row>
        <row r="98">
          <cell r="A98">
            <v>6779</v>
          </cell>
          <cell r="B98">
            <v>39462</v>
          </cell>
          <cell r="C98">
            <v>780</v>
          </cell>
          <cell r="D98">
            <v>15921</v>
          </cell>
          <cell r="E98">
            <v>0</v>
          </cell>
          <cell r="F98">
            <v>0</v>
          </cell>
          <cell r="G98">
            <v>160</v>
          </cell>
          <cell r="H98">
            <v>37313</v>
          </cell>
          <cell r="I98">
            <v>735</v>
          </cell>
          <cell r="J98">
            <v>54897</v>
          </cell>
          <cell r="K98">
            <v>0</v>
          </cell>
          <cell r="L98">
            <v>0</v>
          </cell>
          <cell r="M98">
            <v>0</v>
          </cell>
          <cell r="N98">
            <v>0</v>
          </cell>
          <cell r="O98">
            <v>0</v>
          </cell>
          <cell r="P98">
            <v>0</v>
          </cell>
          <cell r="Q98">
            <v>196</v>
          </cell>
          <cell r="R98">
            <v>7528</v>
          </cell>
          <cell r="S98">
            <v>155121</v>
          </cell>
          <cell r="T98">
            <v>156600</v>
          </cell>
          <cell r="U98">
            <v>8650</v>
          </cell>
          <cell r="V98" t="str">
            <v>NER/D/NP367</v>
          </cell>
          <cell r="W98" t="str">
            <v>2003/2004</v>
          </cell>
          <cell r="X98" t="str">
            <v>NER/D/NP367</v>
          </cell>
          <cell r="Y98" t="str">
            <v>Mogalakwena</v>
          </cell>
        </row>
        <row r="100">
          <cell r="A100">
            <v>506674</v>
          </cell>
          <cell r="B100">
            <v>3532940</v>
          </cell>
          <cell r="C100">
            <v>0</v>
          </cell>
          <cell r="D100">
            <v>0</v>
          </cell>
          <cell r="E100">
            <v>0</v>
          </cell>
          <cell r="F100">
            <v>0</v>
          </cell>
          <cell r="G100">
            <v>1489</v>
          </cell>
          <cell r="H100">
            <v>3466575</v>
          </cell>
          <cell r="I100">
            <v>40688</v>
          </cell>
          <cell r="J100">
            <v>1397107</v>
          </cell>
          <cell r="K100">
            <v>0</v>
          </cell>
          <cell r="L100">
            <v>0</v>
          </cell>
          <cell r="M100">
            <v>0</v>
          </cell>
          <cell r="N100">
            <v>0</v>
          </cell>
          <cell r="O100">
            <v>0</v>
          </cell>
          <cell r="P100">
            <v>0</v>
          </cell>
          <cell r="Q100">
            <v>3259</v>
          </cell>
          <cell r="R100">
            <v>485359</v>
          </cell>
          <cell r="S100">
            <v>8881981</v>
          </cell>
          <cell r="T100">
            <v>0</v>
          </cell>
          <cell r="U100">
            <v>552110</v>
          </cell>
          <cell r="V100" t="str">
            <v>NER/D/CPT</v>
          </cell>
          <cell r="W100" t="str">
            <v>2003/2004</v>
          </cell>
          <cell r="X100" t="str">
            <v>NER/D/CPT</v>
          </cell>
          <cell r="Y100" t="str">
            <v>City of Cape Town</v>
          </cell>
        </row>
        <row r="101">
          <cell r="A101">
            <v>0</v>
          </cell>
          <cell r="B101">
            <v>0</v>
          </cell>
          <cell r="C101">
            <v>0</v>
          </cell>
          <cell r="D101">
            <v>0</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t="str">
            <v>NER/D/WC012</v>
          </cell>
          <cell r="W101" t="str">
            <v>2003/2004</v>
          </cell>
          <cell r="X101" t="str">
            <v>NER/D/WC012</v>
          </cell>
          <cell r="Y101" t="str">
            <v>Cederberg</v>
          </cell>
        </row>
        <row r="102">
          <cell r="A102">
            <v>15920</v>
          </cell>
          <cell r="B102">
            <v>69270</v>
          </cell>
          <cell r="C102">
            <v>0</v>
          </cell>
          <cell r="D102">
            <v>0</v>
          </cell>
          <cell r="E102">
            <v>0</v>
          </cell>
          <cell r="F102">
            <v>0</v>
          </cell>
          <cell r="G102">
            <v>86</v>
          </cell>
          <cell r="H102">
            <v>71763</v>
          </cell>
          <cell r="I102">
            <v>813</v>
          </cell>
          <cell r="J102">
            <v>16905</v>
          </cell>
          <cell r="K102">
            <v>0</v>
          </cell>
          <cell r="L102">
            <v>0</v>
          </cell>
          <cell r="M102">
            <v>274</v>
          </cell>
          <cell r="N102">
            <v>3486</v>
          </cell>
          <cell r="O102">
            <v>0</v>
          </cell>
          <cell r="P102">
            <v>0</v>
          </cell>
          <cell r="Q102">
            <v>256</v>
          </cell>
          <cell r="R102">
            <v>6097</v>
          </cell>
          <cell r="S102">
            <v>167521</v>
          </cell>
          <cell r="T102">
            <v>173048</v>
          </cell>
          <cell r="U102">
            <v>17349</v>
          </cell>
          <cell r="V102" t="str">
            <v>NER/D/WC014</v>
          </cell>
          <cell r="W102" t="str">
            <v>2003/2004</v>
          </cell>
          <cell r="X102" t="str">
            <v>NER/D/WC014</v>
          </cell>
          <cell r="Y102" t="str">
            <v>Saldanha Bay</v>
          </cell>
        </row>
        <row r="103">
          <cell r="A103">
            <v>12329</v>
          </cell>
          <cell r="B103">
            <v>45364</v>
          </cell>
          <cell r="C103">
            <v>4</v>
          </cell>
          <cell r="D103">
            <v>19</v>
          </cell>
          <cell r="E103">
            <v>0</v>
          </cell>
          <cell r="F103">
            <v>0</v>
          </cell>
          <cell r="G103">
            <v>115</v>
          </cell>
          <cell r="H103">
            <v>66842</v>
          </cell>
          <cell r="I103">
            <v>813</v>
          </cell>
          <cell r="J103">
            <v>16399</v>
          </cell>
          <cell r="K103">
            <v>0</v>
          </cell>
          <cell r="L103">
            <v>0</v>
          </cell>
          <cell r="M103">
            <v>0</v>
          </cell>
          <cell r="N103">
            <v>0</v>
          </cell>
          <cell r="O103">
            <v>0</v>
          </cell>
          <cell r="P103">
            <v>0</v>
          </cell>
          <cell r="Q103">
            <v>209</v>
          </cell>
          <cell r="R103">
            <v>5475</v>
          </cell>
          <cell r="S103">
            <v>134099</v>
          </cell>
          <cell r="T103">
            <v>138121</v>
          </cell>
          <cell r="U103">
            <v>13470</v>
          </cell>
          <cell r="V103" t="str">
            <v>NER/D/WC015</v>
          </cell>
          <cell r="W103" t="str">
            <v>2003/2004</v>
          </cell>
          <cell r="X103" t="str">
            <v>NER/D/WC015</v>
          </cell>
          <cell r="Y103" t="str">
            <v>Swartland</v>
          </cell>
        </row>
        <row r="104">
          <cell r="A104">
            <v>9595</v>
          </cell>
          <cell r="B104">
            <v>36504</v>
          </cell>
          <cell r="C104">
            <v>228</v>
          </cell>
          <cell r="D104">
            <v>7839</v>
          </cell>
          <cell r="E104">
            <v>0</v>
          </cell>
          <cell r="F104">
            <v>0</v>
          </cell>
          <cell r="G104">
            <v>72</v>
          </cell>
          <cell r="H104">
            <v>72627</v>
          </cell>
          <cell r="I104">
            <v>409</v>
          </cell>
          <cell r="J104">
            <v>11316</v>
          </cell>
          <cell r="K104">
            <v>0</v>
          </cell>
          <cell r="L104">
            <v>0</v>
          </cell>
          <cell r="M104">
            <v>0</v>
          </cell>
          <cell r="N104">
            <v>0</v>
          </cell>
          <cell r="O104">
            <v>0</v>
          </cell>
          <cell r="P104">
            <v>0</v>
          </cell>
          <cell r="Q104">
            <v>96</v>
          </cell>
          <cell r="R104">
            <v>2007</v>
          </cell>
          <cell r="S104">
            <v>130293</v>
          </cell>
          <cell r="T104">
            <v>138139</v>
          </cell>
          <cell r="U104">
            <v>10400</v>
          </cell>
          <cell r="V104" t="str">
            <v>NER/D/WC022</v>
          </cell>
          <cell r="W104" t="str">
            <v>2003/2004</v>
          </cell>
          <cell r="X104" t="str">
            <v>NER/D/WC022</v>
          </cell>
          <cell r="Y104" t="str">
            <v>Witzenberg</v>
          </cell>
        </row>
        <row r="105">
          <cell r="A105">
            <v>19443</v>
          </cell>
          <cell r="B105">
            <v>103712</v>
          </cell>
          <cell r="C105">
            <v>0</v>
          </cell>
          <cell r="D105">
            <v>0</v>
          </cell>
          <cell r="E105">
            <v>0</v>
          </cell>
          <cell r="F105">
            <v>0</v>
          </cell>
          <cell r="G105">
            <v>0</v>
          </cell>
          <cell r="H105">
            <v>0</v>
          </cell>
          <cell r="I105">
            <v>1237</v>
          </cell>
          <cell r="J105">
            <v>124927</v>
          </cell>
          <cell r="K105">
            <v>0</v>
          </cell>
          <cell r="L105">
            <v>0</v>
          </cell>
          <cell r="M105">
            <v>0</v>
          </cell>
          <cell r="N105">
            <v>0</v>
          </cell>
          <cell r="O105">
            <v>0</v>
          </cell>
          <cell r="P105">
            <v>0</v>
          </cell>
          <cell r="Q105">
            <v>297</v>
          </cell>
          <cell r="R105">
            <v>5844</v>
          </cell>
          <cell r="S105">
            <v>234483</v>
          </cell>
          <cell r="T105">
            <v>0</v>
          </cell>
          <cell r="U105">
            <v>20977</v>
          </cell>
          <cell r="V105" t="str">
            <v>NER/D/WC025</v>
          </cell>
          <cell r="W105" t="str">
            <v>2003/2004</v>
          </cell>
          <cell r="X105" t="str">
            <v>NER/D/WC025</v>
          </cell>
          <cell r="Y105" t="str">
            <v>Breede Valley</v>
          </cell>
        </row>
        <row r="106">
          <cell r="A106">
            <v>14554</v>
          </cell>
          <cell r="B106">
            <v>49458</v>
          </cell>
          <cell r="C106">
            <v>1298</v>
          </cell>
          <cell r="D106">
            <v>147722</v>
          </cell>
          <cell r="E106">
            <v>0</v>
          </cell>
          <cell r="F106">
            <v>0</v>
          </cell>
          <cell r="G106">
            <v>575</v>
          </cell>
          <cell r="H106">
            <v>26669</v>
          </cell>
          <cell r="I106">
            <v>0</v>
          </cell>
          <cell r="J106">
            <v>0</v>
          </cell>
          <cell r="K106">
            <v>0</v>
          </cell>
          <cell r="L106">
            <v>0</v>
          </cell>
          <cell r="M106">
            <v>60</v>
          </cell>
          <cell r="N106">
            <v>307</v>
          </cell>
          <cell r="O106">
            <v>0</v>
          </cell>
          <cell r="P106">
            <v>0</v>
          </cell>
          <cell r="Q106">
            <v>259</v>
          </cell>
          <cell r="R106">
            <v>6407</v>
          </cell>
          <cell r="S106">
            <v>230563</v>
          </cell>
          <cell r="T106">
            <v>0</v>
          </cell>
          <cell r="U106">
            <v>16746</v>
          </cell>
          <cell r="V106" t="str">
            <v>NER/D/WC026</v>
          </cell>
          <cell r="W106" t="str">
            <v>2003/2004</v>
          </cell>
          <cell r="X106" t="str">
            <v>NER/D/WC026</v>
          </cell>
          <cell r="Y106" t="str">
            <v>Breede River/Winelands</v>
          </cell>
        </row>
        <row r="107">
          <cell r="A107">
            <v>4736</v>
          </cell>
          <cell r="B107">
            <v>23442</v>
          </cell>
          <cell r="C107">
            <v>0</v>
          </cell>
          <cell r="D107">
            <v>0</v>
          </cell>
          <cell r="E107">
            <v>0</v>
          </cell>
          <cell r="F107">
            <v>0</v>
          </cell>
          <cell r="G107">
            <v>33</v>
          </cell>
          <cell r="H107">
            <v>14596</v>
          </cell>
          <cell r="I107">
            <v>390</v>
          </cell>
          <cell r="J107">
            <v>10129</v>
          </cell>
          <cell r="K107">
            <v>0</v>
          </cell>
          <cell r="L107">
            <v>0</v>
          </cell>
          <cell r="M107">
            <v>0</v>
          </cell>
          <cell r="N107">
            <v>0</v>
          </cell>
          <cell r="O107">
            <v>0</v>
          </cell>
          <cell r="P107">
            <v>0</v>
          </cell>
          <cell r="Q107">
            <v>8</v>
          </cell>
          <cell r="R107">
            <v>2033</v>
          </cell>
          <cell r="S107">
            <v>50200</v>
          </cell>
          <cell r="T107">
            <v>51454</v>
          </cell>
          <cell r="U107">
            <v>5167</v>
          </cell>
          <cell r="V107" t="str">
            <v>NER/D/WC031</v>
          </cell>
          <cell r="W107" t="str">
            <v>2003/2004</v>
          </cell>
          <cell r="X107" t="str">
            <v>NER/D/WC031</v>
          </cell>
          <cell r="Y107" t="str">
            <v>Theewaterskloof</v>
          </cell>
        </row>
        <row r="108">
          <cell r="A108">
            <v>20297</v>
          </cell>
          <cell r="B108">
            <v>82275</v>
          </cell>
          <cell r="C108">
            <v>0</v>
          </cell>
          <cell r="D108">
            <v>0</v>
          </cell>
          <cell r="E108">
            <v>0</v>
          </cell>
          <cell r="F108">
            <v>0</v>
          </cell>
          <cell r="G108">
            <v>0</v>
          </cell>
          <cell r="H108">
            <v>0</v>
          </cell>
          <cell r="I108">
            <v>1098</v>
          </cell>
          <cell r="J108">
            <v>63278</v>
          </cell>
          <cell r="K108">
            <v>0</v>
          </cell>
          <cell r="L108">
            <v>0</v>
          </cell>
          <cell r="M108">
            <v>0</v>
          </cell>
          <cell r="N108">
            <v>0</v>
          </cell>
          <cell r="O108">
            <v>0</v>
          </cell>
          <cell r="P108">
            <v>0</v>
          </cell>
          <cell r="Q108">
            <v>85</v>
          </cell>
          <cell r="R108">
            <v>90</v>
          </cell>
          <cell r="S108">
            <v>145643</v>
          </cell>
          <cell r="T108">
            <v>140000</v>
          </cell>
          <cell r="U108">
            <v>21480</v>
          </cell>
          <cell r="V108" t="str">
            <v>NER/D/WC032</v>
          </cell>
          <cell r="W108" t="str">
            <v>2003/2004</v>
          </cell>
          <cell r="X108" t="str">
            <v>NER/D/WC032</v>
          </cell>
          <cell r="Y108" t="str">
            <v>Overstrand</v>
          </cell>
        </row>
        <row r="109">
          <cell r="A109">
            <v>6036</v>
          </cell>
          <cell r="B109">
            <v>25200</v>
          </cell>
          <cell r="C109">
            <v>0</v>
          </cell>
          <cell r="D109">
            <v>0</v>
          </cell>
          <cell r="E109">
            <v>0</v>
          </cell>
          <cell r="F109">
            <v>0</v>
          </cell>
          <cell r="G109">
            <v>27</v>
          </cell>
          <cell r="H109">
            <v>2200</v>
          </cell>
          <cell r="I109">
            <v>343</v>
          </cell>
          <cell r="J109">
            <v>15300</v>
          </cell>
          <cell r="K109">
            <v>0</v>
          </cell>
          <cell r="L109">
            <v>0</v>
          </cell>
          <cell r="M109">
            <v>0</v>
          </cell>
          <cell r="N109">
            <v>1700</v>
          </cell>
          <cell r="O109">
            <v>0</v>
          </cell>
          <cell r="P109">
            <v>0</v>
          </cell>
          <cell r="Q109">
            <v>69</v>
          </cell>
          <cell r="R109">
            <v>1800</v>
          </cell>
          <cell r="S109">
            <v>46200</v>
          </cell>
          <cell r="T109">
            <v>48400</v>
          </cell>
          <cell r="U109">
            <v>6475</v>
          </cell>
          <cell r="V109" t="str">
            <v>NER/D/WC033</v>
          </cell>
          <cell r="W109" t="str">
            <v>2003/2004</v>
          </cell>
          <cell r="X109" t="str">
            <v>NER/D/WC033</v>
          </cell>
          <cell r="Y109" t="str">
            <v>Cape Agulhas</v>
          </cell>
        </row>
        <row r="110">
          <cell r="A110">
            <v>4702</v>
          </cell>
          <cell r="B110">
            <v>24000</v>
          </cell>
          <cell r="C110">
            <v>3</v>
          </cell>
          <cell r="D110">
            <v>800</v>
          </cell>
          <cell r="E110">
            <v>0</v>
          </cell>
          <cell r="F110">
            <v>0</v>
          </cell>
          <cell r="G110">
            <v>15</v>
          </cell>
          <cell r="H110">
            <v>2800</v>
          </cell>
          <cell r="I110">
            <v>370</v>
          </cell>
          <cell r="J110">
            <v>5500</v>
          </cell>
          <cell r="K110">
            <v>0</v>
          </cell>
          <cell r="L110">
            <v>0</v>
          </cell>
          <cell r="M110">
            <v>0</v>
          </cell>
          <cell r="N110">
            <v>0</v>
          </cell>
          <cell r="O110">
            <v>0</v>
          </cell>
          <cell r="P110">
            <v>0</v>
          </cell>
          <cell r="Q110">
            <v>0</v>
          </cell>
          <cell r="R110">
            <v>1490</v>
          </cell>
          <cell r="S110">
            <v>34590</v>
          </cell>
          <cell r="T110">
            <v>0</v>
          </cell>
          <cell r="U110">
            <v>5090</v>
          </cell>
          <cell r="V110" t="str">
            <v>NER/D/WC034</v>
          </cell>
          <cell r="W110" t="str">
            <v>2003/2004</v>
          </cell>
          <cell r="X110" t="str">
            <v>NER/D/WC034</v>
          </cell>
          <cell r="Y110" t="str">
            <v>Swellendam</v>
          </cell>
        </row>
        <row r="111">
          <cell r="A111">
            <v>10537</v>
          </cell>
          <cell r="B111">
            <v>62816</v>
          </cell>
          <cell r="C111">
            <v>0</v>
          </cell>
          <cell r="D111">
            <v>0</v>
          </cell>
          <cell r="E111">
            <v>0</v>
          </cell>
          <cell r="F111">
            <v>0</v>
          </cell>
          <cell r="G111">
            <v>0</v>
          </cell>
          <cell r="H111">
            <v>0</v>
          </cell>
          <cell r="I111">
            <v>158</v>
          </cell>
          <cell r="J111">
            <v>974</v>
          </cell>
          <cell r="K111">
            <v>0</v>
          </cell>
          <cell r="L111">
            <v>0</v>
          </cell>
          <cell r="M111">
            <v>0</v>
          </cell>
          <cell r="N111">
            <v>0</v>
          </cell>
          <cell r="O111">
            <v>0</v>
          </cell>
          <cell r="P111">
            <v>0</v>
          </cell>
          <cell r="Q111">
            <v>614</v>
          </cell>
          <cell r="R111">
            <v>5523</v>
          </cell>
          <cell r="S111">
            <v>69313</v>
          </cell>
          <cell r="T111">
            <v>71595</v>
          </cell>
          <cell r="U111">
            <v>11309</v>
          </cell>
          <cell r="V111" t="str">
            <v>NER/D/WC042</v>
          </cell>
          <cell r="W111" t="str">
            <v>2003/2004</v>
          </cell>
          <cell r="X111" t="str">
            <v>NER/D/WC042</v>
          </cell>
          <cell r="Y111" t="str">
            <v>Langeberg</v>
          </cell>
        </row>
        <row r="112">
          <cell r="A112">
            <v>23061</v>
          </cell>
          <cell r="B112">
            <v>96958</v>
          </cell>
          <cell r="C112">
            <v>0</v>
          </cell>
          <cell r="D112">
            <v>0</v>
          </cell>
          <cell r="E112">
            <v>0</v>
          </cell>
          <cell r="F112">
            <v>0</v>
          </cell>
          <cell r="G112">
            <v>144</v>
          </cell>
          <cell r="H112">
            <v>87538</v>
          </cell>
          <cell r="I112">
            <v>900</v>
          </cell>
          <cell r="J112">
            <v>22093</v>
          </cell>
          <cell r="K112">
            <v>0</v>
          </cell>
          <cell r="L112">
            <v>0</v>
          </cell>
          <cell r="M112">
            <v>0</v>
          </cell>
          <cell r="N112">
            <v>0</v>
          </cell>
          <cell r="O112">
            <v>0</v>
          </cell>
          <cell r="P112">
            <v>0</v>
          </cell>
          <cell r="Q112">
            <v>1</v>
          </cell>
          <cell r="R112">
            <v>6421</v>
          </cell>
          <cell r="S112">
            <v>213010</v>
          </cell>
          <cell r="T112">
            <v>225789</v>
          </cell>
          <cell r="U112">
            <v>24106</v>
          </cell>
          <cell r="V112" t="str">
            <v>NER/D/WC043</v>
          </cell>
          <cell r="W112" t="str">
            <v>2003/2004</v>
          </cell>
          <cell r="X112" t="str">
            <v>NER/D/WC043</v>
          </cell>
          <cell r="Y112" t="str">
            <v>Mossel Bay</v>
          </cell>
        </row>
        <row r="113">
          <cell r="A113">
            <v>13124</v>
          </cell>
          <cell r="B113">
            <v>66578</v>
          </cell>
          <cell r="C113">
            <v>62</v>
          </cell>
          <cell r="D113">
            <v>2742</v>
          </cell>
          <cell r="E113">
            <v>0</v>
          </cell>
          <cell r="F113">
            <v>0</v>
          </cell>
          <cell r="G113">
            <v>1</v>
          </cell>
          <cell r="H113">
            <v>7480</v>
          </cell>
          <cell r="I113">
            <v>418</v>
          </cell>
          <cell r="J113">
            <v>43195</v>
          </cell>
          <cell r="K113">
            <v>0</v>
          </cell>
          <cell r="L113">
            <v>0</v>
          </cell>
          <cell r="M113">
            <v>8</v>
          </cell>
          <cell r="N113">
            <v>8262</v>
          </cell>
          <cell r="O113">
            <v>0</v>
          </cell>
          <cell r="P113">
            <v>0</v>
          </cell>
          <cell r="Q113">
            <v>1</v>
          </cell>
          <cell r="R113">
            <v>4166</v>
          </cell>
          <cell r="S113">
            <v>132423</v>
          </cell>
          <cell r="T113">
            <v>135070</v>
          </cell>
          <cell r="U113">
            <v>13614</v>
          </cell>
          <cell r="V113" t="str">
            <v>NER/D/WC045</v>
          </cell>
          <cell r="W113" t="str">
            <v>2003/2004</v>
          </cell>
          <cell r="X113" t="str">
            <v>NER/D/WC045</v>
          </cell>
          <cell r="Y113" t="str">
            <v>Oudtshoorn</v>
          </cell>
        </row>
        <row r="114">
          <cell r="A114">
            <v>12850</v>
          </cell>
          <cell r="B114">
            <v>72296</v>
          </cell>
          <cell r="C114">
            <v>6</v>
          </cell>
          <cell r="D114">
            <v>14</v>
          </cell>
          <cell r="E114">
            <v>0</v>
          </cell>
          <cell r="F114">
            <v>0</v>
          </cell>
          <cell r="G114">
            <v>0</v>
          </cell>
          <cell r="H114">
            <v>0</v>
          </cell>
          <cell r="I114">
            <v>1269</v>
          </cell>
          <cell r="J114">
            <v>68508</v>
          </cell>
          <cell r="K114">
            <v>0</v>
          </cell>
          <cell r="L114">
            <v>0</v>
          </cell>
          <cell r="M114">
            <v>1</v>
          </cell>
          <cell r="N114">
            <v>19</v>
          </cell>
          <cell r="O114">
            <v>0</v>
          </cell>
          <cell r="P114">
            <v>0</v>
          </cell>
          <cell r="Q114">
            <v>357</v>
          </cell>
          <cell r="R114">
            <v>5048</v>
          </cell>
          <cell r="S114">
            <v>145885</v>
          </cell>
          <cell r="T114">
            <v>154535</v>
          </cell>
          <cell r="U114">
            <v>14483</v>
          </cell>
          <cell r="V114" t="str">
            <v>NER/D/WC048</v>
          </cell>
          <cell r="W114" t="str">
            <v>2003/2004</v>
          </cell>
          <cell r="X114" t="str">
            <v>NER/D/WC048</v>
          </cell>
          <cell r="Y114" t="str">
            <v>Knysna</v>
          </cell>
        </row>
        <row r="115">
          <cell r="A115">
            <v>716</v>
          </cell>
          <cell r="B115">
            <v>1940</v>
          </cell>
          <cell r="C115">
            <v>1</v>
          </cell>
          <cell r="D115">
            <v>2</v>
          </cell>
          <cell r="E115">
            <v>0</v>
          </cell>
          <cell r="F115">
            <v>0</v>
          </cell>
          <cell r="G115">
            <v>0</v>
          </cell>
          <cell r="H115">
            <v>0</v>
          </cell>
          <cell r="I115">
            <v>35</v>
          </cell>
          <cell r="J115">
            <v>2761</v>
          </cell>
          <cell r="K115">
            <v>1</v>
          </cell>
          <cell r="L115">
            <v>16</v>
          </cell>
          <cell r="M115">
            <v>4</v>
          </cell>
          <cell r="N115">
            <v>435</v>
          </cell>
          <cell r="O115">
            <v>0</v>
          </cell>
          <cell r="P115">
            <v>0</v>
          </cell>
          <cell r="Q115">
            <v>10</v>
          </cell>
          <cell r="R115">
            <v>55</v>
          </cell>
          <cell r="S115">
            <v>5209</v>
          </cell>
          <cell r="T115">
            <v>5200</v>
          </cell>
          <cell r="U115">
            <v>767</v>
          </cell>
          <cell r="V115" t="str">
            <v>NER/D/WC051</v>
          </cell>
          <cell r="W115" t="str">
            <v>2003/2004</v>
          </cell>
          <cell r="X115" t="str">
            <v>NER/D/WC051</v>
          </cell>
          <cell r="Y115" t="str">
            <v>Laingsburg</v>
          </cell>
        </row>
        <row r="116">
          <cell r="A116">
            <v>1163</v>
          </cell>
          <cell r="B116">
            <v>4399</v>
          </cell>
          <cell r="C116">
            <v>5</v>
          </cell>
          <cell r="D116">
            <v>274</v>
          </cell>
          <cell r="E116">
            <v>0</v>
          </cell>
          <cell r="F116">
            <v>0</v>
          </cell>
          <cell r="G116">
            <v>0</v>
          </cell>
          <cell r="H116">
            <v>0</v>
          </cell>
          <cell r="I116">
            <v>99</v>
          </cell>
          <cell r="J116">
            <v>1292</v>
          </cell>
          <cell r="K116">
            <v>0</v>
          </cell>
          <cell r="L116">
            <v>0</v>
          </cell>
          <cell r="M116">
            <v>5</v>
          </cell>
          <cell r="N116">
            <v>1103</v>
          </cell>
          <cell r="O116">
            <v>0</v>
          </cell>
          <cell r="P116">
            <v>0</v>
          </cell>
          <cell r="Q116">
            <v>1</v>
          </cell>
          <cell r="R116">
            <v>221</v>
          </cell>
          <cell r="S116">
            <v>7289</v>
          </cell>
          <cell r="T116">
            <v>7202</v>
          </cell>
          <cell r="U116">
            <v>1273</v>
          </cell>
          <cell r="V116" t="str">
            <v>NER/D/WC052</v>
          </cell>
          <cell r="W116" t="str">
            <v>2003/2004</v>
          </cell>
          <cell r="X116" t="str">
            <v>NER/D/WC052</v>
          </cell>
          <cell r="Y116" t="str">
            <v>Prince Albert</v>
          </cell>
        </row>
        <row r="117">
          <cell r="A117">
            <v>0</v>
          </cell>
          <cell r="B117">
            <v>0</v>
          </cell>
          <cell r="C117">
            <v>0</v>
          </cell>
          <cell r="D117">
            <v>0</v>
          </cell>
          <cell r="E117">
            <v>0</v>
          </cell>
          <cell r="F117">
            <v>0</v>
          </cell>
          <cell r="G117">
            <v>0</v>
          </cell>
          <cell r="H117">
            <v>0</v>
          </cell>
          <cell r="I117">
            <v>0</v>
          </cell>
          <cell r="J117">
            <v>0</v>
          </cell>
          <cell r="K117">
            <v>0</v>
          </cell>
          <cell r="L117">
            <v>0</v>
          </cell>
          <cell r="M117">
            <v>0</v>
          </cell>
          <cell r="N117">
            <v>0</v>
          </cell>
          <cell r="O117">
            <v>0</v>
          </cell>
          <cell r="P117">
            <v>0</v>
          </cell>
          <cell r="Q117">
            <v>0</v>
          </cell>
          <cell r="R117">
            <v>0</v>
          </cell>
          <cell r="S117">
            <v>0</v>
          </cell>
          <cell r="T117">
            <v>0</v>
          </cell>
          <cell r="U117">
            <v>0</v>
          </cell>
          <cell r="V117" t="str">
            <v>NER/D/WC053</v>
          </cell>
          <cell r="W117" t="str">
            <v>2003/2004</v>
          </cell>
          <cell r="X117" t="str">
            <v>NER/D/WC053</v>
          </cell>
          <cell r="Y117" t="str">
            <v>Beaufort West</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geLog"/>
      <sheetName val="REGIONS"/>
      <sheetName val="Index_SATIM"/>
      <sheetName val="Index_CGE"/>
      <sheetName val="Index_G2E"/>
      <sheetName val="Index_E2G"/>
      <sheetName val="POP_STATSSA"/>
      <sheetName val="MCDrivers"/>
      <sheetName val="MCEcon"/>
      <sheetName val="DMD"/>
      <sheetName val="hh.inc.regressions"/>
      <sheetName val="ITEMS_AGR"/>
      <sheetName val="AGR"/>
      <sheetName val="ITEMS_IND"/>
      <sheetName val="IND"/>
      <sheetName val="ITEMS_RES"/>
      <sheetName val="RES"/>
      <sheetName val="ITEMS_COM"/>
      <sheetName val="COM"/>
      <sheetName val="ITEMS_TRA"/>
      <sheetName val="FTRA"/>
      <sheetName val="PTRA"/>
      <sheetName val="OtherTR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28">
          <cell r="A28" t="str">
            <v>*</v>
          </cell>
          <cell r="C28" t="str">
            <v>Electrification Rates</v>
          </cell>
          <cell r="E28">
            <v>2012</v>
          </cell>
          <cell r="F28">
            <v>2020</v>
          </cell>
          <cell r="G28">
            <v>2030</v>
          </cell>
          <cell r="H28">
            <v>2040</v>
          </cell>
          <cell r="I28">
            <v>2050</v>
          </cell>
        </row>
        <row r="29">
          <cell r="A29" t="str">
            <v>*</v>
          </cell>
          <cell r="C29" t="str">
            <v>Low Income</v>
          </cell>
          <cell r="D29" t="str">
            <v>%</v>
          </cell>
          <cell r="E29">
            <v>0.71</v>
          </cell>
          <cell r="F29">
            <v>0.8</v>
          </cell>
          <cell r="G29">
            <v>0.85</v>
          </cell>
          <cell r="H29">
            <v>0.9</v>
          </cell>
          <cell r="I29">
            <v>0.95</v>
          </cell>
          <cell r="J29">
            <v>0.71</v>
          </cell>
          <cell r="K29">
            <v>0.72124999999999995</v>
          </cell>
          <cell r="L29">
            <v>0.73249999999999993</v>
          </cell>
          <cell r="M29">
            <v>0.74374999999999991</v>
          </cell>
          <cell r="N29">
            <v>0.75499999999999989</v>
          </cell>
          <cell r="O29">
            <v>0.76624999999999988</v>
          </cell>
          <cell r="P29">
            <v>0.77749999999999986</v>
          </cell>
          <cell r="Q29">
            <v>0.78874999999999984</v>
          </cell>
          <cell r="R29">
            <v>0.8</v>
          </cell>
          <cell r="S29">
            <v>0.80500000000000005</v>
          </cell>
          <cell r="T29">
            <v>0.81</v>
          </cell>
          <cell r="U29">
            <v>0.81500000000000006</v>
          </cell>
          <cell r="V29">
            <v>0.82000000000000006</v>
          </cell>
          <cell r="W29">
            <v>0.82500000000000007</v>
          </cell>
          <cell r="X29">
            <v>0.83000000000000007</v>
          </cell>
          <cell r="Y29">
            <v>0.83500000000000008</v>
          </cell>
          <cell r="Z29">
            <v>0.84000000000000008</v>
          </cell>
          <cell r="AA29">
            <v>0.84500000000000008</v>
          </cell>
          <cell r="AB29">
            <v>0.85</v>
          </cell>
          <cell r="AC29">
            <v>0.85499999999999998</v>
          </cell>
          <cell r="AD29">
            <v>0.86</v>
          </cell>
          <cell r="AE29">
            <v>0.86499999999999999</v>
          </cell>
          <cell r="AF29">
            <v>0.87</v>
          </cell>
          <cell r="AG29">
            <v>0.875</v>
          </cell>
          <cell r="AH29">
            <v>0.88</v>
          </cell>
          <cell r="AI29">
            <v>0.88500000000000001</v>
          </cell>
          <cell r="AJ29">
            <v>0.89</v>
          </cell>
          <cell r="AK29">
            <v>0.89500000000000002</v>
          </cell>
          <cell r="AL29">
            <v>0.9</v>
          </cell>
          <cell r="AM29">
            <v>0.92500000000000004</v>
          </cell>
          <cell r="AN29">
            <v>0.95</v>
          </cell>
          <cell r="AO29">
            <v>0.95</v>
          </cell>
          <cell r="AP29">
            <v>0.95</v>
          </cell>
        </row>
        <row r="30">
          <cell r="A30" t="str">
            <v>*</v>
          </cell>
          <cell r="C30" t="str">
            <v>Middle Income</v>
          </cell>
          <cell r="D30" t="str">
            <v>%</v>
          </cell>
          <cell r="E30">
            <v>0.83</v>
          </cell>
          <cell r="F30">
            <v>0.9</v>
          </cell>
          <cell r="G30">
            <v>0.95</v>
          </cell>
          <cell r="H30">
            <v>0.95</v>
          </cell>
          <cell r="I30">
            <v>1</v>
          </cell>
          <cell r="J30">
            <v>0.83</v>
          </cell>
          <cell r="K30">
            <v>0.83875</v>
          </cell>
          <cell r="L30">
            <v>0.84750000000000003</v>
          </cell>
          <cell r="M30">
            <v>0.85625000000000007</v>
          </cell>
          <cell r="N30">
            <v>0.8650000000000001</v>
          </cell>
          <cell r="O30">
            <v>0.87375000000000014</v>
          </cell>
          <cell r="P30">
            <v>0.88250000000000017</v>
          </cell>
          <cell r="Q30">
            <v>0.89125000000000021</v>
          </cell>
          <cell r="R30">
            <v>0.9</v>
          </cell>
          <cell r="S30">
            <v>0.90500000000000003</v>
          </cell>
          <cell r="T30">
            <v>0.91</v>
          </cell>
          <cell r="U30">
            <v>0.91500000000000004</v>
          </cell>
          <cell r="V30">
            <v>0.92</v>
          </cell>
          <cell r="W30">
            <v>0.92500000000000004</v>
          </cell>
          <cell r="X30">
            <v>0.93</v>
          </cell>
          <cell r="Y30">
            <v>0.93500000000000005</v>
          </cell>
          <cell r="Z30">
            <v>0.94000000000000006</v>
          </cell>
          <cell r="AA30">
            <v>0.94500000000000006</v>
          </cell>
          <cell r="AB30">
            <v>0.95</v>
          </cell>
          <cell r="AC30">
            <v>0.95</v>
          </cell>
          <cell r="AD30">
            <v>0.95</v>
          </cell>
          <cell r="AE30">
            <v>0.95</v>
          </cell>
          <cell r="AF30">
            <v>0.95</v>
          </cell>
          <cell r="AG30">
            <v>0.95</v>
          </cell>
          <cell r="AH30">
            <v>0.95</v>
          </cell>
          <cell r="AI30">
            <v>0.95</v>
          </cell>
          <cell r="AJ30">
            <v>0.95</v>
          </cell>
          <cell r="AK30">
            <v>0.95</v>
          </cell>
          <cell r="AL30">
            <v>0.95</v>
          </cell>
          <cell r="AM30">
            <v>0.97499999999999998</v>
          </cell>
          <cell r="AN30">
            <v>1</v>
          </cell>
          <cell r="AO30">
            <v>1</v>
          </cell>
          <cell r="AP30">
            <v>1</v>
          </cell>
        </row>
        <row r="31">
          <cell r="A31" t="str">
            <v>*</v>
          </cell>
          <cell r="C31" t="str">
            <v>Overall Electrification</v>
          </cell>
          <cell r="D31" t="str">
            <v>%</v>
          </cell>
          <cell r="E31">
            <v>0.81742172774301225</v>
          </cell>
          <cell r="F31">
            <v>0.88679528399217844</v>
          </cell>
          <cell r="G31">
            <v>0.93007576012016668</v>
          </cell>
          <cell r="H31">
            <v>0.95179523515074738</v>
          </cell>
          <cell r="I31">
            <v>0.98698895240004259</v>
          </cell>
        </row>
      </sheetData>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useholds"/>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ad Data"/>
      <sheetName val="LoadVector"/>
      <sheetName val="Load Calibration"/>
      <sheetName val="Suburban"/>
      <sheetName val="Township"/>
      <sheetName val="Commercial"/>
      <sheetName val="Industry"/>
      <sheetName val="Agric"/>
      <sheetName val="Transport"/>
      <sheetName val="SA_Demand"/>
      <sheetName val="OtherTables"/>
      <sheetName val="Regions"/>
      <sheetName val="Items"/>
      <sheetName val="Items2"/>
      <sheetName val="ItemsD"/>
      <sheetName val="TIDData1"/>
      <sheetName val="TIDData2"/>
      <sheetName val="TIDData3"/>
      <sheetName val="RES COMFR"/>
      <sheetName val="AGR COMFR"/>
      <sheetName val="COM COMFR"/>
      <sheetName val="IND COMFR"/>
      <sheetName val="TRA COMFR"/>
      <sheetName val="AFA"/>
      <sheetName val="LossesCalib"/>
      <sheetName val="Losses NERSA 2012"/>
    </sheetNames>
    <sheetDataSet>
      <sheetData sheetId="0"/>
      <sheetData sheetId="1"/>
      <sheetData sheetId="2">
        <row r="156">
          <cell r="AA156">
            <v>0.38019999999999998</v>
          </cell>
          <cell r="AB156">
            <v>0.55130000000000001</v>
          </cell>
          <cell r="AC156">
            <v>0.20419999999999999</v>
          </cell>
          <cell r="AD156">
            <v>0.53290000000000004</v>
          </cell>
          <cell r="AE156">
            <v>0.79210000000000003</v>
          </cell>
          <cell r="AF156">
            <v>0.54900000000000004</v>
          </cell>
          <cell r="AG156">
            <v>0.34810000000000002</v>
          </cell>
          <cell r="AH156">
            <v>0.60209999999999997</v>
          </cell>
          <cell r="AI156">
            <v>0.31740000000000002</v>
          </cell>
          <cell r="AJ156">
            <v>0.58199999999999996</v>
          </cell>
          <cell r="AK156">
            <v>0.58199999999999996</v>
          </cell>
          <cell r="AL156">
            <v>0.79210000000000003</v>
          </cell>
          <cell r="AM156">
            <v>0.38840000000000002</v>
          </cell>
          <cell r="AN156">
            <v>0.34810000000000002</v>
          </cell>
          <cell r="AO156">
            <v>0.60209999999999997</v>
          </cell>
          <cell r="AP156">
            <v>0.31740000000000002</v>
          </cell>
          <cell r="AQ156">
            <v>0.58199999999999996</v>
          </cell>
          <cell r="AR156">
            <v>0.58199999999999996</v>
          </cell>
          <cell r="AS156">
            <v>0.58199999999999996</v>
          </cell>
          <cell r="AT156">
            <v>0.38840000000000002</v>
          </cell>
          <cell r="AU156">
            <v>0.79849999999999999</v>
          </cell>
          <cell r="AV156">
            <v>0.48230000000000001</v>
          </cell>
          <cell r="AW156">
            <v>0.68689999999999996</v>
          </cell>
          <cell r="AX156">
            <v>0.55200000000000005</v>
          </cell>
          <cell r="AY156">
            <v>0.68830000000000002</v>
          </cell>
          <cell r="AZ156">
            <v>0.89129999999999998</v>
          </cell>
          <cell r="BA156">
            <v>0.5464</v>
          </cell>
          <cell r="BB156">
            <v>0.89129999999999998</v>
          </cell>
          <cell r="BC156">
            <v>0.64739999999999998</v>
          </cell>
          <cell r="BD156">
            <v>0.90290000000000004</v>
          </cell>
          <cell r="BE156">
            <v>0.90769999999999995</v>
          </cell>
          <cell r="BF156">
            <v>0.77939999999999998</v>
          </cell>
          <cell r="BG156">
            <v>0.80359999999999998</v>
          </cell>
          <cell r="BH156">
            <v>0.73609999999999998</v>
          </cell>
          <cell r="BI156">
            <v>0.84470000000000001</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persons/person.xml><?xml version="1.0" encoding="utf-8"?>
<personList xmlns="http://schemas.microsoft.com/office/spreadsheetml/2018/threadedcomments" xmlns:x="http://schemas.openxmlformats.org/spreadsheetml/2006/main">
  <person displayName="alison" id="{CDDAF179-4480-4DE8-BE64-7CEFAF2FA394}" userId="alison" providerId="None"/>
  <person displayName="Alison Hughes" id="{E1B755A1-88E3-EE4F-B17D-58DA0F0B7737}" userId="S::01372879@wf.uct.ac.za::b5db5c21-02f6-48cc-8137-97ddd559343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9000000}" name="Table4" displayName="Table4" ref="A5:F37" totalsRowShown="0" headerRowDxfId="309">
  <autoFilter ref="A5:F37" xr:uid="{00000000-0009-0000-0100-000004000000}"/>
  <tableColumns count="6">
    <tableColumn id="1" xr3:uid="{00000000-0010-0000-0900-000001000000}" name="Reference Code"/>
    <tableColumn id="2" xr3:uid="{00000000-0010-0000-0900-000002000000}" name="Title"/>
    <tableColumn id="5" xr3:uid="{00000000-0010-0000-0900-000005000000}" name="Organisation's Name or Authors"/>
    <tableColumn id="3" xr3:uid="{00000000-0010-0000-0900-000003000000}" name="Link'"/>
    <tableColumn id="4" xr3:uid="{00000000-0010-0000-0900-000004000000}" name="Publication Series"/>
    <tableColumn id="6" xr3:uid="{00000000-0010-0000-0900-000006000000}" name="Note on the Referen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3" dT="2023-08-07T23:49:16.67" personId="{E1B755A1-88E3-EE4F-B17D-58DA0F0B7737}" id="{8308AA76-425E-D44B-9894-E5B4FF0C8BE8}">
    <text>These shares match dmd_prj</text>
  </threadedComment>
  <threadedComment ref="H9" dT="2020-06-05T08:23:56.54" personId="{CDDAF179-4480-4DE8-BE64-7CEFAF2FA394}" id="{4DF60E77-CC5A-4D82-BA19-1A831A4807D7}">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 ref="J9" dT="2023-08-07T23:49:01.22" personId="{E1B755A1-88E3-EE4F-B17D-58DA0F0B7737}" id="{D42BB6B0-AB45-9E43-A9E9-B0DA0F955F44}">
    <text>Taken from SANEDI “household data v03” workbook</text>
  </threadedComment>
  <threadedComment ref="D47" dT="2020-06-05T08:23:56.54" personId="{CDDAF179-4480-4DE8-BE64-7CEFAF2FA394}" id="{DCE847A7-FF76-4CBA-BF42-FAA7EA517A5C}">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s>
</file>

<file path=xl/threadedComments/threadedComment2.xml><?xml version="1.0" encoding="utf-8"?>
<ThreadedComments xmlns="http://schemas.microsoft.com/office/spreadsheetml/2018/threadedcomments" xmlns:x="http://schemas.openxmlformats.org/spreadsheetml/2006/main">
  <threadedComment ref="G99" dT="2020-06-10T10:21:22.86" personId="{CDDAF179-4480-4DE8-BE64-7CEFAF2FA394}" id="{6A7695AD-4A76-48DA-970B-19A6CB9DACC1}">
    <text>Also difference in wood use here, with non-elec hhlds using more</text>
  </threadedComment>
</ThreadedComments>
</file>

<file path=xl/threadedComments/threadedComment3.xml><?xml version="1.0" encoding="utf-8"?>
<ThreadedComments xmlns="http://schemas.microsoft.com/office/spreadsheetml/2018/threadedcomments" xmlns:x="http://schemas.openxmlformats.org/spreadsheetml/2006/main">
  <threadedComment ref="S34" dT="2023-08-17T16:05:27.75" personId="{E1B755A1-88E3-EE4F-B17D-58DA0F0B7737}" id="{DF5259BA-374F-B841-825F-9E1553572344}">
    <text>Efficiency - pulls informtion in from scenarios</text>
  </threadedComment>
  <threadedComment ref="E62" dT="2023-08-16T17:02:29.22" personId="{E1B755A1-88E3-EE4F-B17D-58DA0F0B7737}" id="{D175A75C-4ADB-F247-9B9F-B5C585A9CE63}">
    <text>I don’t think this matches SANEDI</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www.cityenergy.org.za/files/resources/soe/CTMMSOE.pdf" TargetMode="External"/><Relationship Id="rId13" Type="http://schemas.openxmlformats.org/officeDocument/2006/relationships/table" Target="../tables/table1.xml"/><Relationship Id="rId3" Type="http://schemas.openxmlformats.org/officeDocument/2006/relationships/hyperlink" Target="http://www.erc.uct.ac.za/Research/publications/05WInkler%20etal%20-%20CT%20energy%20futures.pdf" TargetMode="External"/><Relationship Id="rId7" Type="http://schemas.openxmlformats.org/officeDocument/2006/relationships/hyperlink" Target="http://www.nersa.org.za/Admin/Document/Editor/file/News%20and%20Publications/Publications/Current%20Issues/Electricity%20Supply%20Statistics/Electricity%20supply%20statistics%202006.pdf" TargetMode="External"/><Relationship Id="rId12" Type="http://schemas.openxmlformats.org/officeDocument/2006/relationships/hyperlink" Target="http://www.altestore.com/howto/Power-Ratings-typical-for-Common-Appliances/a21/" TargetMode="External"/><Relationship Id="rId2" Type="http://schemas.openxmlformats.org/officeDocument/2006/relationships/hyperlink" Target="http://www.energy.gov.za/files/media/explained/2009%20Digest%20PDF%20version.pdf" TargetMode="External"/><Relationship Id="rId1" Type="http://schemas.openxmlformats.org/officeDocument/2006/relationships/hyperlink" Target="http://beta2.statssa.gov.za/publications/P0141/CPIHistory.pdf" TargetMode="External"/><Relationship Id="rId6" Type="http://schemas.openxmlformats.org/officeDocument/2006/relationships/hyperlink" Target="http://active.cput.ac.za/energy/past_papers/DUE/2009/PDF/Paper%20-%20Shuma-Iwisi%20M.pdf" TargetMode="External"/><Relationship Id="rId11" Type="http://schemas.openxmlformats.org/officeDocument/2006/relationships/hyperlink" Target="http://www.syngen.co.za/index.php/guidelines/power-rating-appliances" TargetMode="External"/><Relationship Id="rId5" Type="http://schemas.openxmlformats.org/officeDocument/2006/relationships/hyperlink" Target="http://www.capetown.gov.za/en/EnvironmentalResourceManagement/publications/Documents/Energy_Scenarios_for_CT_to_2050_2011-08.pdf" TargetMode="External"/><Relationship Id="rId10" Type="http://schemas.openxmlformats.org/officeDocument/2006/relationships/hyperlink" Target="http://www.futurelight.co.za/collections/led-bulbs" TargetMode="External"/><Relationship Id="rId4" Type="http://schemas.openxmlformats.org/officeDocument/2006/relationships/hyperlink" Target="http://uctscholar.uct.ac.za/R?func=dbin-jump-full&amp;object_id=57802" TargetMode="External"/><Relationship Id="rId9" Type="http://schemas.openxmlformats.org/officeDocument/2006/relationships/hyperlink" Target="http://www.ebay.com/bhp/natural-gas-stov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dataportal.eighty20.co.za/cached/b2b44db1c56c417dbb39fa3db3dded23" TargetMode="External"/><Relationship Id="rId2" Type="http://schemas.openxmlformats.org/officeDocument/2006/relationships/hyperlink" Target="https://dataportal.eighty20.co.za/cached/9ba4f30b46a3410db66fb34fe5ffe432" TargetMode="External"/><Relationship Id="rId1" Type="http://schemas.openxmlformats.org/officeDocument/2006/relationships/hyperlink" Target="https://dataportal.eighty20.co.za/cached/beb9ae3d64374ac598d8f6cd9b72b336"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7.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microsoft.com/office/2017/10/relationships/threadedComment" Target="../threadedComments/threadedComment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12.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8"/>
  <dimension ref="A1:B38"/>
  <sheetViews>
    <sheetView workbookViewId="0">
      <selection activeCell="B19" sqref="B19"/>
    </sheetView>
  </sheetViews>
  <sheetFormatPr defaultColWidth="11.46875" defaultRowHeight="12.7"/>
  <cols>
    <col min="1" max="1" width="38.8203125" customWidth="1"/>
  </cols>
  <sheetData>
    <row r="1" spans="1:2">
      <c r="A1" t="s">
        <v>561</v>
      </c>
      <c r="B1" t="s">
        <v>562</v>
      </c>
    </row>
    <row r="2" spans="1:2">
      <c r="A2" t="s">
        <v>563</v>
      </c>
      <c r="B2">
        <v>65775</v>
      </c>
    </row>
    <row r="3" spans="1:2">
      <c r="A3" t="s">
        <v>564</v>
      </c>
      <c r="B3">
        <v>63874</v>
      </c>
    </row>
    <row r="4" spans="1:2">
      <c r="A4" t="s">
        <v>565</v>
      </c>
      <c r="B4">
        <v>69817</v>
      </c>
    </row>
    <row r="5" spans="1:2">
      <c r="A5" t="s">
        <v>566</v>
      </c>
      <c r="B5">
        <v>75928</v>
      </c>
    </row>
    <row r="6" spans="1:2">
      <c r="A6" t="s">
        <v>537</v>
      </c>
      <c r="B6">
        <v>105990</v>
      </c>
    </row>
    <row r="7" spans="1:2">
      <c r="A7" t="s">
        <v>48</v>
      </c>
      <c r="B7">
        <v>94626</v>
      </c>
    </row>
    <row r="8" spans="1:2">
      <c r="A8" t="s">
        <v>567</v>
      </c>
      <c r="B8">
        <v>81894</v>
      </c>
    </row>
    <row r="9" spans="1:2">
      <c r="A9" t="s">
        <v>568</v>
      </c>
      <c r="B9">
        <v>88794</v>
      </c>
    </row>
    <row r="10" spans="1:2">
      <c r="A10" t="s">
        <v>53</v>
      </c>
      <c r="B10">
        <v>84241</v>
      </c>
    </row>
    <row r="11" spans="1:2">
      <c r="A11" t="s">
        <v>60</v>
      </c>
      <c r="B11">
        <v>55403</v>
      </c>
    </row>
    <row r="12" spans="1:2">
      <c r="A12" t="s">
        <v>212</v>
      </c>
      <c r="B12">
        <v>72499</v>
      </c>
    </row>
    <row r="13" spans="1:2">
      <c r="A13" t="s">
        <v>569</v>
      </c>
      <c r="B13">
        <v>125167</v>
      </c>
    </row>
    <row r="14" spans="1:2">
      <c r="A14" t="s">
        <v>570</v>
      </c>
      <c r="B14">
        <v>541396</v>
      </c>
    </row>
    <row r="15" spans="1:2">
      <c r="A15" t="s">
        <v>571</v>
      </c>
      <c r="B15">
        <v>116656</v>
      </c>
    </row>
    <row r="16" spans="1:2">
      <c r="A16" t="s">
        <v>65</v>
      </c>
      <c r="B16">
        <v>538287</v>
      </c>
    </row>
    <row r="17" spans="1:2">
      <c r="A17" t="s">
        <v>416</v>
      </c>
      <c r="B17">
        <v>296551</v>
      </c>
    </row>
    <row r="18" spans="1:2">
      <c r="A18" t="s">
        <v>572</v>
      </c>
      <c r="B18">
        <v>98556</v>
      </c>
    </row>
    <row r="19" spans="1:2">
      <c r="A19" t="s">
        <v>573</v>
      </c>
      <c r="B19">
        <v>98005</v>
      </c>
    </row>
    <row r="20" spans="1:2">
      <c r="A20" t="s">
        <v>77</v>
      </c>
      <c r="B20">
        <v>8390222</v>
      </c>
    </row>
    <row r="21" spans="1:2">
      <c r="A21" t="s">
        <v>574</v>
      </c>
      <c r="B21">
        <v>7390196</v>
      </c>
    </row>
    <row r="22" spans="1:2">
      <c r="A22" t="s">
        <v>575</v>
      </c>
      <c r="B22">
        <v>80148</v>
      </c>
    </row>
    <row r="23" spans="1:2">
      <c r="A23" t="s">
        <v>576</v>
      </c>
      <c r="B23">
        <v>83940</v>
      </c>
    </row>
    <row r="24" spans="1:2">
      <c r="A24" t="s">
        <v>577</v>
      </c>
      <c r="B24">
        <v>751456</v>
      </c>
    </row>
    <row r="26" spans="1:2">
      <c r="A26" t="s">
        <v>578</v>
      </c>
      <c r="B26">
        <v>208346</v>
      </c>
    </row>
    <row r="27" spans="1:2">
      <c r="A27" t="s">
        <v>579</v>
      </c>
      <c r="B27">
        <v>74801</v>
      </c>
    </row>
    <row r="28" spans="1:2">
      <c r="A28" t="s">
        <v>580</v>
      </c>
      <c r="B28">
        <v>98366</v>
      </c>
    </row>
    <row r="29" spans="1:2">
      <c r="A29" t="s">
        <v>581</v>
      </c>
      <c r="B29">
        <v>109930</v>
      </c>
    </row>
    <row r="30" spans="1:2">
      <c r="A30" t="s">
        <v>582</v>
      </c>
      <c r="B30">
        <v>110569</v>
      </c>
    </row>
    <row r="31" spans="1:2">
      <c r="A31" t="s">
        <v>583</v>
      </c>
      <c r="B31">
        <v>63845</v>
      </c>
    </row>
    <row r="32" spans="1:2">
      <c r="A32" t="s">
        <v>86</v>
      </c>
      <c r="B32">
        <v>66538</v>
      </c>
    </row>
    <row r="33" spans="1:2">
      <c r="A33" t="s">
        <v>584</v>
      </c>
      <c r="B33">
        <v>97985</v>
      </c>
    </row>
    <row r="34" spans="1:2">
      <c r="A34" t="s">
        <v>585</v>
      </c>
      <c r="B34">
        <v>89636</v>
      </c>
    </row>
    <row r="35" spans="1:2">
      <c r="A35" t="s">
        <v>586</v>
      </c>
      <c r="B35">
        <v>99212</v>
      </c>
    </row>
    <row r="36" spans="1:2">
      <c r="A36" t="s">
        <v>587</v>
      </c>
      <c r="B36">
        <v>99125</v>
      </c>
    </row>
    <row r="37" spans="1:2">
      <c r="A37" t="s">
        <v>588</v>
      </c>
      <c r="B37">
        <v>86384</v>
      </c>
    </row>
    <row r="38" spans="1:2">
      <c r="A38" t="s">
        <v>589</v>
      </c>
      <c r="B38">
        <v>70018</v>
      </c>
    </row>
  </sheetData>
  <conditionalFormatting sqref="B1:B1048576">
    <cfRule type="dataBar" priority="1">
      <dataBar>
        <cfvo type="min"/>
        <cfvo type="max"/>
        <color rgb="FF638EC6"/>
      </dataBar>
      <extLst>
        <ext xmlns:x14="http://schemas.microsoft.com/office/spreadsheetml/2009/9/main" uri="{B025F937-C7B1-47D3-B67F-A62EFF666E3E}">
          <x14:id>{A083F591-670C-404E-9F0C-5B03CF02BD7A}</x14:id>
        </ext>
      </extLst>
    </cfRule>
  </conditionalFormatting>
  <pageMargins left="0.75" right="0.75" top="1" bottom="1" header="0.5" footer="0.5"/>
  <extLst>
    <ext xmlns:x14="http://schemas.microsoft.com/office/spreadsheetml/2009/9/main" uri="{78C0D931-6437-407d-A8EE-F0AAD7539E65}">
      <x14:conditionalFormattings>
        <x14:conditionalFormatting xmlns:xm="http://schemas.microsoft.com/office/excel/2006/main">
          <x14:cfRule type="dataBar" id="{A083F591-670C-404E-9F0C-5B03CF02BD7A}">
            <x14:dataBar minLength="0" maxLength="100" gradient="0">
              <x14:cfvo type="autoMin"/>
              <x14:cfvo type="autoMax"/>
              <x14:negativeFillColor rgb="FFFF0000"/>
              <x14:axisColor rgb="FF000000"/>
            </x14:dataBar>
          </x14:cfRule>
          <xm:sqref>B1:B1048576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1:F10"/>
  <sheetViews>
    <sheetView workbookViewId="0">
      <selection activeCell="E2" sqref="E2"/>
    </sheetView>
  </sheetViews>
  <sheetFormatPr defaultColWidth="8.8203125" defaultRowHeight="12.7"/>
  <sheetData>
    <row r="1" spans="1:6">
      <c r="B1" s="164">
        <v>1</v>
      </c>
      <c r="C1" s="6"/>
      <c r="D1" s="5" t="s">
        <v>411</v>
      </c>
      <c r="F1" s="21"/>
    </row>
    <row r="2" spans="1:6">
      <c r="A2" s="6"/>
      <c r="B2" s="163">
        <v>0</v>
      </c>
      <c r="C2" s="163" t="s">
        <v>413</v>
      </c>
    </row>
    <row r="3" spans="1:6">
      <c r="A3" s="6"/>
      <c r="B3" s="163">
        <v>1</v>
      </c>
      <c r="C3" s="163" t="s">
        <v>412</v>
      </c>
    </row>
    <row r="5" spans="1:6">
      <c r="A5" t="s">
        <v>64</v>
      </c>
    </row>
    <row r="10" spans="1:6">
      <c r="A10" s="163" t="s">
        <v>410</v>
      </c>
    </row>
  </sheetData>
  <dataValidations count="1">
    <dataValidation type="list" allowBlank="1" showInputMessage="1" showErrorMessage="1" sqref="B1" xr:uid="{00000000-0002-0000-0100-000000000000}">
      <formula1>$B$2:$B$3</formula1>
    </dataValidation>
  </dataValidation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dimension ref="A2:G37"/>
  <sheetViews>
    <sheetView workbookViewId="0"/>
  </sheetViews>
  <sheetFormatPr defaultColWidth="8.8203125" defaultRowHeight="12.7"/>
  <cols>
    <col min="1" max="1" width="17.64453125" customWidth="1"/>
    <col min="2" max="2" width="74.3515625" customWidth="1"/>
    <col min="3" max="3" width="44.46875" customWidth="1"/>
    <col min="4" max="4" width="51.64453125" customWidth="1"/>
    <col min="5" max="5" width="22" customWidth="1"/>
    <col min="6" max="6" width="25.3515625" customWidth="1"/>
    <col min="7" max="7" width="43.64453125" customWidth="1"/>
  </cols>
  <sheetData>
    <row r="2" spans="1:7">
      <c r="A2" s="1"/>
    </row>
    <row r="3" spans="1:7">
      <c r="A3" s="5" t="s">
        <v>212</v>
      </c>
    </row>
    <row r="4" spans="1:7">
      <c r="A4" s="1"/>
    </row>
    <row r="5" spans="1:7">
      <c r="A5" s="5" t="s">
        <v>201</v>
      </c>
      <c r="B5" s="41" t="s">
        <v>190</v>
      </c>
      <c r="C5" s="41" t="s">
        <v>182</v>
      </c>
      <c r="D5" s="41" t="s">
        <v>195</v>
      </c>
      <c r="E5" s="41" t="s">
        <v>181</v>
      </c>
      <c r="F5" s="41" t="s">
        <v>191</v>
      </c>
      <c r="G5" s="41"/>
    </row>
    <row r="6" spans="1:7">
      <c r="A6" s="70">
        <v>1</v>
      </c>
      <c r="B6" s="4" t="s">
        <v>200</v>
      </c>
      <c r="C6" s="70" t="s">
        <v>183</v>
      </c>
      <c r="D6" s="36" t="s">
        <v>248</v>
      </c>
      <c r="E6" s="37">
        <v>0</v>
      </c>
      <c r="F6" s="37">
        <v>0</v>
      </c>
      <c r="G6" s="37">
        <v>0</v>
      </c>
    </row>
    <row r="7" spans="1:7">
      <c r="A7" s="70">
        <v>2</v>
      </c>
      <c r="B7" s="4" t="s">
        <v>196</v>
      </c>
      <c r="C7" s="37" t="s">
        <v>26</v>
      </c>
      <c r="D7" s="36" t="s">
        <v>179</v>
      </c>
      <c r="E7" s="37" t="s">
        <v>180</v>
      </c>
      <c r="F7" s="37">
        <v>0</v>
      </c>
      <c r="G7" s="37">
        <v>0</v>
      </c>
    </row>
    <row r="8" spans="1:7" ht="35.25" customHeight="1">
      <c r="A8" s="37">
        <v>3</v>
      </c>
      <c r="B8" s="4" t="s">
        <v>188</v>
      </c>
      <c r="C8" s="38" t="s">
        <v>189</v>
      </c>
      <c r="D8" s="70">
        <v>0</v>
      </c>
      <c r="E8" s="37">
        <v>0</v>
      </c>
      <c r="F8" s="4" t="s">
        <v>192</v>
      </c>
      <c r="G8" s="37">
        <v>0</v>
      </c>
    </row>
    <row r="9" spans="1:7">
      <c r="A9" s="37">
        <v>4</v>
      </c>
      <c r="B9" s="4" t="s">
        <v>193</v>
      </c>
      <c r="C9" s="37" t="s">
        <v>194</v>
      </c>
      <c r="D9" s="36" t="s">
        <v>197</v>
      </c>
      <c r="E9" s="37">
        <v>0</v>
      </c>
      <c r="G9" s="37">
        <v>0</v>
      </c>
    </row>
    <row r="10" spans="1:7">
      <c r="A10" s="37">
        <v>5</v>
      </c>
      <c r="B10" s="1" t="s">
        <v>10</v>
      </c>
      <c r="C10" s="1" t="s">
        <v>202</v>
      </c>
      <c r="D10" s="36" t="s">
        <v>203</v>
      </c>
      <c r="E10" s="37">
        <v>0</v>
      </c>
      <c r="G10" s="37">
        <v>0</v>
      </c>
    </row>
    <row r="11" spans="1:7">
      <c r="A11" s="37">
        <v>6</v>
      </c>
      <c r="B11" t="s">
        <v>204</v>
      </c>
      <c r="C11" s="37" t="s">
        <v>206</v>
      </c>
      <c r="D11" s="36" t="s">
        <v>205</v>
      </c>
      <c r="E11" s="37">
        <v>0</v>
      </c>
      <c r="F11" s="37" t="s">
        <v>207</v>
      </c>
      <c r="G11" s="37">
        <v>0</v>
      </c>
    </row>
    <row r="12" spans="1:7">
      <c r="A12" s="37">
        <v>7</v>
      </c>
      <c r="B12" s="4" t="s">
        <v>208</v>
      </c>
      <c r="C12" s="37" t="s">
        <v>210</v>
      </c>
      <c r="D12" s="36" t="s">
        <v>209</v>
      </c>
      <c r="E12" s="37">
        <v>0</v>
      </c>
      <c r="F12" s="37" t="s">
        <v>211</v>
      </c>
      <c r="G12" s="37">
        <v>0</v>
      </c>
    </row>
    <row r="13" spans="1:7">
      <c r="A13" s="37">
        <v>8</v>
      </c>
      <c r="B13" s="1" t="s">
        <v>213</v>
      </c>
      <c r="C13" s="70" t="s">
        <v>214</v>
      </c>
      <c r="D13" s="36" t="s">
        <v>215</v>
      </c>
      <c r="E13" s="37">
        <v>0</v>
      </c>
      <c r="F13" s="70" t="s">
        <v>216</v>
      </c>
      <c r="G13" s="37">
        <v>0</v>
      </c>
    </row>
    <row r="14" spans="1:7">
      <c r="A14" s="37">
        <v>9</v>
      </c>
      <c r="B14" s="1" t="s">
        <v>219</v>
      </c>
      <c r="C14" s="37" t="s">
        <v>217</v>
      </c>
      <c r="D14" s="36" t="s">
        <v>218</v>
      </c>
      <c r="E14" s="37">
        <v>0</v>
      </c>
      <c r="F14" t="s">
        <v>220</v>
      </c>
      <c r="G14" s="37">
        <v>0</v>
      </c>
    </row>
    <row r="15" spans="1:7">
      <c r="A15" s="37">
        <v>10</v>
      </c>
      <c r="B15" s="1" t="s">
        <v>221</v>
      </c>
      <c r="C15" s="70" t="s">
        <v>222</v>
      </c>
      <c r="D15" s="36" t="s">
        <v>223</v>
      </c>
      <c r="E15" s="37">
        <v>0</v>
      </c>
      <c r="G15" s="37">
        <v>0</v>
      </c>
    </row>
    <row r="16" spans="1:7">
      <c r="A16" s="37">
        <v>11</v>
      </c>
      <c r="B16" t="s">
        <v>224</v>
      </c>
      <c r="C16" s="37" t="s">
        <v>19</v>
      </c>
      <c r="D16" s="37">
        <v>0</v>
      </c>
      <c r="E16" s="37">
        <v>0</v>
      </c>
      <c r="G16" s="37">
        <v>0</v>
      </c>
    </row>
    <row r="17" spans="1:7">
      <c r="A17" s="37">
        <v>12</v>
      </c>
      <c r="B17" t="s">
        <v>229</v>
      </c>
      <c r="C17" s="70" t="s">
        <v>230</v>
      </c>
      <c r="D17" s="37">
        <v>0</v>
      </c>
      <c r="E17" s="37">
        <v>0</v>
      </c>
      <c r="G17" s="37">
        <v>0</v>
      </c>
    </row>
    <row r="18" spans="1:7">
      <c r="A18" s="37">
        <v>13</v>
      </c>
      <c r="B18" t="s">
        <v>232</v>
      </c>
      <c r="C18" s="37" t="s">
        <v>231</v>
      </c>
      <c r="D18" s="37">
        <v>0</v>
      </c>
      <c r="E18" s="37">
        <v>0</v>
      </c>
      <c r="G18" s="37">
        <v>0</v>
      </c>
    </row>
    <row r="19" spans="1:7">
      <c r="A19" s="37">
        <v>14</v>
      </c>
      <c r="B19" t="s">
        <v>233</v>
      </c>
      <c r="C19" s="37" t="s">
        <v>234</v>
      </c>
      <c r="D19" s="37">
        <v>0</v>
      </c>
      <c r="E19" s="37">
        <v>0</v>
      </c>
      <c r="G19" s="37">
        <v>0</v>
      </c>
    </row>
    <row r="20" spans="1:7">
      <c r="A20" s="37">
        <v>15</v>
      </c>
      <c r="B20" t="s">
        <v>235</v>
      </c>
      <c r="C20" s="37" t="s">
        <v>239</v>
      </c>
      <c r="D20" s="37">
        <v>0</v>
      </c>
      <c r="E20" s="37">
        <v>0</v>
      </c>
      <c r="G20" s="37">
        <v>0</v>
      </c>
    </row>
    <row r="21" spans="1:7">
      <c r="A21" s="37">
        <v>16</v>
      </c>
      <c r="B21" s="1" t="s">
        <v>236</v>
      </c>
      <c r="C21" s="70" t="s">
        <v>237</v>
      </c>
      <c r="D21" s="37">
        <v>0</v>
      </c>
      <c r="E21" s="37">
        <v>0</v>
      </c>
      <c r="F21" s="70" t="s">
        <v>238</v>
      </c>
      <c r="G21" s="37">
        <v>0</v>
      </c>
    </row>
    <row r="22" spans="1:7">
      <c r="A22" s="37">
        <v>17</v>
      </c>
      <c r="B22" s="1" t="s">
        <v>240</v>
      </c>
      <c r="C22" s="70" t="s">
        <v>241</v>
      </c>
      <c r="E22" s="37">
        <v>0</v>
      </c>
      <c r="G22" s="37">
        <v>0</v>
      </c>
    </row>
    <row r="23" spans="1:7">
      <c r="A23" s="37">
        <v>18</v>
      </c>
      <c r="B23" s="1" t="s">
        <v>250</v>
      </c>
      <c r="C23" s="70" t="s">
        <v>251</v>
      </c>
      <c r="D23" s="36" t="s">
        <v>249</v>
      </c>
      <c r="E23" s="37">
        <v>0</v>
      </c>
      <c r="G23" s="37">
        <v>0</v>
      </c>
    </row>
    <row r="24" spans="1:7">
      <c r="A24" s="37">
        <v>19</v>
      </c>
      <c r="B24" s="1" t="s">
        <v>254</v>
      </c>
      <c r="C24" s="70"/>
      <c r="D24" s="36" t="s">
        <v>253</v>
      </c>
      <c r="E24" s="37">
        <v>0</v>
      </c>
      <c r="G24" s="37">
        <v>0</v>
      </c>
    </row>
    <row r="25" spans="1:7">
      <c r="A25" s="37">
        <v>20</v>
      </c>
      <c r="B25" s="1" t="s">
        <v>278</v>
      </c>
      <c r="C25" s="70" t="s">
        <v>277</v>
      </c>
      <c r="E25" s="37">
        <v>0</v>
      </c>
      <c r="F25" t="s">
        <v>276</v>
      </c>
    </row>
    <row r="26" spans="1:7">
      <c r="A26" s="37">
        <v>21</v>
      </c>
      <c r="B26" s="1" t="s">
        <v>279</v>
      </c>
      <c r="C26" s="70" t="s">
        <v>26</v>
      </c>
      <c r="E26" s="37">
        <v>0</v>
      </c>
    </row>
    <row r="27" spans="1:7">
      <c r="A27" s="37">
        <v>22</v>
      </c>
      <c r="B27" s="1" t="s">
        <v>280</v>
      </c>
      <c r="E27" s="37">
        <v>0</v>
      </c>
    </row>
    <row r="28" spans="1:7">
      <c r="A28" s="37">
        <v>23</v>
      </c>
      <c r="B28" s="1" t="s">
        <v>281</v>
      </c>
      <c r="E28" s="37">
        <v>0</v>
      </c>
    </row>
    <row r="29" spans="1:7">
      <c r="A29" s="37">
        <v>24</v>
      </c>
      <c r="B29" s="1"/>
      <c r="D29" s="112" t="s">
        <v>298</v>
      </c>
      <c r="E29" s="37">
        <v>0</v>
      </c>
    </row>
    <row r="30" spans="1:7">
      <c r="A30" s="37">
        <v>25</v>
      </c>
      <c r="B30" s="1"/>
      <c r="D30" s="113" t="s">
        <v>73</v>
      </c>
      <c r="E30" s="37">
        <v>0</v>
      </c>
    </row>
    <row r="31" spans="1:7">
      <c r="B31" s="1" t="s">
        <v>306</v>
      </c>
      <c r="D31" t="s">
        <v>305</v>
      </c>
    </row>
    <row r="32" spans="1:7">
      <c r="B32" s="1" t="s">
        <v>308</v>
      </c>
      <c r="D32" t="s">
        <v>307</v>
      </c>
    </row>
    <row r="33" spans="2:4">
      <c r="B33" t="s">
        <v>310</v>
      </c>
      <c r="D33" t="s">
        <v>309</v>
      </c>
    </row>
    <row r="34" spans="2:4">
      <c r="B34" t="s">
        <v>310</v>
      </c>
      <c r="D34" t="s">
        <v>311</v>
      </c>
    </row>
    <row r="35" spans="2:4">
      <c r="B35" s="1" t="s">
        <v>313</v>
      </c>
      <c r="D35" t="s">
        <v>312</v>
      </c>
    </row>
    <row r="36" spans="2:4">
      <c r="B36" s="1" t="s">
        <v>315</v>
      </c>
      <c r="D36" t="s">
        <v>314</v>
      </c>
    </row>
    <row r="37" spans="2:4">
      <c r="B37" s="1" t="s">
        <v>317</v>
      </c>
      <c r="D37" t="s">
        <v>316</v>
      </c>
    </row>
  </sheetData>
  <hyperlinks>
    <hyperlink ref="D7" r:id="rId1" xr:uid="{00000000-0004-0000-0B00-000000000000}"/>
    <hyperlink ref="D9" r:id="rId2" xr:uid="{00000000-0004-0000-0B00-000001000000}"/>
    <hyperlink ref="D10" r:id="rId3" xr:uid="{00000000-0004-0000-0B00-000002000000}"/>
    <hyperlink ref="D11" r:id="rId4" xr:uid="{00000000-0004-0000-0B00-000003000000}"/>
    <hyperlink ref="D12" r:id="rId5" xr:uid="{00000000-0004-0000-0B00-000004000000}"/>
    <hyperlink ref="D13" r:id="rId6" xr:uid="{00000000-0004-0000-0B00-000005000000}"/>
    <hyperlink ref="D14" r:id="rId7" xr:uid="{00000000-0004-0000-0B00-000006000000}"/>
    <hyperlink ref="D15" r:id="rId8" xr:uid="{00000000-0004-0000-0B00-000007000000}"/>
    <hyperlink ref="D23" r:id="rId9" xr:uid="{00000000-0004-0000-0B00-000008000000}"/>
    <hyperlink ref="D24" r:id="rId10" xr:uid="{00000000-0004-0000-0B00-000009000000}"/>
    <hyperlink ref="D29" r:id="rId11" xr:uid="{00000000-0004-0000-0B00-00000A000000}"/>
    <hyperlink ref="D30" r:id="rId12" xr:uid="{00000000-0004-0000-0B00-00000B000000}"/>
  </hyperlinks>
  <pageMargins left="0.7" right="0.7" top="0.75" bottom="0.75" header="0.3" footer="0.3"/>
  <tableParts count="1">
    <tablePart r:id="rId1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7"/>
  <dimension ref="C4:K31"/>
  <sheetViews>
    <sheetView workbookViewId="0">
      <selection activeCell="C23" sqref="C23"/>
    </sheetView>
  </sheetViews>
  <sheetFormatPr defaultColWidth="8.8203125" defaultRowHeight="12.7"/>
  <cols>
    <col min="3" max="3" width="15.46875" bestFit="1" customWidth="1"/>
    <col min="5" max="5" width="13.17578125" customWidth="1"/>
    <col min="6" max="6" width="35.3515625" customWidth="1"/>
    <col min="7" max="7" width="53.46875" customWidth="1"/>
    <col min="8" max="8" width="17.46875" customWidth="1"/>
    <col min="11" max="11" width="17.64453125" bestFit="1" customWidth="1"/>
  </cols>
  <sheetData>
    <row r="4" spans="3:8">
      <c r="C4" t="s">
        <v>135</v>
      </c>
      <c r="D4" t="s">
        <v>136</v>
      </c>
      <c r="E4" t="s">
        <v>137</v>
      </c>
      <c r="F4" t="s">
        <v>138</v>
      </c>
      <c r="G4" t="s">
        <v>140</v>
      </c>
      <c r="H4" t="s">
        <v>139</v>
      </c>
    </row>
    <row r="5" spans="3:8">
      <c r="C5" s="60">
        <v>41122</v>
      </c>
      <c r="D5" t="s">
        <v>141</v>
      </c>
      <c r="E5" t="s">
        <v>143</v>
      </c>
      <c r="F5" t="s">
        <v>142</v>
      </c>
      <c r="G5" t="s">
        <v>152</v>
      </c>
    </row>
    <row r="6" spans="3:8">
      <c r="E6" t="s">
        <v>144</v>
      </c>
      <c r="F6" t="s">
        <v>145</v>
      </c>
      <c r="G6" t="s">
        <v>146</v>
      </c>
      <c r="H6" t="s">
        <v>147</v>
      </c>
    </row>
    <row r="7" spans="3:8">
      <c r="E7" t="s">
        <v>143</v>
      </c>
      <c r="F7" t="s">
        <v>148</v>
      </c>
      <c r="G7" t="s">
        <v>149</v>
      </c>
    </row>
    <row r="8" spans="3:8">
      <c r="C8" s="60">
        <v>41153</v>
      </c>
      <c r="D8" t="s">
        <v>150</v>
      </c>
      <c r="E8" t="s">
        <v>143</v>
      </c>
      <c r="F8" t="s">
        <v>151</v>
      </c>
    </row>
    <row r="9" spans="3:8">
      <c r="E9" t="s">
        <v>144</v>
      </c>
      <c r="F9" t="s">
        <v>153</v>
      </c>
      <c r="G9" t="s">
        <v>154</v>
      </c>
    </row>
    <row r="10" spans="3:8">
      <c r="E10" t="s">
        <v>155</v>
      </c>
      <c r="F10" t="s">
        <v>156</v>
      </c>
      <c r="G10" t="s">
        <v>157</v>
      </c>
    </row>
    <row r="11" spans="3:8">
      <c r="E11" t="s">
        <v>155</v>
      </c>
      <c r="F11" t="s">
        <v>158</v>
      </c>
    </row>
    <row r="12" spans="3:8">
      <c r="E12" t="s">
        <v>155</v>
      </c>
      <c r="F12" t="s">
        <v>159</v>
      </c>
    </row>
    <row r="13" spans="3:8">
      <c r="E13" t="s">
        <v>160</v>
      </c>
      <c r="F13" t="s">
        <v>161</v>
      </c>
    </row>
    <row r="14" spans="3:8">
      <c r="E14" s="1" t="s">
        <v>77</v>
      </c>
      <c r="F14" s="1" t="s">
        <v>163</v>
      </c>
    </row>
    <row r="16" spans="3:8">
      <c r="C16" s="64">
        <v>41403.69752037037</v>
      </c>
      <c r="D16" s="1" t="s">
        <v>168</v>
      </c>
      <c r="E16" s="1" t="s">
        <v>77</v>
      </c>
      <c r="F16" s="1" t="s">
        <v>167</v>
      </c>
    </row>
    <row r="18" spans="3:11">
      <c r="C18" s="65">
        <v>41508</v>
      </c>
      <c r="D18" t="s">
        <v>169</v>
      </c>
      <c r="E18" t="s">
        <v>77</v>
      </c>
      <c r="F18" t="s">
        <v>170</v>
      </c>
    </row>
    <row r="19" spans="3:11">
      <c r="C19" s="1" t="s">
        <v>318</v>
      </c>
      <c r="D19" s="1" t="s">
        <v>319</v>
      </c>
      <c r="E19" s="1" t="s">
        <v>320</v>
      </c>
    </row>
    <row r="21" spans="3:11">
      <c r="C21" t="s">
        <v>408</v>
      </c>
      <c r="D21" t="s">
        <v>141</v>
      </c>
      <c r="E21" t="s">
        <v>77</v>
      </c>
      <c r="F21" t="s">
        <v>409</v>
      </c>
    </row>
    <row r="22" spans="3:11">
      <c r="C22" t="s">
        <v>414</v>
      </c>
      <c r="D22" t="s">
        <v>415</v>
      </c>
      <c r="E22" t="s">
        <v>416</v>
      </c>
      <c r="F22" t="s">
        <v>417</v>
      </c>
      <c r="G22" t="s">
        <v>418</v>
      </c>
    </row>
    <row r="23" spans="3:11">
      <c r="K23" s="61"/>
    </row>
    <row r="30" spans="3:11">
      <c r="C30" s="1" t="s">
        <v>914</v>
      </c>
    </row>
    <row r="31" spans="3:11">
      <c r="C31" s="1" t="s">
        <v>913</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2:F15"/>
  <sheetViews>
    <sheetView workbookViewId="0">
      <selection activeCell="C11" sqref="C11"/>
    </sheetView>
  </sheetViews>
  <sheetFormatPr defaultColWidth="8.8203125" defaultRowHeight="12.7"/>
  <cols>
    <col min="1" max="1" width="7" customWidth="1"/>
    <col min="2" max="2" width="14.64453125" customWidth="1"/>
    <col min="3" max="3" width="29" customWidth="1"/>
    <col min="4" max="4" width="11.46875" customWidth="1"/>
  </cols>
  <sheetData>
    <row r="2" spans="1:6" ht="14">
      <c r="B2" s="72" t="s">
        <v>0</v>
      </c>
      <c r="C2" s="72" t="s">
        <v>187</v>
      </c>
      <c r="D2" s="18" t="s">
        <v>1</v>
      </c>
      <c r="E2" s="16" t="s">
        <v>178</v>
      </c>
      <c r="F2" s="1" t="s">
        <v>225</v>
      </c>
    </row>
    <row r="3" spans="1:6" ht="15.35">
      <c r="A3" s="1"/>
      <c r="B3" s="73" t="s">
        <v>42</v>
      </c>
      <c r="C3" s="72">
        <v>3.6</v>
      </c>
      <c r="D3" s="16" t="s">
        <v>132</v>
      </c>
      <c r="E3">
        <v>4</v>
      </c>
    </row>
    <row r="4" spans="1:6" ht="14">
      <c r="B4" s="72" t="s">
        <v>3</v>
      </c>
      <c r="C4" s="72">
        <v>37</v>
      </c>
      <c r="D4" s="16" t="s">
        <v>185</v>
      </c>
      <c r="E4" t="s">
        <v>198</v>
      </c>
    </row>
    <row r="5" spans="1:6" ht="14">
      <c r="B5" s="72" t="s">
        <v>21</v>
      </c>
      <c r="C5" s="72">
        <v>26.7</v>
      </c>
      <c r="D5" s="16" t="s">
        <v>185</v>
      </c>
      <c r="E5">
        <v>4</v>
      </c>
    </row>
    <row r="6" spans="1:6" ht="14">
      <c r="B6" s="72" t="s">
        <v>21</v>
      </c>
      <c r="C6" s="72">
        <v>46</v>
      </c>
      <c r="D6" s="16" t="s">
        <v>32</v>
      </c>
    </row>
    <row r="7" spans="1:6" ht="14">
      <c r="B7" s="72" t="s">
        <v>2</v>
      </c>
      <c r="C7" s="72">
        <v>3.45</v>
      </c>
      <c r="D7" s="16" t="s">
        <v>184</v>
      </c>
      <c r="E7">
        <f>References!A8</f>
        <v>3</v>
      </c>
    </row>
    <row r="8" spans="1:6" ht="14.25" customHeight="1">
      <c r="B8" s="72" t="s">
        <v>4</v>
      </c>
      <c r="C8" s="72">
        <v>8.1000000000000003E-2</v>
      </c>
      <c r="D8" s="16" t="s">
        <v>186</v>
      </c>
      <c r="E8" t="str">
        <f>E4</f>
        <v>E18,4</v>
      </c>
    </row>
    <row r="9" spans="1:6" ht="14.25" customHeight="1">
      <c r="B9" s="72" t="s">
        <v>5</v>
      </c>
      <c r="C9" s="72">
        <v>0.29699999999999999</v>
      </c>
      <c r="D9" s="16" t="s">
        <v>186</v>
      </c>
      <c r="E9" t="str">
        <f>E8</f>
        <v>E18,4</v>
      </c>
    </row>
    <row r="10" spans="1:6" ht="13.5" customHeight="1">
      <c r="B10" s="72" t="s">
        <v>6</v>
      </c>
      <c r="C10" s="72">
        <v>1.9800000000000002E-2</v>
      </c>
      <c r="D10" s="16" t="s">
        <v>186</v>
      </c>
      <c r="E10" t="str">
        <f>E9</f>
        <v>E18,4</v>
      </c>
    </row>
    <row r="11" spans="1:6" ht="14.25" customHeight="1">
      <c r="B11" s="72" t="s">
        <v>199</v>
      </c>
      <c r="C11" s="72">
        <v>17</v>
      </c>
      <c r="D11" s="16" t="s">
        <v>32</v>
      </c>
      <c r="E11" t="str">
        <f>E10</f>
        <v>E18,4</v>
      </c>
    </row>
    <row r="12" spans="1:6" ht="12.75" customHeight="1">
      <c r="B12" s="72" t="s">
        <v>8</v>
      </c>
      <c r="C12" s="72">
        <v>12</v>
      </c>
      <c r="D12" s="16" t="s">
        <v>32</v>
      </c>
      <c r="E12" t="str">
        <f>E11</f>
        <v>E18,4</v>
      </c>
    </row>
    <row r="13" spans="1:6" ht="14">
      <c r="B13" s="72" t="s">
        <v>9</v>
      </c>
      <c r="C13" s="72">
        <v>24.3</v>
      </c>
      <c r="D13" s="16" t="s">
        <v>32</v>
      </c>
      <c r="E13" t="str">
        <f>E12</f>
        <v>E18,4</v>
      </c>
    </row>
    <row r="14" spans="1:6" ht="25.5" customHeight="1">
      <c r="B14" s="72" t="s">
        <v>172</v>
      </c>
      <c r="C14" s="72">
        <v>41</v>
      </c>
      <c r="D14" s="16"/>
      <c r="E14">
        <v>4</v>
      </c>
    </row>
    <row r="15" spans="1:6">
      <c r="C15" s="1"/>
    </row>
  </sheetData>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9">
    <tabColor theme="6" tint="0.79998168889431442"/>
  </sheetPr>
  <dimension ref="A2:CV258"/>
  <sheetViews>
    <sheetView zoomScale="60" zoomScaleNormal="60" workbookViewId="0">
      <selection activeCell="G235" sqref="G235"/>
    </sheetView>
  </sheetViews>
  <sheetFormatPr defaultColWidth="11.46875" defaultRowHeight="12.7"/>
  <cols>
    <col min="1" max="1" width="32.46875" customWidth="1"/>
    <col min="2" max="2" width="19.17578125" bestFit="1" customWidth="1"/>
    <col min="3" max="3" width="10.8203125" customWidth="1"/>
    <col min="4" max="4" width="10" customWidth="1"/>
    <col min="5" max="5" width="16.64453125" customWidth="1"/>
    <col min="6" max="6" width="9.64453125" customWidth="1"/>
    <col min="7" max="8" width="8.8203125" customWidth="1"/>
    <col min="9" max="9" width="8.3515625" customWidth="1"/>
    <col min="10" max="10" width="9.64453125" customWidth="1"/>
    <col min="11" max="11" width="8.17578125" customWidth="1"/>
    <col min="12" max="12" width="10.8203125" customWidth="1"/>
    <col min="13" max="13" width="9.46875" customWidth="1"/>
    <col min="14" max="14" width="8.46875" customWidth="1"/>
    <col min="15" max="15" width="11" bestFit="1" customWidth="1"/>
    <col min="16" max="16" width="13" bestFit="1" customWidth="1"/>
    <col min="17" max="17" width="12" bestFit="1" customWidth="1"/>
    <col min="18" max="18" width="11" bestFit="1" customWidth="1"/>
    <col min="19" max="22" width="12" bestFit="1" customWidth="1"/>
    <col min="23" max="29" width="11" bestFit="1" customWidth="1"/>
    <col min="30" max="30" width="13" bestFit="1" customWidth="1"/>
    <col min="31" max="33" width="11" bestFit="1" customWidth="1"/>
    <col min="34" max="35" width="12" bestFit="1" customWidth="1"/>
    <col min="36" max="43" width="11" bestFit="1" customWidth="1"/>
    <col min="44" max="44" width="12" bestFit="1" customWidth="1"/>
  </cols>
  <sheetData>
    <row r="2" spans="1:100">
      <c r="A2" t="s">
        <v>510</v>
      </c>
    </row>
    <row r="4" spans="1:100" s="282" customFormat="1" ht="18" customHeight="1">
      <c r="A4" s="286" t="s">
        <v>471</v>
      </c>
      <c r="I4" s="282" t="s">
        <v>653</v>
      </c>
      <c r="J4" s="282">
        <v>5</v>
      </c>
      <c r="K4" s="282">
        <f>J4/J5</f>
        <v>0.78125</v>
      </c>
      <c r="L4" s="282">
        <v>74.2</v>
      </c>
      <c r="M4" s="282">
        <f>L4/L5</f>
        <v>0.75869120654396738</v>
      </c>
    </row>
    <row r="5" spans="1:100" s="282" customFormat="1" ht="18" customHeight="1">
      <c r="A5" s="286" t="s">
        <v>472</v>
      </c>
      <c r="I5" s="282" t="s">
        <v>654</v>
      </c>
      <c r="J5" s="282">
        <v>6.4</v>
      </c>
      <c r="L5" s="282">
        <v>97.8</v>
      </c>
    </row>
    <row r="6" spans="1:100" s="282" customFormat="1" ht="18" customHeight="1">
      <c r="A6" s="286" t="s">
        <v>473</v>
      </c>
    </row>
    <row r="7" spans="1:100" s="282" customFormat="1">
      <c r="F7" s="282">
        <v>15000</v>
      </c>
      <c r="H7" s="282">
        <v>58000</v>
      </c>
    </row>
    <row r="8" spans="1:100" s="282" customFormat="1" ht="18" customHeight="1">
      <c r="A8" s="286" t="s">
        <v>474</v>
      </c>
      <c r="F8" s="282">
        <f>19600/M4</f>
        <v>25833.962264150941</v>
      </c>
      <c r="H8" s="282">
        <f>76400/M4</f>
        <v>100699.73045822101</v>
      </c>
    </row>
    <row r="9" spans="1:100" s="282" customFormat="1" ht="12.75" customHeight="1">
      <c r="A9" s="282" t="s">
        <v>475</v>
      </c>
      <c r="B9" s="282" t="s">
        <v>476</v>
      </c>
      <c r="C9" s="282" t="s">
        <v>515</v>
      </c>
      <c r="D9" s="282" t="s">
        <v>515</v>
      </c>
      <c r="E9" s="282" t="s">
        <v>515</v>
      </c>
      <c r="F9" s="282" t="s">
        <v>515</v>
      </c>
      <c r="G9" s="282" t="s">
        <v>515</v>
      </c>
      <c r="H9" s="282" t="s">
        <v>515</v>
      </c>
      <c r="I9" s="282" t="s">
        <v>515</v>
      </c>
      <c r="J9" s="282" t="s">
        <v>515</v>
      </c>
      <c r="K9" s="282" t="s">
        <v>515</v>
      </c>
      <c r="L9" s="282" t="s">
        <v>515</v>
      </c>
      <c r="M9" s="282" t="s">
        <v>515</v>
      </c>
      <c r="N9" s="282" t="s">
        <v>515</v>
      </c>
      <c r="O9" s="282" t="s">
        <v>515</v>
      </c>
      <c r="P9" s="282" t="s">
        <v>515</v>
      </c>
      <c r="Q9" s="282" t="s">
        <v>515</v>
      </c>
      <c r="R9" s="282" t="s">
        <v>515</v>
      </c>
      <c r="S9" s="282" t="s">
        <v>515</v>
      </c>
      <c r="T9" s="282" t="s">
        <v>515</v>
      </c>
      <c r="U9" s="282" t="s">
        <v>515</v>
      </c>
      <c r="V9" s="282" t="s">
        <v>515</v>
      </c>
      <c r="W9" s="282" t="s">
        <v>515</v>
      </c>
      <c r="X9" s="282" t="s">
        <v>515</v>
      </c>
      <c r="Y9" s="282" t="s">
        <v>515</v>
      </c>
      <c r="Z9" s="282" t="s">
        <v>515</v>
      </c>
      <c r="AA9" s="282" t="s">
        <v>515</v>
      </c>
      <c r="AB9" s="282" t="s">
        <v>515</v>
      </c>
      <c r="AC9" s="282" t="s">
        <v>515</v>
      </c>
      <c r="AD9" s="282" t="s">
        <v>515</v>
      </c>
      <c r="AE9" s="282" t="s">
        <v>516</v>
      </c>
      <c r="AF9" s="282" t="s">
        <v>516</v>
      </c>
      <c r="AG9" s="282" t="s">
        <v>516</v>
      </c>
      <c r="AH9" s="282" t="s">
        <v>516</v>
      </c>
      <c r="AI9" s="282" t="s">
        <v>516</v>
      </c>
      <c r="AJ9" s="282" t="s">
        <v>516</v>
      </c>
      <c r="AK9" s="282" t="s">
        <v>516</v>
      </c>
      <c r="AL9" s="282" t="s">
        <v>516</v>
      </c>
      <c r="AM9" s="282" t="s">
        <v>516</v>
      </c>
      <c r="AN9" s="282" t="s">
        <v>516</v>
      </c>
      <c r="AO9" s="282" t="s">
        <v>516</v>
      </c>
      <c r="AP9" s="282" t="s">
        <v>516</v>
      </c>
      <c r="AQ9" s="282" t="s">
        <v>516</v>
      </c>
      <c r="AR9" s="282" t="s">
        <v>516</v>
      </c>
      <c r="AS9" s="282" t="s">
        <v>516</v>
      </c>
      <c r="AT9" s="282" t="s">
        <v>516</v>
      </c>
      <c r="AU9" s="282" t="s">
        <v>516</v>
      </c>
      <c r="AV9" s="282" t="s">
        <v>516</v>
      </c>
      <c r="AW9" s="282" t="s">
        <v>516</v>
      </c>
      <c r="AX9" s="282" t="s">
        <v>516</v>
      </c>
      <c r="AY9" s="282" t="s">
        <v>516</v>
      </c>
      <c r="AZ9" s="282" t="s">
        <v>516</v>
      </c>
      <c r="BA9" s="282" t="s">
        <v>516</v>
      </c>
      <c r="BB9" s="282" t="s">
        <v>516</v>
      </c>
      <c r="BC9" s="282" t="s">
        <v>516</v>
      </c>
      <c r="BD9" s="282" t="s">
        <v>516</v>
      </c>
      <c r="BE9" s="282" t="s">
        <v>516</v>
      </c>
      <c r="BF9" s="282" t="s">
        <v>516</v>
      </c>
      <c r="BG9" s="282" t="s">
        <v>516</v>
      </c>
      <c r="BH9" s="282" t="s">
        <v>516</v>
      </c>
      <c r="BI9" s="282" t="s">
        <v>516</v>
      </c>
      <c r="BJ9" s="282" t="s">
        <v>516</v>
      </c>
      <c r="BK9" s="282" t="s">
        <v>516</v>
      </c>
      <c r="BL9" s="282" t="s">
        <v>516</v>
      </c>
      <c r="BM9" s="282" t="s">
        <v>516</v>
      </c>
      <c r="BN9" s="282" t="s">
        <v>516</v>
      </c>
      <c r="BO9" s="282" t="s">
        <v>516</v>
      </c>
      <c r="BP9" s="282" t="s">
        <v>516</v>
      </c>
      <c r="BQ9" s="282" t="s">
        <v>516</v>
      </c>
      <c r="BR9" s="282" t="s">
        <v>516</v>
      </c>
      <c r="BS9" s="282" t="s">
        <v>516</v>
      </c>
      <c r="BT9" s="282" t="s">
        <v>516</v>
      </c>
      <c r="BU9" s="282" t="s">
        <v>516</v>
      </c>
      <c r="BV9" s="282" t="s">
        <v>516</v>
      </c>
      <c r="BW9" s="282" t="s">
        <v>516</v>
      </c>
      <c r="BX9" s="282" t="s">
        <v>516</v>
      </c>
      <c r="BY9" s="282" t="s">
        <v>516</v>
      </c>
      <c r="BZ9" s="282" t="s">
        <v>516</v>
      </c>
      <c r="CA9" s="282" t="s">
        <v>516</v>
      </c>
      <c r="CB9" s="282" t="s">
        <v>516</v>
      </c>
      <c r="CC9" s="282" t="s">
        <v>516</v>
      </c>
      <c r="CD9" s="282" t="s">
        <v>516</v>
      </c>
      <c r="CE9" s="282" t="s">
        <v>516</v>
      </c>
      <c r="CF9" s="282" t="s">
        <v>516</v>
      </c>
      <c r="CG9" s="282" t="s">
        <v>516</v>
      </c>
      <c r="CH9" s="282" t="s">
        <v>517</v>
      </c>
      <c r="CI9" s="282" t="s">
        <v>517</v>
      </c>
      <c r="CJ9" s="282" t="s">
        <v>517</v>
      </c>
      <c r="CK9" s="282" t="s">
        <v>517</v>
      </c>
      <c r="CL9" s="282" t="s">
        <v>517</v>
      </c>
      <c r="CM9" s="282" t="s">
        <v>517</v>
      </c>
      <c r="CN9" s="282" t="s">
        <v>517</v>
      </c>
      <c r="CO9" s="282" t="s">
        <v>517</v>
      </c>
      <c r="CP9" s="282" t="s">
        <v>517</v>
      </c>
      <c r="CQ9" s="282" t="s">
        <v>517</v>
      </c>
      <c r="CR9" s="282" t="s">
        <v>517</v>
      </c>
      <c r="CS9" s="282" t="s">
        <v>517</v>
      </c>
      <c r="CT9" s="282" t="s">
        <v>517</v>
      </c>
      <c r="CU9" s="282" t="s">
        <v>517</v>
      </c>
      <c r="CV9" s="282" t="s">
        <v>517</v>
      </c>
    </row>
    <row r="10" spans="1:100" s="282" customFormat="1">
      <c r="C10" s="282" t="s">
        <v>511</v>
      </c>
      <c r="D10" s="282" t="s">
        <v>511</v>
      </c>
      <c r="E10" s="282" t="s">
        <v>511</v>
      </c>
      <c r="F10" s="282" t="s">
        <v>511</v>
      </c>
      <c r="G10" s="282" t="s">
        <v>512</v>
      </c>
      <c r="H10" s="282" t="s">
        <v>512</v>
      </c>
      <c r="I10" s="282" t="s">
        <v>513</v>
      </c>
      <c r="J10" s="282" t="s">
        <v>513</v>
      </c>
      <c r="K10" s="282" t="s">
        <v>513</v>
      </c>
      <c r="L10" s="282" t="s">
        <v>513</v>
      </c>
      <c r="M10" s="282" t="s">
        <v>513</v>
      </c>
      <c r="N10" s="282" t="s">
        <v>513</v>
      </c>
      <c r="O10" s="282" t="s">
        <v>513</v>
      </c>
      <c r="P10" s="282" t="s">
        <v>514</v>
      </c>
      <c r="Q10" s="282" t="s">
        <v>511</v>
      </c>
      <c r="R10" s="282" t="s">
        <v>511</v>
      </c>
      <c r="S10" s="282" t="s">
        <v>511</v>
      </c>
      <c r="T10" s="282" t="s">
        <v>511</v>
      </c>
      <c r="U10" s="282" t="s">
        <v>512</v>
      </c>
      <c r="V10" s="282" t="s">
        <v>512</v>
      </c>
      <c r="W10" s="282" t="s">
        <v>513</v>
      </c>
      <c r="X10" s="282" t="s">
        <v>513</v>
      </c>
      <c r="Y10" s="282" t="s">
        <v>513</v>
      </c>
      <c r="Z10" s="282" t="s">
        <v>513</v>
      </c>
      <c r="AA10" s="282" t="s">
        <v>513</v>
      </c>
      <c r="AB10" s="282" t="s">
        <v>513</v>
      </c>
      <c r="AC10" s="282" t="s">
        <v>513</v>
      </c>
      <c r="AD10" s="282" t="s">
        <v>514</v>
      </c>
      <c r="AE10" s="282" t="s">
        <v>511</v>
      </c>
      <c r="AF10" s="282" t="s">
        <v>511</v>
      </c>
      <c r="AG10" s="282" t="s">
        <v>511</v>
      </c>
      <c r="AH10" s="282" t="s">
        <v>511</v>
      </c>
      <c r="AI10" s="282" t="s">
        <v>512</v>
      </c>
      <c r="AJ10" s="282" t="s">
        <v>512</v>
      </c>
      <c r="AK10" s="282" t="s">
        <v>513</v>
      </c>
      <c r="AL10" s="282" t="s">
        <v>513</v>
      </c>
      <c r="AM10" s="282" t="s">
        <v>513</v>
      </c>
      <c r="AN10" s="282" t="s">
        <v>513</v>
      </c>
      <c r="AO10" s="282" t="s">
        <v>513</v>
      </c>
      <c r="AP10" s="282" t="s">
        <v>513</v>
      </c>
      <c r="AQ10" s="282" t="s">
        <v>513</v>
      </c>
      <c r="AR10" s="282" t="s">
        <v>514</v>
      </c>
      <c r="AS10" s="282" t="s">
        <v>511</v>
      </c>
      <c r="AT10" s="282" t="s">
        <v>511</v>
      </c>
      <c r="AU10" s="282" t="s">
        <v>511</v>
      </c>
      <c r="AV10" s="282" t="s">
        <v>511</v>
      </c>
      <c r="AW10" s="282" t="s">
        <v>512</v>
      </c>
      <c r="AX10" s="282" t="s">
        <v>512</v>
      </c>
      <c r="AY10" s="282" t="s">
        <v>513</v>
      </c>
      <c r="AZ10" s="282" t="s">
        <v>513</v>
      </c>
      <c r="BA10" s="282" t="s">
        <v>513</v>
      </c>
      <c r="BB10" s="282" t="s">
        <v>513</v>
      </c>
      <c r="BC10" s="282" t="s">
        <v>513</v>
      </c>
      <c r="BD10" s="282" t="s">
        <v>513</v>
      </c>
      <c r="BE10" s="282" t="s">
        <v>513</v>
      </c>
      <c r="BF10" s="282" t="s">
        <v>514</v>
      </c>
      <c r="BG10" s="282" t="s">
        <v>511</v>
      </c>
      <c r="BH10" s="282" t="s">
        <v>511</v>
      </c>
      <c r="BI10" s="282" t="s">
        <v>511</v>
      </c>
      <c r="BJ10" s="282" t="s">
        <v>511</v>
      </c>
      <c r="BK10" s="282" t="s">
        <v>512</v>
      </c>
      <c r="BL10" s="282" t="s">
        <v>512</v>
      </c>
      <c r="BM10" s="282" t="s">
        <v>513</v>
      </c>
      <c r="BN10" s="282" t="s">
        <v>513</v>
      </c>
      <c r="BO10" s="282" t="s">
        <v>513</v>
      </c>
      <c r="BP10" s="282" t="s">
        <v>513</v>
      </c>
      <c r="BQ10" s="282" t="s">
        <v>513</v>
      </c>
      <c r="BR10" s="282" t="s">
        <v>513</v>
      </c>
      <c r="BS10" s="282" t="s">
        <v>513</v>
      </c>
      <c r="BT10" s="282" t="s">
        <v>514</v>
      </c>
      <c r="BU10" s="282" t="s">
        <v>511</v>
      </c>
      <c r="BV10" s="282" t="s">
        <v>511</v>
      </c>
      <c r="BW10" s="282" t="s">
        <v>511</v>
      </c>
      <c r="BX10" s="282" t="s">
        <v>511</v>
      </c>
      <c r="BY10" s="282" t="s">
        <v>512</v>
      </c>
      <c r="BZ10" s="282" t="s">
        <v>512</v>
      </c>
      <c r="CA10" s="282" t="s">
        <v>513</v>
      </c>
      <c r="CB10" s="282" t="s">
        <v>513</v>
      </c>
      <c r="CC10" s="282" t="s">
        <v>513</v>
      </c>
      <c r="CD10" s="282" t="s">
        <v>513</v>
      </c>
      <c r="CE10" s="282" t="s">
        <v>513</v>
      </c>
      <c r="CF10" s="282" t="s">
        <v>513</v>
      </c>
      <c r="CG10" s="282" t="s">
        <v>513</v>
      </c>
      <c r="CH10" s="282" t="s">
        <v>514</v>
      </c>
      <c r="CI10" s="282" t="s">
        <v>511</v>
      </c>
      <c r="CJ10" s="282" t="s">
        <v>511</v>
      </c>
      <c r="CK10" s="282" t="s">
        <v>511</v>
      </c>
      <c r="CL10" s="282" t="s">
        <v>511</v>
      </c>
      <c r="CM10" s="282" t="s">
        <v>512</v>
      </c>
      <c r="CN10" s="282" t="s">
        <v>512</v>
      </c>
      <c r="CO10" s="282" t="s">
        <v>513</v>
      </c>
      <c r="CP10" s="282" t="s">
        <v>513</v>
      </c>
      <c r="CQ10" s="282" t="s">
        <v>513</v>
      </c>
      <c r="CR10" s="282" t="s">
        <v>513</v>
      </c>
      <c r="CS10" s="282" t="s">
        <v>513</v>
      </c>
      <c r="CT10" s="282" t="s">
        <v>513</v>
      </c>
      <c r="CU10" s="282" t="s">
        <v>513</v>
      </c>
      <c r="CV10" s="282" t="s">
        <v>514</v>
      </c>
    </row>
    <row r="11" spans="1:100" s="282" customFormat="1" ht="26.25" customHeight="1">
      <c r="A11" s="652" t="s">
        <v>477</v>
      </c>
      <c r="B11" s="651"/>
      <c r="C11" s="650" t="s">
        <v>478</v>
      </c>
      <c r="D11" s="651"/>
      <c r="E11" s="651"/>
      <c r="F11" s="651"/>
      <c r="G11" s="651"/>
      <c r="H11" s="651"/>
      <c r="I11" s="651"/>
      <c r="J11" s="651"/>
      <c r="K11" s="651"/>
      <c r="L11" s="651"/>
      <c r="M11" s="651"/>
      <c r="N11" s="651"/>
      <c r="O11" s="651"/>
      <c r="P11" s="651"/>
      <c r="Q11" s="650" t="s">
        <v>479</v>
      </c>
      <c r="R11" s="651"/>
      <c r="S11" s="651"/>
      <c r="T11" s="651"/>
      <c r="U11" s="651"/>
      <c r="V11" s="651"/>
      <c r="W11" s="651"/>
      <c r="X11" s="651"/>
      <c r="Y11" s="651"/>
      <c r="Z11" s="651"/>
      <c r="AA11" s="651"/>
      <c r="AB11" s="651"/>
      <c r="AC11" s="651"/>
      <c r="AD11" s="651"/>
      <c r="AE11" s="650" t="s">
        <v>480</v>
      </c>
      <c r="AF11" s="651"/>
      <c r="AG11" s="651"/>
      <c r="AH11" s="651"/>
      <c r="AI11" s="651"/>
      <c r="AJ11" s="651"/>
      <c r="AK11" s="651"/>
      <c r="AL11" s="651"/>
      <c r="AM11" s="651"/>
      <c r="AN11" s="651"/>
      <c r="AO11" s="651"/>
      <c r="AP11" s="651"/>
      <c r="AQ11" s="651"/>
      <c r="AR11" s="651"/>
      <c r="AS11" s="650" t="s">
        <v>481</v>
      </c>
      <c r="AT11" s="651"/>
      <c r="AU11" s="651"/>
      <c r="AV11" s="651"/>
      <c r="AW11" s="651"/>
      <c r="AX11" s="651"/>
      <c r="AY11" s="651"/>
      <c r="AZ11" s="651"/>
      <c r="BA11" s="651"/>
      <c r="BB11" s="651"/>
      <c r="BC11" s="651"/>
      <c r="BD11" s="651"/>
      <c r="BE11" s="651"/>
      <c r="BF11" s="651"/>
      <c r="BG11" s="650" t="s">
        <v>482</v>
      </c>
      <c r="BH11" s="651"/>
      <c r="BI11" s="651"/>
      <c r="BJ11" s="651"/>
      <c r="BK11" s="651"/>
      <c r="BL11" s="651"/>
      <c r="BM11" s="651"/>
      <c r="BN11" s="651"/>
      <c r="BO11" s="651"/>
      <c r="BP11" s="651"/>
      <c r="BQ11" s="651"/>
      <c r="BR11" s="651"/>
      <c r="BS11" s="651"/>
      <c r="BT11" s="651"/>
      <c r="BU11" s="650" t="s">
        <v>483</v>
      </c>
      <c r="BV11" s="651"/>
      <c r="BW11" s="651"/>
      <c r="BX11" s="651"/>
      <c r="BY11" s="651"/>
      <c r="BZ11" s="651"/>
      <c r="CA11" s="651"/>
      <c r="CB11" s="651"/>
      <c r="CC11" s="651"/>
      <c r="CD11" s="651"/>
      <c r="CE11" s="651"/>
      <c r="CF11" s="651"/>
      <c r="CG11" s="651"/>
      <c r="CH11" s="651"/>
      <c r="CI11" s="650" t="s">
        <v>484</v>
      </c>
      <c r="CJ11" s="651"/>
      <c r="CK11" s="651"/>
      <c r="CL11" s="651"/>
      <c r="CM11" s="651"/>
      <c r="CN11" s="651"/>
      <c r="CO11" s="651"/>
      <c r="CP11" s="651"/>
      <c r="CQ11" s="651"/>
      <c r="CR11" s="651"/>
      <c r="CS11" s="651"/>
      <c r="CT11" s="651"/>
      <c r="CU11" s="651"/>
      <c r="CV11" s="651"/>
    </row>
    <row r="12" spans="1:100" s="282" customFormat="1" ht="26.25" customHeight="1">
      <c r="A12" s="652" t="s">
        <v>486</v>
      </c>
      <c r="B12" s="651"/>
      <c r="C12" s="281" t="s">
        <v>28</v>
      </c>
      <c r="D12" s="281" t="s">
        <v>487</v>
      </c>
      <c r="E12" s="281" t="s">
        <v>488</v>
      </c>
      <c r="F12" s="281" t="s">
        <v>489</v>
      </c>
      <c r="G12" s="281" t="s">
        <v>490</v>
      </c>
      <c r="H12" s="281" t="s">
        <v>491</v>
      </c>
      <c r="I12" s="281" t="s">
        <v>492</v>
      </c>
      <c r="J12" s="281" t="s">
        <v>493</v>
      </c>
      <c r="K12" s="281" t="s">
        <v>494</v>
      </c>
      <c r="L12" s="281" t="s">
        <v>495</v>
      </c>
      <c r="M12" s="281" t="s">
        <v>496</v>
      </c>
      <c r="N12" s="281" t="s">
        <v>497</v>
      </c>
      <c r="O12" s="281" t="s">
        <v>292</v>
      </c>
      <c r="P12" s="281" t="s">
        <v>27</v>
      </c>
      <c r="Q12" s="281" t="s">
        <v>28</v>
      </c>
      <c r="R12" s="281" t="s">
        <v>487</v>
      </c>
      <c r="S12" s="281" t="s">
        <v>488</v>
      </c>
      <c r="T12" s="281" t="s">
        <v>489</v>
      </c>
      <c r="U12" s="281" t="s">
        <v>490</v>
      </c>
      <c r="V12" s="281" t="s">
        <v>491</v>
      </c>
      <c r="W12" s="281" t="s">
        <v>492</v>
      </c>
      <c r="X12" s="281" t="s">
        <v>493</v>
      </c>
      <c r="Y12" s="281" t="s">
        <v>494</v>
      </c>
      <c r="Z12" s="281" t="s">
        <v>495</v>
      </c>
      <c r="AA12" s="281" t="s">
        <v>496</v>
      </c>
      <c r="AB12" s="281" t="s">
        <v>497</v>
      </c>
      <c r="AC12" s="281" t="s">
        <v>292</v>
      </c>
      <c r="AD12" s="281" t="s">
        <v>27</v>
      </c>
      <c r="AE12" s="281" t="s">
        <v>28</v>
      </c>
      <c r="AF12" s="281" t="s">
        <v>487</v>
      </c>
      <c r="AG12" s="281" t="s">
        <v>488</v>
      </c>
      <c r="AH12" s="281" t="s">
        <v>489</v>
      </c>
      <c r="AI12" s="281" t="s">
        <v>490</v>
      </c>
      <c r="AJ12" s="281" t="s">
        <v>491</v>
      </c>
      <c r="AK12" s="281" t="s">
        <v>492</v>
      </c>
      <c r="AL12" s="281" t="s">
        <v>493</v>
      </c>
      <c r="AM12" s="281" t="s">
        <v>494</v>
      </c>
      <c r="AN12" s="281" t="s">
        <v>495</v>
      </c>
      <c r="AO12" s="281" t="s">
        <v>496</v>
      </c>
      <c r="AP12" s="281" t="s">
        <v>497</v>
      </c>
      <c r="AQ12" s="281" t="s">
        <v>292</v>
      </c>
      <c r="AR12" s="281" t="s">
        <v>27</v>
      </c>
      <c r="AS12" s="281" t="s">
        <v>28</v>
      </c>
      <c r="AT12" s="281" t="s">
        <v>487</v>
      </c>
      <c r="AU12" s="281" t="s">
        <v>488</v>
      </c>
      <c r="AV12" s="281" t="s">
        <v>489</v>
      </c>
      <c r="AW12" s="281" t="s">
        <v>490</v>
      </c>
      <c r="AX12" s="281" t="s">
        <v>491</v>
      </c>
      <c r="AY12" s="281" t="s">
        <v>492</v>
      </c>
      <c r="AZ12" s="281" t="s">
        <v>493</v>
      </c>
      <c r="BA12" s="281" t="s">
        <v>494</v>
      </c>
      <c r="BB12" s="281" t="s">
        <v>495</v>
      </c>
      <c r="BC12" s="281" t="s">
        <v>496</v>
      </c>
      <c r="BD12" s="281" t="s">
        <v>497</v>
      </c>
      <c r="BE12" s="281" t="s">
        <v>292</v>
      </c>
      <c r="BF12" s="281" t="s">
        <v>27</v>
      </c>
      <c r="BG12" s="281" t="s">
        <v>28</v>
      </c>
      <c r="BH12" s="281" t="s">
        <v>487</v>
      </c>
      <c r="BI12" s="281" t="s">
        <v>488</v>
      </c>
      <c r="BJ12" s="281" t="s">
        <v>489</v>
      </c>
      <c r="BK12" s="281" t="s">
        <v>490</v>
      </c>
      <c r="BL12" s="281" t="s">
        <v>491</v>
      </c>
      <c r="BM12" s="281" t="s">
        <v>492</v>
      </c>
      <c r="BN12" s="281" t="s">
        <v>493</v>
      </c>
      <c r="BO12" s="281" t="s">
        <v>494</v>
      </c>
      <c r="BP12" s="281" t="s">
        <v>495</v>
      </c>
      <c r="BQ12" s="281" t="s">
        <v>496</v>
      </c>
      <c r="BR12" s="281" t="s">
        <v>497</v>
      </c>
      <c r="BS12" s="281" t="s">
        <v>292</v>
      </c>
      <c r="BT12" s="281" t="s">
        <v>27</v>
      </c>
      <c r="BU12" s="281" t="s">
        <v>28</v>
      </c>
      <c r="BV12" s="281" t="s">
        <v>487</v>
      </c>
      <c r="BW12" s="281" t="s">
        <v>488</v>
      </c>
      <c r="BX12" s="281" t="s">
        <v>489</v>
      </c>
      <c r="BY12" s="281" t="s">
        <v>490</v>
      </c>
      <c r="BZ12" s="281" t="s">
        <v>491</v>
      </c>
      <c r="CA12" s="281" t="s">
        <v>492</v>
      </c>
      <c r="CB12" s="281" t="s">
        <v>493</v>
      </c>
      <c r="CC12" s="281" t="s">
        <v>494</v>
      </c>
      <c r="CD12" s="281" t="s">
        <v>495</v>
      </c>
      <c r="CE12" s="281" t="s">
        <v>496</v>
      </c>
      <c r="CF12" s="281" t="s">
        <v>497</v>
      </c>
      <c r="CG12" s="281" t="s">
        <v>292</v>
      </c>
      <c r="CH12" s="281" t="s">
        <v>27</v>
      </c>
      <c r="CI12" s="281" t="s">
        <v>28</v>
      </c>
      <c r="CJ12" s="281" t="s">
        <v>487</v>
      </c>
      <c r="CK12" s="281" t="s">
        <v>488</v>
      </c>
      <c r="CL12" s="281" t="s">
        <v>489</v>
      </c>
      <c r="CM12" s="281" t="s">
        <v>490</v>
      </c>
      <c r="CN12" s="281" t="s">
        <v>491</v>
      </c>
      <c r="CO12" s="281" t="s">
        <v>492</v>
      </c>
      <c r="CP12" s="281" t="s">
        <v>493</v>
      </c>
      <c r="CQ12" s="281" t="s">
        <v>494</v>
      </c>
      <c r="CR12" s="281" t="s">
        <v>495</v>
      </c>
      <c r="CS12" s="281" t="s">
        <v>496</v>
      </c>
      <c r="CT12" s="281" t="s">
        <v>497</v>
      </c>
      <c r="CU12" s="281" t="s">
        <v>292</v>
      </c>
      <c r="CV12" s="281" t="s">
        <v>27</v>
      </c>
    </row>
    <row r="13" spans="1:100" s="282" customFormat="1" ht="26.25" customHeight="1">
      <c r="B13" s="283" t="s">
        <v>498</v>
      </c>
      <c r="C13" s="282" t="str">
        <f>CONCATENATE(C9,C10)</f>
        <v>pl</v>
      </c>
      <c r="D13" s="282" t="str">
        <f t="shared" ref="D13:BO13" si="0">CONCATENATE(D9,D10)</f>
        <v>pl</v>
      </c>
      <c r="E13" s="282" t="str">
        <f t="shared" si="0"/>
        <v>pl</v>
      </c>
      <c r="F13" s="282" t="str">
        <f t="shared" si="0"/>
        <v>pl</v>
      </c>
      <c r="G13" s="282" t="str">
        <f t="shared" si="0"/>
        <v>pm</v>
      </c>
      <c r="H13" s="282" t="str">
        <f t="shared" si="0"/>
        <v>pm</v>
      </c>
      <c r="I13" s="282" t="str">
        <f t="shared" si="0"/>
        <v>ph</v>
      </c>
      <c r="J13" s="282" t="str">
        <f t="shared" si="0"/>
        <v>ph</v>
      </c>
      <c r="K13" s="282" t="str">
        <f t="shared" si="0"/>
        <v>ph</v>
      </c>
      <c r="L13" s="282" t="str">
        <f t="shared" si="0"/>
        <v>ph</v>
      </c>
      <c r="M13" s="282" t="str">
        <f t="shared" si="0"/>
        <v>ph</v>
      </c>
      <c r="N13" s="282" t="str">
        <f t="shared" si="0"/>
        <v>ph</v>
      </c>
      <c r="O13" s="282" t="str">
        <f t="shared" si="0"/>
        <v>ph</v>
      </c>
      <c r="P13" s="282" t="str">
        <f t="shared" si="0"/>
        <v>pT</v>
      </c>
      <c r="Q13" s="282" t="str">
        <f t="shared" si="0"/>
        <v>pl</v>
      </c>
      <c r="R13" s="282" t="str">
        <f t="shared" si="0"/>
        <v>pl</v>
      </c>
      <c r="S13" s="282" t="str">
        <f t="shared" si="0"/>
        <v>pl</v>
      </c>
      <c r="T13" s="282" t="str">
        <f t="shared" si="0"/>
        <v>pl</v>
      </c>
      <c r="U13" s="282" t="str">
        <f t="shared" si="0"/>
        <v>pm</v>
      </c>
      <c r="V13" s="282" t="str">
        <f t="shared" si="0"/>
        <v>pm</v>
      </c>
      <c r="W13" s="282" t="str">
        <f t="shared" si="0"/>
        <v>ph</v>
      </c>
      <c r="X13" s="282" t="str">
        <f t="shared" si="0"/>
        <v>ph</v>
      </c>
      <c r="Y13" s="282" t="str">
        <f t="shared" si="0"/>
        <v>ph</v>
      </c>
      <c r="Z13" s="282" t="str">
        <f t="shared" si="0"/>
        <v>ph</v>
      </c>
      <c r="AA13" s="282" t="str">
        <f t="shared" si="0"/>
        <v>ph</v>
      </c>
      <c r="AB13" s="282" t="str">
        <f t="shared" si="0"/>
        <v>ph</v>
      </c>
      <c r="AC13" s="282" t="str">
        <f t="shared" si="0"/>
        <v>ph</v>
      </c>
      <c r="AD13" s="282" t="str">
        <f t="shared" si="0"/>
        <v>pT</v>
      </c>
      <c r="AE13" s="282" t="str">
        <f t="shared" si="0"/>
        <v>sl</v>
      </c>
      <c r="AF13" s="282" t="str">
        <f t="shared" si="0"/>
        <v>sl</v>
      </c>
      <c r="AG13" s="282" t="str">
        <f t="shared" si="0"/>
        <v>sl</v>
      </c>
      <c r="AH13" s="282" t="str">
        <f t="shared" si="0"/>
        <v>sl</v>
      </c>
      <c r="AI13" s="282" t="str">
        <f t="shared" si="0"/>
        <v>sm</v>
      </c>
      <c r="AJ13" s="282" t="str">
        <f t="shared" si="0"/>
        <v>sm</v>
      </c>
      <c r="AK13" s="282" t="str">
        <f t="shared" si="0"/>
        <v>sh</v>
      </c>
      <c r="AL13" s="282" t="str">
        <f t="shared" si="0"/>
        <v>sh</v>
      </c>
      <c r="AM13" s="282" t="str">
        <f t="shared" si="0"/>
        <v>sh</v>
      </c>
      <c r="AN13" s="282" t="str">
        <f t="shared" si="0"/>
        <v>sh</v>
      </c>
      <c r="AO13" s="282" t="str">
        <f t="shared" si="0"/>
        <v>sh</v>
      </c>
      <c r="AP13" s="282" t="str">
        <f t="shared" si="0"/>
        <v>sh</v>
      </c>
      <c r="AQ13" s="282" t="str">
        <f t="shared" si="0"/>
        <v>sh</v>
      </c>
      <c r="AR13" s="282" t="str">
        <f t="shared" si="0"/>
        <v>sT</v>
      </c>
      <c r="AS13" s="282" t="str">
        <f t="shared" si="0"/>
        <v>sl</v>
      </c>
      <c r="AT13" s="282" t="str">
        <f t="shared" si="0"/>
        <v>sl</v>
      </c>
      <c r="AU13" s="282" t="str">
        <f t="shared" si="0"/>
        <v>sl</v>
      </c>
      <c r="AV13" s="282" t="str">
        <f t="shared" si="0"/>
        <v>sl</v>
      </c>
      <c r="AW13" s="282" t="str">
        <f t="shared" si="0"/>
        <v>sm</v>
      </c>
      <c r="AX13" s="282" t="str">
        <f t="shared" si="0"/>
        <v>sm</v>
      </c>
      <c r="AY13" s="282" t="str">
        <f t="shared" si="0"/>
        <v>sh</v>
      </c>
      <c r="AZ13" s="282" t="str">
        <f t="shared" si="0"/>
        <v>sh</v>
      </c>
      <c r="BA13" s="282" t="str">
        <f t="shared" si="0"/>
        <v>sh</v>
      </c>
      <c r="BB13" s="282" t="str">
        <f t="shared" si="0"/>
        <v>sh</v>
      </c>
      <c r="BC13" s="282" t="str">
        <f t="shared" si="0"/>
        <v>sh</v>
      </c>
      <c r="BD13" s="282" t="str">
        <f t="shared" si="0"/>
        <v>sh</v>
      </c>
      <c r="BE13" s="282" t="str">
        <f t="shared" si="0"/>
        <v>sh</v>
      </c>
      <c r="BF13" s="282" t="str">
        <f t="shared" si="0"/>
        <v>sT</v>
      </c>
      <c r="BG13" s="282" t="str">
        <f t="shared" si="0"/>
        <v>sl</v>
      </c>
      <c r="BH13" s="282" t="str">
        <f t="shared" si="0"/>
        <v>sl</v>
      </c>
      <c r="BI13" s="282" t="str">
        <f t="shared" si="0"/>
        <v>sl</v>
      </c>
      <c r="BJ13" s="282" t="str">
        <f t="shared" si="0"/>
        <v>sl</v>
      </c>
      <c r="BK13" s="282" t="str">
        <f t="shared" si="0"/>
        <v>sm</v>
      </c>
      <c r="BL13" s="282" t="str">
        <f t="shared" si="0"/>
        <v>sm</v>
      </c>
      <c r="BM13" s="282" t="str">
        <f t="shared" si="0"/>
        <v>sh</v>
      </c>
      <c r="BN13" s="282" t="str">
        <f t="shared" si="0"/>
        <v>sh</v>
      </c>
      <c r="BO13" s="282" t="str">
        <f t="shared" si="0"/>
        <v>sh</v>
      </c>
      <c r="BP13" s="282" t="str">
        <f t="shared" ref="BP13:CV13" si="1">CONCATENATE(BP9,BP10)</f>
        <v>sh</v>
      </c>
      <c r="BQ13" s="282" t="str">
        <f t="shared" si="1"/>
        <v>sh</v>
      </c>
      <c r="BR13" s="282" t="str">
        <f t="shared" si="1"/>
        <v>sh</v>
      </c>
      <c r="BS13" s="282" t="str">
        <f t="shared" si="1"/>
        <v>sh</v>
      </c>
      <c r="BT13" s="282" t="str">
        <f t="shared" si="1"/>
        <v>sT</v>
      </c>
      <c r="BU13" s="282" t="str">
        <f t="shared" si="1"/>
        <v>sl</v>
      </c>
      <c r="BV13" s="282" t="str">
        <f t="shared" si="1"/>
        <v>sl</v>
      </c>
      <c r="BW13" s="282" t="str">
        <f t="shared" si="1"/>
        <v>sl</v>
      </c>
      <c r="BX13" s="282" t="str">
        <f t="shared" si="1"/>
        <v>sl</v>
      </c>
      <c r="BY13" s="282" t="str">
        <f t="shared" si="1"/>
        <v>sm</v>
      </c>
      <c r="BZ13" s="282" t="str">
        <f t="shared" si="1"/>
        <v>sm</v>
      </c>
      <c r="CA13" s="282" t="str">
        <f t="shared" si="1"/>
        <v>sh</v>
      </c>
      <c r="CB13" s="282" t="str">
        <f t="shared" si="1"/>
        <v>sh</v>
      </c>
      <c r="CC13" s="282" t="str">
        <f t="shared" si="1"/>
        <v>sh</v>
      </c>
      <c r="CD13" s="282" t="str">
        <f t="shared" si="1"/>
        <v>sh</v>
      </c>
      <c r="CE13" s="282" t="str">
        <f t="shared" si="1"/>
        <v>sh</v>
      </c>
      <c r="CF13" s="282" t="str">
        <f t="shared" si="1"/>
        <v>sh</v>
      </c>
      <c r="CG13" s="282" t="str">
        <f t="shared" si="1"/>
        <v>sh</v>
      </c>
      <c r="CH13" s="282" t="str">
        <f t="shared" si="1"/>
        <v>nT</v>
      </c>
      <c r="CI13" s="282" t="str">
        <f t="shared" si="1"/>
        <v>nl</v>
      </c>
      <c r="CJ13" s="282" t="str">
        <f t="shared" si="1"/>
        <v>nl</v>
      </c>
      <c r="CK13" s="282" t="str">
        <f t="shared" si="1"/>
        <v>nl</v>
      </c>
      <c r="CL13" s="282" t="str">
        <f t="shared" si="1"/>
        <v>nl</v>
      </c>
      <c r="CM13" s="282" t="str">
        <f t="shared" si="1"/>
        <v>nm</v>
      </c>
      <c r="CN13" s="282" t="str">
        <f t="shared" si="1"/>
        <v>nm</v>
      </c>
      <c r="CO13" s="282" t="str">
        <f t="shared" si="1"/>
        <v>nh</v>
      </c>
      <c r="CP13" s="282" t="str">
        <f t="shared" si="1"/>
        <v>nh</v>
      </c>
      <c r="CQ13" s="282" t="str">
        <f t="shared" si="1"/>
        <v>nh</v>
      </c>
      <c r="CR13" s="282" t="str">
        <f t="shared" si="1"/>
        <v>nh</v>
      </c>
      <c r="CS13" s="282" t="str">
        <f t="shared" si="1"/>
        <v>nh</v>
      </c>
      <c r="CT13" s="282" t="str">
        <f t="shared" si="1"/>
        <v>nh</v>
      </c>
      <c r="CU13" s="282" t="str">
        <f t="shared" si="1"/>
        <v>nh</v>
      </c>
      <c r="CV13" s="282" t="str">
        <f t="shared" si="1"/>
        <v>nT</v>
      </c>
    </row>
    <row r="14" spans="1:100" s="282" customFormat="1" ht="63.35">
      <c r="A14" s="282" t="s">
        <v>78</v>
      </c>
      <c r="B14" s="284" t="s">
        <v>499</v>
      </c>
      <c r="C14" s="285">
        <v>600156.90174</v>
      </c>
      <c r="D14" s="285">
        <v>133974.40542</v>
      </c>
      <c r="E14" s="285">
        <v>207273.5452999</v>
      </c>
      <c r="F14" s="285">
        <v>579402.79896030005</v>
      </c>
      <c r="G14" s="285">
        <v>737726.32935999997</v>
      </c>
      <c r="H14" s="285">
        <v>706473.31190990005</v>
      </c>
      <c r="I14" s="285">
        <v>697787.91897979996</v>
      </c>
      <c r="J14" s="285">
        <v>657356.72324980004</v>
      </c>
      <c r="K14" s="285">
        <v>469513.2786898</v>
      </c>
      <c r="L14" s="285">
        <v>196736.13480989999</v>
      </c>
      <c r="M14" s="285">
        <v>57012.932439999997</v>
      </c>
      <c r="N14" s="285">
        <v>32003.92668</v>
      </c>
      <c r="O14" s="285">
        <v>546.51601000000005</v>
      </c>
      <c r="P14" s="285">
        <v>5075964.7235494005</v>
      </c>
      <c r="Q14" s="285">
        <v>379311.1635503</v>
      </c>
      <c r="R14" s="285">
        <v>132730.73235989999</v>
      </c>
      <c r="S14" s="285">
        <v>220514.20527989999</v>
      </c>
      <c r="T14" s="285">
        <v>555550.18152099999</v>
      </c>
      <c r="U14" s="285">
        <v>610618.30170089996</v>
      </c>
      <c r="V14" s="285">
        <v>388055.87557039998</v>
      </c>
      <c r="W14" s="285">
        <v>198880.77953</v>
      </c>
      <c r="X14" s="285">
        <v>81084.554619999995</v>
      </c>
      <c r="Y14" s="285">
        <v>27644.10195</v>
      </c>
      <c r="Z14" s="285">
        <v>5237.4557299999997</v>
      </c>
      <c r="AA14" s="285">
        <v>2807.2037500000001</v>
      </c>
      <c r="AB14" s="285">
        <v>2092.15101</v>
      </c>
      <c r="AC14" s="285">
        <v>31.303609999999999</v>
      </c>
      <c r="AD14" s="285">
        <v>2604558.0101824999</v>
      </c>
      <c r="AE14" s="285">
        <v>123790.5364499</v>
      </c>
      <c r="AF14" s="285">
        <v>51627.760179999997</v>
      </c>
      <c r="AG14" s="285">
        <v>90532.452649900006</v>
      </c>
      <c r="AH14" s="285">
        <v>186618.22886</v>
      </c>
      <c r="AI14" s="285">
        <v>167820.20297000001</v>
      </c>
      <c r="AJ14" s="285">
        <v>70410.850340000005</v>
      </c>
      <c r="AK14" s="285">
        <v>28887.96875</v>
      </c>
      <c r="AL14" s="285">
        <v>12749.51108</v>
      </c>
      <c r="AM14" s="285">
        <v>4677.3053099999997</v>
      </c>
      <c r="AN14" s="285">
        <v>763.82672000000002</v>
      </c>
      <c r="AO14" s="285">
        <v>571.83717999999999</v>
      </c>
      <c r="AP14" s="285">
        <v>425.73408000000001</v>
      </c>
      <c r="AQ14" s="285">
        <v>2.05749</v>
      </c>
      <c r="AR14" s="285">
        <v>738878.27205979999</v>
      </c>
      <c r="AS14" s="285">
        <v>38721.124210000002</v>
      </c>
      <c r="AT14" s="285">
        <v>16851.71632</v>
      </c>
      <c r="AU14" s="285">
        <v>30065.527249999999</v>
      </c>
      <c r="AV14" s="285">
        <v>58282.548439999999</v>
      </c>
      <c r="AW14" s="285">
        <v>52785.030359999997</v>
      </c>
      <c r="AX14" s="285">
        <v>21724.439460000001</v>
      </c>
      <c r="AY14" s="285">
        <v>9445.4257799999996</v>
      </c>
      <c r="AZ14" s="285">
        <v>4435.1831400000001</v>
      </c>
      <c r="BA14" s="285">
        <v>1721.2598800000001</v>
      </c>
      <c r="BB14" s="285">
        <v>331.51033000000001</v>
      </c>
      <c r="BC14" s="285">
        <v>198.17143999999999</v>
      </c>
      <c r="BD14" s="285">
        <v>142.33085</v>
      </c>
      <c r="BE14" s="285">
        <v>3.6417199999999998</v>
      </c>
      <c r="BF14" s="285">
        <v>234707.90917999999</v>
      </c>
      <c r="BG14" s="285">
        <v>17530.313300000002</v>
      </c>
      <c r="BH14" s="285">
        <v>8151.3899700000002</v>
      </c>
      <c r="BI14" s="285">
        <v>14529.34888</v>
      </c>
      <c r="BJ14" s="285">
        <v>25605.762910000001</v>
      </c>
      <c r="BK14" s="285">
        <v>23356.656139999999</v>
      </c>
      <c r="BL14" s="285">
        <v>9524.6730399999997</v>
      </c>
      <c r="BM14" s="285">
        <v>4346.3317699999998</v>
      </c>
      <c r="BN14" s="285">
        <v>2024.26836</v>
      </c>
      <c r="BO14" s="285">
        <v>808.34037000000001</v>
      </c>
      <c r="BP14" s="285">
        <v>143.55799999999999</v>
      </c>
      <c r="BQ14" s="285">
        <v>97.454880000000003</v>
      </c>
      <c r="BR14" s="285">
        <v>61.15184</v>
      </c>
      <c r="BS14" s="285">
        <v>2.0459000000000001</v>
      </c>
      <c r="BT14" s="285">
        <v>106181.29536</v>
      </c>
      <c r="BU14" s="285">
        <v>10119.98119</v>
      </c>
      <c r="BV14" s="285">
        <v>4819.7595700000002</v>
      </c>
      <c r="BW14" s="285">
        <v>8832.8848500000004</v>
      </c>
      <c r="BX14" s="285">
        <v>14760.429040000001</v>
      </c>
      <c r="BY14" s="285">
        <v>12951.52512</v>
      </c>
      <c r="BZ14" s="285">
        <v>5233.3009300000003</v>
      </c>
      <c r="CA14" s="285">
        <v>2540.1531199999999</v>
      </c>
      <c r="CB14" s="285">
        <v>1365.35058</v>
      </c>
      <c r="CC14" s="285">
        <v>511.85014000000001</v>
      </c>
      <c r="CD14" s="285">
        <v>140.22662</v>
      </c>
      <c r="CE14" s="285">
        <v>70.336420000000004</v>
      </c>
      <c r="CF14" s="285">
        <v>62.178339999999999</v>
      </c>
      <c r="CG14" s="285">
        <v>4.2015399999999996</v>
      </c>
      <c r="CH14" s="285">
        <v>61412.177459999999</v>
      </c>
      <c r="CI14" s="285">
        <v>88645.764410000003</v>
      </c>
      <c r="CJ14" s="285">
        <v>37927.915589999997</v>
      </c>
      <c r="CK14" s="285">
        <v>69193.334539999996</v>
      </c>
      <c r="CL14" s="285">
        <v>135705.85941989999</v>
      </c>
      <c r="CM14" s="285">
        <v>125654.1150699</v>
      </c>
      <c r="CN14" s="285">
        <v>54171.0504</v>
      </c>
      <c r="CO14" s="285">
        <v>27505.59289</v>
      </c>
      <c r="CP14" s="285">
        <v>14834.828079999999</v>
      </c>
      <c r="CQ14" s="285">
        <v>6161.2320399999999</v>
      </c>
      <c r="CR14" s="285">
        <v>1358.5009500000001</v>
      </c>
      <c r="CS14" s="285">
        <v>657.83226999999999</v>
      </c>
      <c r="CT14" s="285">
        <v>502.74365999999998</v>
      </c>
      <c r="CU14" s="285">
        <v>8.4331600000000009</v>
      </c>
      <c r="CV14" s="285">
        <v>562327.20247969998</v>
      </c>
    </row>
    <row r="15" spans="1:100" s="282" customFormat="1" ht="50.7">
      <c r="A15" s="282" t="s">
        <v>514</v>
      </c>
      <c r="B15" s="284" t="s">
        <v>500</v>
      </c>
      <c r="C15" s="285">
        <v>8922.1383800000003</v>
      </c>
      <c r="D15" s="285">
        <v>3054.4920499999998</v>
      </c>
      <c r="E15" s="285">
        <v>5562.7838899999997</v>
      </c>
      <c r="F15" s="285">
        <v>12141.37838</v>
      </c>
      <c r="G15" s="285">
        <v>12822.413409999999</v>
      </c>
      <c r="H15" s="285">
        <v>7388.3903700000001</v>
      </c>
      <c r="I15" s="285">
        <v>5071.9819799999996</v>
      </c>
      <c r="J15" s="285">
        <v>3725.3810699999999</v>
      </c>
      <c r="K15" s="285">
        <v>2560.0830799999999</v>
      </c>
      <c r="L15" s="285">
        <v>858.58199999999999</v>
      </c>
      <c r="M15" s="285">
        <v>346.31092999999998</v>
      </c>
      <c r="N15" s="285">
        <v>210.14408</v>
      </c>
      <c r="O15" s="285">
        <v>2.0999400000000001</v>
      </c>
      <c r="P15" s="285">
        <v>62666.179559999997</v>
      </c>
      <c r="Q15" s="285">
        <v>23968.08397</v>
      </c>
      <c r="R15" s="285">
        <v>10222.694100000001</v>
      </c>
      <c r="S15" s="285">
        <v>18413.545760000001</v>
      </c>
      <c r="T15" s="285">
        <v>42705.977319999998</v>
      </c>
      <c r="U15" s="285">
        <v>41698.87513</v>
      </c>
      <c r="V15" s="285">
        <v>18240.003140000001</v>
      </c>
      <c r="W15" s="285">
        <v>6448.4270800000004</v>
      </c>
      <c r="X15" s="285">
        <v>2566.4588100000001</v>
      </c>
      <c r="Y15" s="285">
        <v>1243.1927599999999</v>
      </c>
      <c r="Z15" s="285">
        <v>202.81268</v>
      </c>
      <c r="AA15" s="285">
        <v>147.77217999999999</v>
      </c>
      <c r="AB15" s="285">
        <v>117.60737</v>
      </c>
      <c r="AC15" s="285">
        <v>0</v>
      </c>
      <c r="AD15" s="285">
        <v>165975.4503</v>
      </c>
      <c r="AE15" s="285">
        <v>44781.5121</v>
      </c>
      <c r="AF15" s="285">
        <v>20641.912550000001</v>
      </c>
      <c r="AG15" s="285">
        <v>37662.017160000003</v>
      </c>
      <c r="AH15" s="285">
        <v>79978.478749999995</v>
      </c>
      <c r="AI15" s="285">
        <v>64022.777139999998</v>
      </c>
      <c r="AJ15" s="285">
        <v>18940.519649999998</v>
      </c>
      <c r="AK15" s="285">
        <v>5211.7513399999998</v>
      </c>
      <c r="AL15" s="285">
        <v>2545.16615</v>
      </c>
      <c r="AM15" s="285">
        <v>1391.1482699999999</v>
      </c>
      <c r="AN15" s="285">
        <v>175.86991</v>
      </c>
      <c r="AO15" s="285">
        <v>169.57884000000001</v>
      </c>
      <c r="AP15" s="285">
        <v>129.72318999999999</v>
      </c>
      <c r="AQ15" s="285">
        <v>4.2135999999999996</v>
      </c>
      <c r="AR15" s="285">
        <v>275654.66864990001</v>
      </c>
      <c r="AS15" s="285">
        <v>16375.547570000001</v>
      </c>
      <c r="AT15" s="285">
        <v>7804.6535599999997</v>
      </c>
      <c r="AU15" s="285">
        <v>13727.155860000001</v>
      </c>
      <c r="AV15" s="285">
        <v>28990.848480000001</v>
      </c>
      <c r="AW15" s="285">
        <v>23567.479770000002</v>
      </c>
      <c r="AX15" s="285">
        <v>6501.7221200000004</v>
      </c>
      <c r="AY15" s="285">
        <v>1840.5787</v>
      </c>
      <c r="AZ15" s="285">
        <v>904.95911999999998</v>
      </c>
      <c r="BA15" s="285">
        <v>494.75326999999999</v>
      </c>
      <c r="BB15" s="285">
        <v>74.718090000000004</v>
      </c>
      <c r="BC15" s="285">
        <v>70.991079999999997</v>
      </c>
      <c r="BD15" s="285">
        <v>55.87</v>
      </c>
      <c r="BE15" s="285">
        <v>2.1524200000000002</v>
      </c>
      <c r="BF15" s="285">
        <v>100411.43004000001</v>
      </c>
      <c r="BG15" s="285">
        <v>6837.0637299999999</v>
      </c>
      <c r="BH15" s="285">
        <v>3502.1999500000002</v>
      </c>
      <c r="BI15" s="285">
        <v>6245.2526200000002</v>
      </c>
      <c r="BJ15" s="285">
        <v>12262.312120000001</v>
      </c>
      <c r="BK15" s="285">
        <v>9884.9170900000008</v>
      </c>
      <c r="BL15" s="285">
        <v>2852.9877299999998</v>
      </c>
      <c r="BM15" s="285">
        <v>791.23186999999996</v>
      </c>
      <c r="BN15" s="285">
        <v>390.9126</v>
      </c>
      <c r="BO15" s="285">
        <v>212.96089000000001</v>
      </c>
      <c r="BP15" s="285">
        <v>23.38861</v>
      </c>
      <c r="BQ15" s="285">
        <v>32.282429999999998</v>
      </c>
      <c r="BR15" s="285">
        <v>23.91404</v>
      </c>
      <c r="BS15" s="285">
        <v>0</v>
      </c>
      <c r="BT15" s="285">
        <v>43059.42368</v>
      </c>
      <c r="BU15" s="285">
        <v>4174.2937499999998</v>
      </c>
      <c r="BV15" s="285">
        <v>2056.9528300000002</v>
      </c>
      <c r="BW15" s="285">
        <v>3896.4773100000002</v>
      </c>
      <c r="BX15" s="285">
        <v>7180.76901</v>
      </c>
      <c r="BY15" s="285">
        <v>5719.8519699999997</v>
      </c>
      <c r="BZ15" s="285">
        <v>1632.47723</v>
      </c>
      <c r="CA15" s="285">
        <v>459.29147999999998</v>
      </c>
      <c r="CB15" s="285">
        <v>216.12056999999999</v>
      </c>
      <c r="CC15" s="285">
        <v>124.99115</v>
      </c>
      <c r="CD15" s="285">
        <v>17.195979999999999</v>
      </c>
      <c r="CE15" s="285">
        <v>14.66215</v>
      </c>
      <c r="CF15" s="285">
        <v>16.299199999999999</v>
      </c>
      <c r="CG15" s="285">
        <v>0</v>
      </c>
      <c r="CH15" s="285">
        <v>25509.38263</v>
      </c>
      <c r="CI15" s="285">
        <v>67300.276320000004</v>
      </c>
      <c r="CJ15" s="285">
        <v>33202.680130000001</v>
      </c>
      <c r="CK15" s="285">
        <v>66517.487160000004</v>
      </c>
      <c r="CL15" s="285">
        <v>136173.3697099</v>
      </c>
      <c r="CM15" s="285">
        <v>114252.09218989999</v>
      </c>
      <c r="CN15" s="285">
        <v>32686.433499999999</v>
      </c>
      <c r="CO15" s="285">
        <v>8459.7252800000006</v>
      </c>
      <c r="CP15" s="285">
        <v>4509.1222900000002</v>
      </c>
      <c r="CQ15" s="285">
        <v>2543.27682</v>
      </c>
      <c r="CR15" s="285">
        <v>354.09071999999998</v>
      </c>
      <c r="CS15" s="285">
        <v>360.69794999999999</v>
      </c>
      <c r="CT15" s="285">
        <v>276.58022</v>
      </c>
      <c r="CU15" s="285">
        <v>4.0918000000000001</v>
      </c>
      <c r="CV15" s="285">
        <v>466639.92408969998</v>
      </c>
    </row>
    <row r="16" spans="1:100" s="282" customFormat="1" ht="25.35">
      <c r="A16" s="282" t="s">
        <v>79</v>
      </c>
      <c r="B16" s="284" t="s">
        <v>501</v>
      </c>
      <c r="C16" s="285">
        <v>82470.751910000006</v>
      </c>
      <c r="D16" s="285">
        <v>8291.3072599999996</v>
      </c>
      <c r="E16" s="285">
        <v>13156.37132</v>
      </c>
      <c r="F16" s="285">
        <v>39508.941599999998</v>
      </c>
      <c r="G16" s="285">
        <v>61336.485769999999</v>
      </c>
      <c r="H16" s="285">
        <v>83988.483370000002</v>
      </c>
      <c r="I16" s="285">
        <v>105582.44590999999</v>
      </c>
      <c r="J16" s="285">
        <v>101845.68094000001</v>
      </c>
      <c r="K16" s="285">
        <v>56270.180119999997</v>
      </c>
      <c r="L16" s="285">
        <v>16069.71746</v>
      </c>
      <c r="M16" s="285">
        <v>4304.1268099999998</v>
      </c>
      <c r="N16" s="285">
        <v>3127.5882799999999</v>
      </c>
      <c r="O16" s="285">
        <v>24.40502</v>
      </c>
      <c r="P16" s="285">
        <v>575976.48577000003</v>
      </c>
      <c r="Q16" s="285">
        <v>11399.78737</v>
      </c>
      <c r="R16" s="285">
        <v>2894.7238699999998</v>
      </c>
      <c r="S16" s="285">
        <v>4579.2028899999996</v>
      </c>
      <c r="T16" s="285">
        <v>11088.923870000001</v>
      </c>
      <c r="U16" s="285">
        <v>13658.029280000001</v>
      </c>
      <c r="V16" s="285">
        <v>12178.94764</v>
      </c>
      <c r="W16" s="285">
        <v>6383.5297399999999</v>
      </c>
      <c r="X16" s="285">
        <v>2699.79702</v>
      </c>
      <c r="Y16" s="285">
        <v>721.06569999999999</v>
      </c>
      <c r="Z16" s="285">
        <v>128.54343</v>
      </c>
      <c r="AA16" s="285">
        <v>108.0085</v>
      </c>
      <c r="AB16" s="285">
        <v>65.958280000000002</v>
      </c>
      <c r="AC16" s="285">
        <v>0</v>
      </c>
      <c r="AD16" s="285">
        <v>65906.517590000003</v>
      </c>
      <c r="AE16" s="285">
        <v>6111.8423199999997</v>
      </c>
      <c r="AF16" s="285">
        <v>1982.2659000000001</v>
      </c>
      <c r="AG16" s="285">
        <v>3303.2916700000001</v>
      </c>
      <c r="AH16" s="285">
        <v>6848.9346299999997</v>
      </c>
      <c r="AI16" s="285">
        <v>6121.8741300000002</v>
      </c>
      <c r="AJ16" s="285">
        <v>2936.8484199999998</v>
      </c>
      <c r="AK16" s="285">
        <v>1188.0773099999999</v>
      </c>
      <c r="AL16" s="285">
        <v>587.84897999999998</v>
      </c>
      <c r="AM16" s="285">
        <v>234.18836999999999</v>
      </c>
      <c r="AN16" s="285">
        <v>39.76688</v>
      </c>
      <c r="AO16" s="285">
        <v>20.982220000000002</v>
      </c>
      <c r="AP16" s="285">
        <v>34.699689999999997</v>
      </c>
      <c r="AQ16" s="285">
        <v>0</v>
      </c>
      <c r="AR16" s="285">
        <v>29410.62052</v>
      </c>
      <c r="AS16" s="285">
        <v>1745.4501399999999</v>
      </c>
      <c r="AT16" s="285">
        <v>657.65274999999997</v>
      </c>
      <c r="AU16" s="285">
        <v>1022.34195</v>
      </c>
      <c r="AV16" s="285">
        <v>1969.7610099999999</v>
      </c>
      <c r="AW16" s="285">
        <v>1876.2802899999999</v>
      </c>
      <c r="AX16" s="285">
        <v>819.40224000000001</v>
      </c>
      <c r="AY16" s="285">
        <v>330.70789000000002</v>
      </c>
      <c r="AZ16" s="285">
        <v>208.19478000000001</v>
      </c>
      <c r="BA16" s="285">
        <v>86.161590000000004</v>
      </c>
      <c r="BB16" s="285">
        <v>21.83473</v>
      </c>
      <c r="BC16" s="285">
        <v>15.423769999999999</v>
      </c>
      <c r="BD16" s="285">
        <v>11.402200000000001</v>
      </c>
      <c r="BE16" s="285">
        <v>0</v>
      </c>
      <c r="BF16" s="285">
        <v>8764.6133399999999</v>
      </c>
      <c r="BG16" s="285">
        <v>771.82501999999999</v>
      </c>
      <c r="BH16" s="285">
        <v>329.65303</v>
      </c>
      <c r="BI16" s="285">
        <v>445.53145000000001</v>
      </c>
      <c r="BJ16" s="285">
        <v>893.09172999999998</v>
      </c>
      <c r="BK16" s="285">
        <v>786.92840999999999</v>
      </c>
      <c r="BL16" s="285">
        <v>344.04903999999999</v>
      </c>
      <c r="BM16" s="285">
        <v>138.72726</v>
      </c>
      <c r="BN16" s="285">
        <v>74.160039999999995</v>
      </c>
      <c r="BO16" s="285">
        <v>34.478749999999998</v>
      </c>
      <c r="BP16" s="285">
        <v>12.57314</v>
      </c>
      <c r="BQ16" s="285">
        <v>3.1997800000000001</v>
      </c>
      <c r="BR16" s="285">
        <v>7.2018300000000002</v>
      </c>
      <c r="BS16" s="285">
        <v>0</v>
      </c>
      <c r="BT16" s="285">
        <v>3841.41948</v>
      </c>
      <c r="BU16" s="285">
        <v>524.66812000000004</v>
      </c>
      <c r="BV16" s="285">
        <v>185.33143000000001</v>
      </c>
      <c r="BW16" s="285">
        <v>304.95452</v>
      </c>
      <c r="BX16" s="285">
        <v>581.59370000000001</v>
      </c>
      <c r="BY16" s="285">
        <v>480.42254000000003</v>
      </c>
      <c r="BZ16" s="285">
        <v>152.46807999999999</v>
      </c>
      <c r="CA16" s="285">
        <v>109.33732000000001</v>
      </c>
      <c r="CB16" s="285">
        <v>72.217169999999996</v>
      </c>
      <c r="CC16" s="285">
        <v>21.748699999999999</v>
      </c>
      <c r="CD16" s="285">
        <v>8.8962400000000006</v>
      </c>
      <c r="CE16" s="285">
        <v>3.2955899999999998</v>
      </c>
      <c r="CF16" s="285">
        <v>2.0991599999999999</v>
      </c>
      <c r="CG16" s="285">
        <v>0</v>
      </c>
      <c r="CH16" s="285">
        <v>2447.0325699999999</v>
      </c>
      <c r="CI16" s="285">
        <v>6229.5556299999998</v>
      </c>
      <c r="CJ16" s="285">
        <v>2305.0286799999999</v>
      </c>
      <c r="CK16" s="285">
        <v>4539.4524300000003</v>
      </c>
      <c r="CL16" s="285">
        <v>8092.5960599999999</v>
      </c>
      <c r="CM16" s="285">
        <v>6897.80195</v>
      </c>
      <c r="CN16" s="285">
        <v>2867.8906499999998</v>
      </c>
      <c r="CO16" s="285">
        <v>1596.0977600000001</v>
      </c>
      <c r="CP16" s="285">
        <v>854.21938</v>
      </c>
      <c r="CQ16" s="285">
        <v>424.48977000000002</v>
      </c>
      <c r="CR16" s="285">
        <v>87.880229999999997</v>
      </c>
      <c r="CS16" s="285">
        <v>42.425939999999997</v>
      </c>
      <c r="CT16" s="285">
        <v>42.008629999999997</v>
      </c>
      <c r="CU16" s="285">
        <v>1.13269</v>
      </c>
      <c r="CV16" s="285">
        <v>33980.5798</v>
      </c>
    </row>
    <row r="17" spans="1:100" s="282" customFormat="1" ht="25.35">
      <c r="A17" s="287" t="s">
        <v>468</v>
      </c>
      <c r="B17" s="284" t="s">
        <v>502</v>
      </c>
      <c r="C17" s="285">
        <v>9778.6827300000004</v>
      </c>
      <c r="D17" s="285">
        <v>754.33583999999996</v>
      </c>
      <c r="E17" s="285">
        <v>1055.7917299999999</v>
      </c>
      <c r="F17" s="285">
        <v>4310.3873599999997</v>
      </c>
      <c r="G17" s="285">
        <v>6030.8958199999997</v>
      </c>
      <c r="H17" s="285">
        <v>8696.8013499999997</v>
      </c>
      <c r="I17" s="285">
        <v>16033.39891</v>
      </c>
      <c r="J17" s="285">
        <v>26733.143339999999</v>
      </c>
      <c r="K17" s="285">
        <v>29309.013559999999</v>
      </c>
      <c r="L17" s="285">
        <v>17933.020260000001</v>
      </c>
      <c r="M17" s="285">
        <v>5402.3358799999996</v>
      </c>
      <c r="N17" s="285">
        <v>2423.80197</v>
      </c>
      <c r="O17" s="285">
        <v>25.628959999999999</v>
      </c>
      <c r="P17" s="285">
        <v>128487.23771</v>
      </c>
      <c r="Q17" s="285">
        <v>1315.2538400000001</v>
      </c>
      <c r="R17" s="285">
        <v>348.96426000000002</v>
      </c>
      <c r="S17" s="285">
        <v>551.28057999999999</v>
      </c>
      <c r="T17" s="285">
        <v>1422.46957</v>
      </c>
      <c r="U17" s="285">
        <v>1747.57268</v>
      </c>
      <c r="V17" s="285">
        <v>1591.3184900000001</v>
      </c>
      <c r="W17" s="285">
        <v>686.37166999999999</v>
      </c>
      <c r="X17" s="285">
        <v>424.00288999999998</v>
      </c>
      <c r="Y17" s="285">
        <v>317.863</v>
      </c>
      <c r="Z17" s="285">
        <v>160.78827999999999</v>
      </c>
      <c r="AA17" s="285">
        <v>60.708889999999997</v>
      </c>
      <c r="AB17" s="285">
        <v>28.202010000000001</v>
      </c>
      <c r="AC17" s="285">
        <v>0</v>
      </c>
      <c r="AD17" s="285">
        <v>8654.7961599999999</v>
      </c>
      <c r="AE17" s="285">
        <v>882.71765000000005</v>
      </c>
      <c r="AF17" s="285">
        <v>287.19578000000001</v>
      </c>
      <c r="AG17" s="285">
        <v>472.31144</v>
      </c>
      <c r="AH17" s="285">
        <v>935.51409000000001</v>
      </c>
      <c r="AI17" s="285">
        <v>951.37581999999998</v>
      </c>
      <c r="AJ17" s="285">
        <v>482.08276999999998</v>
      </c>
      <c r="AK17" s="285">
        <v>192.97908000000001</v>
      </c>
      <c r="AL17" s="285">
        <v>125.79983</v>
      </c>
      <c r="AM17" s="285">
        <v>89.70993</v>
      </c>
      <c r="AN17" s="285">
        <v>42.650709999999997</v>
      </c>
      <c r="AO17" s="285">
        <v>17.654669999999999</v>
      </c>
      <c r="AP17" s="285">
        <v>7.6991899999999998</v>
      </c>
      <c r="AQ17" s="285">
        <v>0</v>
      </c>
      <c r="AR17" s="285">
        <v>4487.6909599999999</v>
      </c>
      <c r="AS17" s="285">
        <v>224.15572</v>
      </c>
      <c r="AT17" s="285">
        <v>76.734700000000004</v>
      </c>
      <c r="AU17" s="285">
        <v>149.84044</v>
      </c>
      <c r="AV17" s="285">
        <v>245.67776000000001</v>
      </c>
      <c r="AW17" s="285">
        <v>238.82553999999999</v>
      </c>
      <c r="AX17" s="285">
        <v>111.63896</v>
      </c>
      <c r="AY17" s="285">
        <v>61.301389999999998</v>
      </c>
      <c r="AZ17" s="285">
        <v>62.04083</v>
      </c>
      <c r="BA17" s="285">
        <v>35.766970000000001</v>
      </c>
      <c r="BB17" s="285">
        <v>28.713699999999999</v>
      </c>
      <c r="BC17" s="285">
        <v>6.7449300000000001</v>
      </c>
      <c r="BD17" s="285">
        <v>3.4969899999999998</v>
      </c>
      <c r="BE17" s="285">
        <v>0</v>
      </c>
      <c r="BF17" s="285">
        <v>1244.9379300000001</v>
      </c>
      <c r="BG17" s="285">
        <v>88.439099999999996</v>
      </c>
      <c r="BH17" s="285">
        <v>35.178519999999999</v>
      </c>
      <c r="BI17" s="285">
        <v>59.35275</v>
      </c>
      <c r="BJ17" s="285">
        <v>98.200710000000001</v>
      </c>
      <c r="BK17" s="285">
        <v>103.28272</v>
      </c>
      <c r="BL17" s="285">
        <v>40.079000000000001</v>
      </c>
      <c r="BM17" s="285">
        <v>18.021319999999999</v>
      </c>
      <c r="BN17" s="285">
        <v>19.457930000000001</v>
      </c>
      <c r="BO17" s="285">
        <v>13.530609999999999</v>
      </c>
      <c r="BP17" s="285">
        <v>5.5423499999999999</v>
      </c>
      <c r="BQ17" s="285">
        <v>0</v>
      </c>
      <c r="BR17" s="285">
        <v>0</v>
      </c>
      <c r="BS17" s="285">
        <v>0</v>
      </c>
      <c r="BT17" s="285">
        <v>481.08501000000001</v>
      </c>
      <c r="BU17" s="285">
        <v>69.609470000000002</v>
      </c>
      <c r="BV17" s="285">
        <v>29.005330000000001</v>
      </c>
      <c r="BW17" s="285">
        <v>40.18327</v>
      </c>
      <c r="BX17" s="285">
        <v>60.509799999999998</v>
      </c>
      <c r="BY17" s="285">
        <v>71.934979999999996</v>
      </c>
      <c r="BZ17" s="285">
        <v>37.366680000000002</v>
      </c>
      <c r="CA17" s="285">
        <v>27.035520000000002</v>
      </c>
      <c r="CB17" s="285">
        <v>16.035820000000001</v>
      </c>
      <c r="CC17" s="285">
        <v>14.073460000000001</v>
      </c>
      <c r="CD17" s="285">
        <v>10.402139999999999</v>
      </c>
      <c r="CE17" s="285">
        <v>5.3367199999999997</v>
      </c>
      <c r="CF17" s="285">
        <v>0</v>
      </c>
      <c r="CG17" s="285">
        <v>0</v>
      </c>
      <c r="CH17" s="285">
        <v>381.49319000000003</v>
      </c>
      <c r="CI17" s="285">
        <v>465.98642000000001</v>
      </c>
      <c r="CJ17" s="285">
        <v>172.13513</v>
      </c>
      <c r="CK17" s="285">
        <v>276.83645999999999</v>
      </c>
      <c r="CL17" s="285">
        <v>598.73077000000001</v>
      </c>
      <c r="CM17" s="285">
        <v>569.30418999999995</v>
      </c>
      <c r="CN17" s="285">
        <v>203.04049000000001</v>
      </c>
      <c r="CO17" s="285">
        <v>132.565</v>
      </c>
      <c r="CP17" s="285">
        <v>97.369560000000007</v>
      </c>
      <c r="CQ17" s="285">
        <v>77.85472</v>
      </c>
      <c r="CR17" s="285">
        <v>41.107570000000003</v>
      </c>
      <c r="CS17" s="285">
        <v>11.518739999999999</v>
      </c>
      <c r="CT17" s="285">
        <v>8.7780100000000001</v>
      </c>
      <c r="CU17" s="285">
        <v>0</v>
      </c>
      <c r="CV17" s="285">
        <v>2655.2270600000002</v>
      </c>
    </row>
    <row r="18" spans="1:100" s="282" customFormat="1" ht="38">
      <c r="A18" s="287" t="s">
        <v>468</v>
      </c>
      <c r="B18" s="284" t="s">
        <v>503</v>
      </c>
      <c r="C18" s="285">
        <v>15513.93253</v>
      </c>
      <c r="D18" s="285">
        <v>1241.9371699999999</v>
      </c>
      <c r="E18" s="285">
        <v>1721.7496599999999</v>
      </c>
      <c r="F18" s="285">
        <v>5923.0575699999999</v>
      </c>
      <c r="G18" s="285">
        <v>8231.6795500000007</v>
      </c>
      <c r="H18" s="285">
        <v>14004.455089999999</v>
      </c>
      <c r="I18" s="285">
        <v>29274.30906</v>
      </c>
      <c r="J18" s="285">
        <v>50479.918270000002</v>
      </c>
      <c r="K18" s="285">
        <v>48259.750339999999</v>
      </c>
      <c r="L18" s="285">
        <v>20345.81741</v>
      </c>
      <c r="M18" s="285">
        <v>4063.28962</v>
      </c>
      <c r="N18" s="285">
        <v>2508.8456900000001</v>
      </c>
      <c r="O18" s="285">
        <v>23.463950000000001</v>
      </c>
      <c r="P18" s="285">
        <v>201592.20590999999</v>
      </c>
      <c r="Q18" s="285">
        <v>966.14016000000004</v>
      </c>
      <c r="R18" s="285">
        <v>281.97836000000001</v>
      </c>
      <c r="S18" s="285">
        <v>354.23878999999999</v>
      </c>
      <c r="T18" s="285">
        <v>876.47752000000003</v>
      </c>
      <c r="U18" s="285">
        <v>1268.96768</v>
      </c>
      <c r="V18" s="285">
        <v>886.21578999999997</v>
      </c>
      <c r="W18" s="285">
        <v>658.70142999999996</v>
      </c>
      <c r="X18" s="285">
        <v>667.07550000000003</v>
      </c>
      <c r="Y18" s="285">
        <v>522.96783000000005</v>
      </c>
      <c r="Z18" s="285">
        <v>182.7835</v>
      </c>
      <c r="AA18" s="285">
        <v>47.931690000000003</v>
      </c>
      <c r="AB18" s="285">
        <v>32.195819999999998</v>
      </c>
      <c r="AC18" s="285">
        <v>0</v>
      </c>
      <c r="AD18" s="285">
        <v>6745.67407</v>
      </c>
      <c r="AE18" s="285">
        <v>390.22474999999997</v>
      </c>
      <c r="AF18" s="285">
        <v>149.36593999999999</v>
      </c>
      <c r="AG18" s="285">
        <v>159.45052999999999</v>
      </c>
      <c r="AH18" s="285">
        <v>325.69535999999999</v>
      </c>
      <c r="AI18" s="285">
        <v>370.50664999999998</v>
      </c>
      <c r="AJ18" s="285">
        <v>215.78001</v>
      </c>
      <c r="AK18" s="285">
        <v>103.71547</v>
      </c>
      <c r="AL18" s="285">
        <v>104.90949000000001</v>
      </c>
      <c r="AM18" s="285">
        <v>63.881610000000002</v>
      </c>
      <c r="AN18" s="285">
        <v>29.012599999999999</v>
      </c>
      <c r="AO18" s="285">
        <v>7.4373800000000001</v>
      </c>
      <c r="AP18" s="285">
        <v>7.3827499999999997</v>
      </c>
      <c r="AQ18" s="285">
        <v>0</v>
      </c>
      <c r="AR18" s="285">
        <v>1927.3625400000001</v>
      </c>
      <c r="AS18" s="285">
        <v>113.07249</v>
      </c>
      <c r="AT18" s="285">
        <v>32.756810000000002</v>
      </c>
      <c r="AU18" s="285">
        <v>43.80585</v>
      </c>
      <c r="AV18" s="285">
        <v>103.36716</v>
      </c>
      <c r="AW18" s="285">
        <v>85.512280000000004</v>
      </c>
      <c r="AX18" s="285">
        <v>57.519750000000002</v>
      </c>
      <c r="AY18" s="285">
        <v>65.317310000000006</v>
      </c>
      <c r="AZ18" s="285">
        <v>76.872309999999999</v>
      </c>
      <c r="BA18" s="285">
        <v>53.687959999999997</v>
      </c>
      <c r="BB18" s="285">
        <v>17.563120000000001</v>
      </c>
      <c r="BC18" s="285">
        <v>7.0037799999999999</v>
      </c>
      <c r="BD18" s="285">
        <v>2.2096800000000001</v>
      </c>
      <c r="BE18" s="285">
        <v>0</v>
      </c>
      <c r="BF18" s="285">
        <v>658.68849999999998</v>
      </c>
      <c r="BG18" s="285">
        <v>52.005029999999998</v>
      </c>
      <c r="BH18" s="285">
        <v>25.352170000000001</v>
      </c>
      <c r="BI18" s="285">
        <v>31.330410000000001</v>
      </c>
      <c r="BJ18" s="285">
        <v>61.091349999999998</v>
      </c>
      <c r="BK18" s="285">
        <v>49.144820000000003</v>
      </c>
      <c r="BL18" s="285">
        <v>28.49381</v>
      </c>
      <c r="BM18" s="285">
        <v>18.07996</v>
      </c>
      <c r="BN18" s="285">
        <v>25.54476</v>
      </c>
      <c r="BO18" s="285">
        <v>21.726150000000001</v>
      </c>
      <c r="BP18" s="285">
        <v>9.5277600000000007</v>
      </c>
      <c r="BQ18" s="285">
        <v>1.2316100000000001</v>
      </c>
      <c r="BR18" s="285">
        <v>1.41612</v>
      </c>
      <c r="BS18" s="285">
        <v>0</v>
      </c>
      <c r="BT18" s="285">
        <v>324.94394999999997</v>
      </c>
      <c r="BU18" s="285">
        <v>32.746380000000002</v>
      </c>
      <c r="BV18" s="285">
        <v>8.0499500000000008</v>
      </c>
      <c r="BW18" s="285">
        <v>11.415800000000001</v>
      </c>
      <c r="BX18" s="285">
        <v>34.77778</v>
      </c>
      <c r="BY18" s="285">
        <v>20.04044</v>
      </c>
      <c r="BZ18" s="285">
        <v>21.777629999999998</v>
      </c>
      <c r="CA18" s="285">
        <v>13.12982</v>
      </c>
      <c r="CB18" s="285">
        <v>25.013179999999998</v>
      </c>
      <c r="CC18" s="285">
        <v>12.86079</v>
      </c>
      <c r="CD18" s="285">
        <v>5.7623699999999998</v>
      </c>
      <c r="CE18" s="285">
        <v>4.8187600000000002</v>
      </c>
      <c r="CF18" s="285">
        <v>0</v>
      </c>
      <c r="CG18" s="285">
        <v>0</v>
      </c>
      <c r="CH18" s="285">
        <v>190.3929</v>
      </c>
      <c r="CI18" s="285">
        <v>331.55432999999999</v>
      </c>
      <c r="CJ18" s="285">
        <v>88.828689999999995</v>
      </c>
      <c r="CK18" s="285">
        <v>134.07506000000001</v>
      </c>
      <c r="CL18" s="285">
        <v>269.43097</v>
      </c>
      <c r="CM18" s="285">
        <v>241.83174</v>
      </c>
      <c r="CN18" s="285">
        <v>141.32399000000001</v>
      </c>
      <c r="CO18" s="285">
        <v>130.81852000000001</v>
      </c>
      <c r="CP18" s="285">
        <v>142.90195</v>
      </c>
      <c r="CQ18" s="285">
        <v>111.36623</v>
      </c>
      <c r="CR18" s="285">
        <v>45.751649999999998</v>
      </c>
      <c r="CS18" s="285">
        <v>18.771989999999999</v>
      </c>
      <c r="CT18" s="285">
        <v>8.8507099999999994</v>
      </c>
      <c r="CU18" s="285">
        <v>0</v>
      </c>
      <c r="CV18" s="285">
        <v>1665.5058300000001</v>
      </c>
    </row>
    <row r="19" spans="1:100" s="282" customFormat="1">
      <c r="A19" s="287" t="s">
        <v>468</v>
      </c>
      <c r="B19" s="284" t="s">
        <v>504</v>
      </c>
      <c r="C19" s="285">
        <v>18286.09708</v>
      </c>
      <c r="D19" s="285">
        <v>3463.63654</v>
      </c>
      <c r="E19" s="285">
        <v>5391.8041000000003</v>
      </c>
      <c r="F19" s="285">
        <v>21278.101739999998</v>
      </c>
      <c r="G19" s="285">
        <v>28735.37616</v>
      </c>
      <c r="H19" s="285">
        <v>31684.529930000001</v>
      </c>
      <c r="I19" s="285">
        <v>26196.638640000001</v>
      </c>
      <c r="J19" s="285">
        <v>16311.257949999999</v>
      </c>
      <c r="K19" s="285">
        <v>7446.4495299999999</v>
      </c>
      <c r="L19" s="285">
        <v>2055.9798300000002</v>
      </c>
      <c r="M19" s="285">
        <v>538.14548000000002</v>
      </c>
      <c r="N19" s="285">
        <v>332.76737000000003</v>
      </c>
      <c r="O19" s="285">
        <v>1.0435700000000001</v>
      </c>
      <c r="P19" s="285">
        <v>161721.82792000001</v>
      </c>
      <c r="Q19" s="285">
        <v>5920.6930899999998</v>
      </c>
      <c r="R19" s="285">
        <v>1684.67164</v>
      </c>
      <c r="S19" s="285">
        <v>2469.5085199999999</v>
      </c>
      <c r="T19" s="285">
        <v>8199.5426599999992</v>
      </c>
      <c r="U19" s="285">
        <v>10040.91173</v>
      </c>
      <c r="V19" s="285">
        <v>6983.7344300000004</v>
      </c>
      <c r="W19" s="285">
        <v>3208.6149399999999</v>
      </c>
      <c r="X19" s="285">
        <v>1107.3892699999999</v>
      </c>
      <c r="Y19" s="285">
        <v>329.59129999999999</v>
      </c>
      <c r="Z19" s="285">
        <v>63.476439999999997</v>
      </c>
      <c r="AA19" s="285">
        <v>40.49127</v>
      </c>
      <c r="AB19" s="285">
        <v>25.959009999999999</v>
      </c>
      <c r="AC19" s="285">
        <v>0</v>
      </c>
      <c r="AD19" s="285">
        <v>40074.584300000002</v>
      </c>
      <c r="AE19" s="285">
        <v>1637.1037899999999</v>
      </c>
      <c r="AF19" s="285">
        <v>376.11153000000002</v>
      </c>
      <c r="AG19" s="285">
        <v>580.60729000000003</v>
      </c>
      <c r="AH19" s="285">
        <v>1467.8373200000001</v>
      </c>
      <c r="AI19" s="285">
        <v>1462.23045</v>
      </c>
      <c r="AJ19" s="285">
        <v>785.97199000000001</v>
      </c>
      <c r="AK19" s="285">
        <v>240.30119999999999</v>
      </c>
      <c r="AL19" s="285">
        <v>79.227379999999997</v>
      </c>
      <c r="AM19" s="285">
        <v>36.618969999999997</v>
      </c>
      <c r="AN19" s="285">
        <v>5.2385700000000002</v>
      </c>
      <c r="AO19" s="285">
        <v>3.74255</v>
      </c>
      <c r="AP19" s="285">
        <v>3.1326900000000002</v>
      </c>
      <c r="AQ19" s="285">
        <v>0</v>
      </c>
      <c r="AR19" s="285">
        <v>6678.1237300000003</v>
      </c>
      <c r="AS19" s="285">
        <v>307.67282999999998</v>
      </c>
      <c r="AT19" s="285">
        <v>109.33984</v>
      </c>
      <c r="AU19" s="285">
        <v>154.20240999999999</v>
      </c>
      <c r="AV19" s="285">
        <v>280.17120999999997</v>
      </c>
      <c r="AW19" s="285">
        <v>319.75587000000002</v>
      </c>
      <c r="AX19" s="285">
        <v>136.35353000000001</v>
      </c>
      <c r="AY19" s="285">
        <v>56.080680000000001</v>
      </c>
      <c r="AZ19" s="285">
        <v>26.092659999999999</v>
      </c>
      <c r="BA19" s="285">
        <v>14.78065</v>
      </c>
      <c r="BB19" s="285">
        <v>2.1762600000000001</v>
      </c>
      <c r="BC19" s="285">
        <v>1.0762100000000001</v>
      </c>
      <c r="BD19" s="285">
        <v>3.71434</v>
      </c>
      <c r="BE19" s="285">
        <v>0</v>
      </c>
      <c r="BF19" s="285">
        <v>1411.4164900000001</v>
      </c>
      <c r="BG19" s="285">
        <v>96.071190000000001</v>
      </c>
      <c r="BH19" s="285">
        <v>38.786000000000001</v>
      </c>
      <c r="BI19" s="285">
        <v>63.942950000000003</v>
      </c>
      <c r="BJ19" s="285">
        <v>136.69665000000001</v>
      </c>
      <c r="BK19" s="285">
        <v>84.780270000000002</v>
      </c>
      <c r="BL19" s="285">
        <v>60.625430000000001</v>
      </c>
      <c r="BM19" s="285">
        <v>33.737929999999999</v>
      </c>
      <c r="BN19" s="285">
        <v>12.029170000000001</v>
      </c>
      <c r="BO19" s="285">
        <v>8.1866699999999994</v>
      </c>
      <c r="BP19" s="285">
        <v>1.13269</v>
      </c>
      <c r="BQ19" s="285">
        <v>0</v>
      </c>
      <c r="BR19" s="285">
        <v>1.13269</v>
      </c>
      <c r="BS19" s="285">
        <v>0</v>
      </c>
      <c r="BT19" s="285">
        <v>537.12163999999996</v>
      </c>
      <c r="BU19" s="285">
        <v>175.64356000000001</v>
      </c>
      <c r="BV19" s="285">
        <v>76.069599999999994</v>
      </c>
      <c r="BW19" s="285">
        <v>23.804539999999999</v>
      </c>
      <c r="BX19" s="285">
        <v>67.086669999999998</v>
      </c>
      <c r="BY19" s="285">
        <v>56.647390000000001</v>
      </c>
      <c r="BZ19" s="285">
        <v>32.350180000000002</v>
      </c>
      <c r="CA19" s="285">
        <v>21.204470000000001</v>
      </c>
      <c r="CB19" s="285">
        <v>10.94721</v>
      </c>
      <c r="CC19" s="285">
        <v>4.2812000000000001</v>
      </c>
      <c r="CD19" s="285">
        <v>0</v>
      </c>
      <c r="CE19" s="285">
        <v>0</v>
      </c>
      <c r="CF19" s="285">
        <v>0</v>
      </c>
      <c r="CG19" s="285">
        <v>0</v>
      </c>
      <c r="CH19" s="285">
        <v>468.03482000000002</v>
      </c>
      <c r="CI19" s="285">
        <v>430.78213</v>
      </c>
      <c r="CJ19" s="285">
        <v>148.55719999999999</v>
      </c>
      <c r="CK19" s="285">
        <v>248.98056</v>
      </c>
      <c r="CL19" s="285">
        <v>642.66548</v>
      </c>
      <c r="CM19" s="285">
        <v>564.45694000000003</v>
      </c>
      <c r="CN19" s="285">
        <v>337.3535</v>
      </c>
      <c r="CO19" s="285">
        <v>152.14180999999999</v>
      </c>
      <c r="CP19" s="285">
        <v>93.03922</v>
      </c>
      <c r="CQ19" s="285">
        <v>29.613769999999999</v>
      </c>
      <c r="CR19" s="285">
        <v>10.334289999999999</v>
      </c>
      <c r="CS19" s="285">
        <v>8.9992000000000001</v>
      </c>
      <c r="CT19" s="285">
        <v>1.13269</v>
      </c>
      <c r="CU19" s="285">
        <v>0</v>
      </c>
      <c r="CV19" s="285">
        <v>2668.0567900000001</v>
      </c>
    </row>
    <row r="20" spans="1:100" s="282" customFormat="1" ht="25.35">
      <c r="A20" s="287" t="s">
        <v>79</v>
      </c>
      <c r="B20" s="284" t="s">
        <v>505</v>
      </c>
      <c r="C20" s="285">
        <v>24326.706310000001</v>
      </c>
      <c r="D20" s="285">
        <v>4412.9441500000003</v>
      </c>
      <c r="E20" s="285">
        <v>6872.3473700000004</v>
      </c>
      <c r="F20" s="285">
        <v>19184.634849999999</v>
      </c>
      <c r="G20" s="285">
        <v>29732.381450000001</v>
      </c>
      <c r="H20" s="285">
        <v>28669.194739999999</v>
      </c>
      <c r="I20" s="285">
        <v>23173.261490000001</v>
      </c>
      <c r="J20" s="285">
        <v>14383.10554</v>
      </c>
      <c r="K20" s="285">
        <v>6642.7826599999999</v>
      </c>
      <c r="L20" s="285">
        <v>2082.97831</v>
      </c>
      <c r="M20" s="285">
        <v>631.70884999999998</v>
      </c>
      <c r="N20" s="285">
        <v>472.41802999999999</v>
      </c>
      <c r="O20" s="285">
        <v>3.4170400000000001</v>
      </c>
      <c r="P20" s="285">
        <v>160587.88079</v>
      </c>
      <c r="Q20" s="285">
        <v>32801.957860000002</v>
      </c>
      <c r="R20" s="285">
        <v>7430.0602699999999</v>
      </c>
      <c r="S20" s="285">
        <v>11930.386909999999</v>
      </c>
      <c r="T20" s="285">
        <v>29609.43117</v>
      </c>
      <c r="U20" s="285">
        <v>46697.38132</v>
      </c>
      <c r="V20" s="285">
        <v>41453.970679999999</v>
      </c>
      <c r="W20" s="285">
        <v>21215.752519999998</v>
      </c>
      <c r="X20" s="285">
        <v>6305.9738500000003</v>
      </c>
      <c r="Y20" s="285">
        <v>1387.6288400000001</v>
      </c>
      <c r="Z20" s="285">
        <v>230.55477999999999</v>
      </c>
      <c r="AA20" s="285">
        <v>194.40466000000001</v>
      </c>
      <c r="AB20" s="285">
        <v>142.28775999999999</v>
      </c>
      <c r="AC20" s="285">
        <v>0</v>
      </c>
      <c r="AD20" s="285">
        <v>199399.79062000001</v>
      </c>
      <c r="AE20" s="285">
        <v>4389.58824</v>
      </c>
      <c r="AF20" s="285">
        <v>1421.52223</v>
      </c>
      <c r="AG20" s="285">
        <v>2565.40274</v>
      </c>
      <c r="AH20" s="285">
        <v>5218.8063000000002</v>
      </c>
      <c r="AI20" s="285">
        <v>4930.6173900000003</v>
      </c>
      <c r="AJ20" s="285">
        <v>2263.4919500000001</v>
      </c>
      <c r="AK20" s="285">
        <v>973.87315999999998</v>
      </c>
      <c r="AL20" s="285">
        <v>452.70409000000001</v>
      </c>
      <c r="AM20" s="285">
        <v>152.60513</v>
      </c>
      <c r="AN20" s="285">
        <v>26.018419999999999</v>
      </c>
      <c r="AO20" s="285">
        <v>25.46106</v>
      </c>
      <c r="AP20" s="285">
        <v>14.4876</v>
      </c>
      <c r="AQ20" s="285">
        <v>0</v>
      </c>
      <c r="AR20" s="285">
        <v>22434.578310000001</v>
      </c>
      <c r="AS20" s="285">
        <v>1545.73793</v>
      </c>
      <c r="AT20" s="285">
        <v>448.59102999999999</v>
      </c>
      <c r="AU20" s="285">
        <v>816.76457000000005</v>
      </c>
      <c r="AV20" s="285">
        <v>1681.7469599999999</v>
      </c>
      <c r="AW20" s="285">
        <v>1579.07385</v>
      </c>
      <c r="AX20" s="285">
        <v>716.09577000000002</v>
      </c>
      <c r="AY20" s="285">
        <v>377.23802000000001</v>
      </c>
      <c r="AZ20" s="285">
        <v>173.71802</v>
      </c>
      <c r="BA20" s="285">
        <v>47.55988</v>
      </c>
      <c r="BB20" s="285">
        <v>11.668229999999999</v>
      </c>
      <c r="BC20" s="285">
        <v>4.1994499999999997</v>
      </c>
      <c r="BD20" s="285">
        <v>5.31128</v>
      </c>
      <c r="BE20" s="285">
        <v>0</v>
      </c>
      <c r="BF20" s="285">
        <v>7407.7049900000002</v>
      </c>
      <c r="BG20" s="285">
        <v>538.41238999999996</v>
      </c>
      <c r="BH20" s="285">
        <v>278.85419999999999</v>
      </c>
      <c r="BI20" s="285">
        <v>396.72786000000002</v>
      </c>
      <c r="BJ20" s="285">
        <v>666.98539000000005</v>
      </c>
      <c r="BK20" s="285">
        <v>648.39669000000004</v>
      </c>
      <c r="BL20" s="285">
        <v>283.92029000000002</v>
      </c>
      <c r="BM20" s="285">
        <v>141.2413</v>
      </c>
      <c r="BN20" s="285">
        <v>57.353520000000003</v>
      </c>
      <c r="BO20" s="285">
        <v>28.451080000000001</v>
      </c>
      <c r="BP20" s="285">
        <v>4.81203</v>
      </c>
      <c r="BQ20" s="285">
        <v>1.02295</v>
      </c>
      <c r="BR20" s="285">
        <v>5.4530399999999997</v>
      </c>
      <c r="BS20" s="285">
        <v>0</v>
      </c>
      <c r="BT20" s="285">
        <v>3051.6307400000001</v>
      </c>
      <c r="BU20" s="285">
        <v>332.77994999999999</v>
      </c>
      <c r="BV20" s="285">
        <v>113.20292000000001</v>
      </c>
      <c r="BW20" s="285">
        <v>200.43283</v>
      </c>
      <c r="BX20" s="285">
        <v>380.79950000000002</v>
      </c>
      <c r="BY20" s="285">
        <v>343.74007999999998</v>
      </c>
      <c r="BZ20" s="285">
        <v>200.0258</v>
      </c>
      <c r="CA20" s="285">
        <v>105.84026</v>
      </c>
      <c r="CB20" s="285">
        <v>42.04242</v>
      </c>
      <c r="CC20" s="285">
        <v>19.275549999999999</v>
      </c>
      <c r="CD20" s="285">
        <v>6.5847499999999997</v>
      </c>
      <c r="CE20" s="285">
        <v>2.2661500000000001</v>
      </c>
      <c r="CF20" s="285">
        <v>0</v>
      </c>
      <c r="CG20" s="285">
        <v>0</v>
      </c>
      <c r="CH20" s="285">
        <v>1746.9902099999999</v>
      </c>
      <c r="CI20" s="285">
        <v>4920.4240300000001</v>
      </c>
      <c r="CJ20" s="285">
        <v>1967.53503</v>
      </c>
      <c r="CK20" s="285">
        <v>3637.4929699999998</v>
      </c>
      <c r="CL20" s="285">
        <v>6729.9301999999998</v>
      </c>
      <c r="CM20" s="285">
        <v>5934.2223800000002</v>
      </c>
      <c r="CN20" s="285">
        <v>2594.28314</v>
      </c>
      <c r="CO20" s="285">
        <v>1313.0876000000001</v>
      </c>
      <c r="CP20" s="285">
        <v>748.93141000000003</v>
      </c>
      <c r="CQ20" s="285">
        <v>265.73061000000001</v>
      </c>
      <c r="CR20" s="285">
        <v>51.615389999999998</v>
      </c>
      <c r="CS20" s="285">
        <v>37.023290000000003</v>
      </c>
      <c r="CT20" s="285">
        <v>20.296109999999999</v>
      </c>
      <c r="CU20" s="285">
        <v>0</v>
      </c>
      <c r="CV20" s="285">
        <v>28220.57216</v>
      </c>
    </row>
    <row r="21" spans="1:100" s="282" customFormat="1" ht="25.35">
      <c r="A21" s="282" t="s">
        <v>518</v>
      </c>
      <c r="B21" s="284" t="s">
        <v>506</v>
      </c>
      <c r="C21" s="285">
        <v>27592.101790000001</v>
      </c>
      <c r="D21" s="285">
        <v>7334.9311900000002</v>
      </c>
      <c r="E21" s="285">
        <v>10546.67936</v>
      </c>
      <c r="F21" s="285">
        <v>22044.60368</v>
      </c>
      <c r="G21" s="285">
        <v>30663.144199999999</v>
      </c>
      <c r="H21" s="285">
        <v>20256.384709999998</v>
      </c>
      <c r="I21" s="285">
        <v>7736.7936499999996</v>
      </c>
      <c r="J21" s="285">
        <v>2772.41527</v>
      </c>
      <c r="K21" s="285">
        <v>1295.85879</v>
      </c>
      <c r="L21" s="285">
        <v>362.2636</v>
      </c>
      <c r="M21" s="285">
        <v>167.83697000000001</v>
      </c>
      <c r="N21" s="285">
        <v>94.896839999999997</v>
      </c>
      <c r="O21" s="285">
        <v>0</v>
      </c>
      <c r="P21" s="285">
        <v>130867.91005000001</v>
      </c>
      <c r="Q21" s="285">
        <v>87137.015069999994</v>
      </c>
      <c r="R21" s="285">
        <v>23563.32879</v>
      </c>
      <c r="S21" s="285">
        <v>35005.72451</v>
      </c>
      <c r="T21" s="285">
        <v>75460.947379999998</v>
      </c>
      <c r="U21" s="285">
        <v>102490.32506</v>
      </c>
      <c r="V21" s="285">
        <v>64027.285909999999</v>
      </c>
      <c r="W21" s="285">
        <v>19247.543430000002</v>
      </c>
      <c r="X21" s="285">
        <v>4379.3873299999996</v>
      </c>
      <c r="Y21" s="285">
        <v>1374.8332700000001</v>
      </c>
      <c r="Z21" s="285">
        <v>192.48474999999999</v>
      </c>
      <c r="AA21" s="285">
        <v>236.47783999999999</v>
      </c>
      <c r="AB21" s="285">
        <v>160.10769999999999</v>
      </c>
      <c r="AC21" s="285">
        <v>0</v>
      </c>
      <c r="AD21" s="285">
        <v>413275.46103990002</v>
      </c>
      <c r="AE21" s="285">
        <v>23621.286039999999</v>
      </c>
      <c r="AF21" s="285">
        <v>6476.4893099999999</v>
      </c>
      <c r="AG21" s="285">
        <v>9648.3285699999997</v>
      </c>
      <c r="AH21" s="285">
        <v>17901.07936</v>
      </c>
      <c r="AI21" s="285">
        <v>18056.9385</v>
      </c>
      <c r="AJ21" s="285">
        <v>8370.3160100000005</v>
      </c>
      <c r="AK21" s="285">
        <v>2093.8431399999999</v>
      </c>
      <c r="AL21" s="285">
        <v>637.3347</v>
      </c>
      <c r="AM21" s="285">
        <v>252.82469</v>
      </c>
      <c r="AN21" s="285">
        <v>46.185209999999998</v>
      </c>
      <c r="AO21" s="285">
        <v>40.948819999999998</v>
      </c>
      <c r="AP21" s="285">
        <v>31.864820000000002</v>
      </c>
      <c r="AQ21" s="285">
        <v>0</v>
      </c>
      <c r="AR21" s="285">
        <v>87177.439169999998</v>
      </c>
      <c r="AS21" s="285">
        <v>6712.8102200000003</v>
      </c>
      <c r="AT21" s="285">
        <v>1952.70668</v>
      </c>
      <c r="AU21" s="285">
        <v>2691.6794199999999</v>
      </c>
      <c r="AV21" s="285">
        <v>5142.3160200000002</v>
      </c>
      <c r="AW21" s="285">
        <v>5140.3790200000003</v>
      </c>
      <c r="AX21" s="285">
        <v>2458.0106099999998</v>
      </c>
      <c r="AY21" s="285">
        <v>634.55561</v>
      </c>
      <c r="AZ21" s="285">
        <v>174.55404999999999</v>
      </c>
      <c r="BA21" s="285">
        <v>98.196950000000001</v>
      </c>
      <c r="BB21" s="285">
        <v>12.036020000000001</v>
      </c>
      <c r="BC21" s="285">
        <v>7.2426700000000004</v>
      </c>
      <c r="BD21" s="285">
        <v>9.6905000000000001</v>
      </c>
      <c r="BE21" s="285">
        <v>0</v>
      </c>
      <c r="BF21" s="285">
        <v>25034.177769999998</v>
      </c>
      <c r="BG21" s="285">
        <v>3371.5896200000002</v>
      </c>
      <c r="BH21" s="285">
        <v>923.45141999999998</v>
      </c>
      <c r="BI21" s="285">
        <v>1283.2592400000001</v>
      </c>
      <c r="BJ21" s="285">
        <v>2250.30089</v>
      </c>
      <c r="BK21" s="285">
        <v>2230.1938</v>
      </c>
      <c r="BL21" s="285">
        <v>1159.77638</v>
      </c>
      <c r="BM21" s="285">
        <v>320.74416000000002</v>
      </c>
      <c r="BN21" s="285">
        <v>102.14364</v>
      </c>
      <c r="BO21" s="285">
        <v>54.73901</v>
      </c>
      <c r="BP21" s="285">
        <v>5.1209899999999999</v>
      </c>
      <c r="BQ21" s="285">
        <v>4.3761299999999999</v>
      </c>
      <c r="BR21" s="285">
        <v>5.01938</v>
      </c>
      <c r="BS21" s="285">
        <v>0</v>
      </c>
      <c r="BT21" s="285">
        <v>11710.71466</v>
      </c>
      <c r="BU21" s="285">
        <v>1756.9362900000001</v>
      </c>
      <c r="BV21" s="285">
        <v>539.60355000000004</v>
      </c>
      <c r="BW21" s="285">
        <v>701.44421999999997</v>
      </c>
      <c r="BX21" s="285">
        <v>1138.7035900000001</v>
      </c>
      <c r="BY21" s="285">
        <v>1126.2128499999999</v>
      </c>
      <c r="BZ21" s="285">
        <v>588.82753000000002</v>
      </c>
      <c r="CA21" s="285">
        <v>155.33651</v>
      </c>
      <c r="CB21" s="285">
        <v>35.720309999999998</v>
      </c>
      <c r="CC21" s="285">
        <v>27.27825</v>
      </c>
      <c r="CD21" s="285">
        <v>3.4969899999999998</v>
      </c>
      <c r="CE21" s="285">
        <v>2.6187900000000002</v>
      </c>
      <c r="CF21" s="285">
        <v>2.3643000000000001</v>
      </c>
      <c r="CG21" s="285">
        <v>0</v>
      </c>
      <c r="CH21" s="285">
        <v>6078.5431799999997</v>
      </c>
      <c r="CI21" s="285">
        <v>9871.33122</v>
      </c>
      <c r="CJ21" s="285">
        <v>2811.5486500000002</v>
      </c>
      <c r="CK21" s="285">
        <v>4539.74748</v>
      </c>
      <c r="CL21" s="285">
        <v>8097.3739299999997</v>
      </c>
      <c r="CM21" s="285">
        <v>7488.5426699999998</v>
      </c>
      <c r="CN21" s="285">
        <v>4198.4974199999997</v>
      </c>
      <c r="CO21" s="285">
        <v>1189.32629</v>
      </c>
      <c r="CP21" s="285">
        <v>406.06232999999997</v>
      </c>
      <c r="CQ21" s="285">
        <v>146.10882000000001</v>
      </c>
      <c r="CR21" s="285">
        <v>32.730420000000002</v>
      </c>
      <c r="CS21" s="285">
        <v>17.818850000000001</v>
      </c>
      <c r="CT21" s="285">
        <v>12.382009999999999</v>
      </c>
      <c r="CU21" s="285">
        <v>0</v>
      </c>
      <c r="CV21" s="285">
        <v>38811.470090000003</v>
      </c>
    </row>
    <row r="22" spans="1:100" s="282" customFormat="1" ht="76">
      <c r="A22" s="282" t="s">
        <v>518</v>
      </c>
      <c r="B22" s="284" t="s">
        <v>507</v>
      </c>
      <c r="C22" s="285">
        <v>18251.816330000001</v>
      </c>
      <c r="D22" s="285">
        <v>5189.7832600000002</v>
      </c>
      <c r="E22" s="285">
        <v>7515.2677400000002</v>
      </c>
      <c r="F22" s="285">
        <v>15005.677030000001</v>
      </c>
      <c r="G22" s="285">
        <v>17834.238700000002</v>
      </c>
      <c r="H22" s="285">
        <v>11438.672130000001</v>
      </c>
      <c r="I22" s="285">
        <v>4882.6626900000001</v>
      </c>
      <c r="J22" s="285">
        <v>2399.62248</v>
      </c>
      <c r="K22" s="285">
        <v>1410.5615700000001</v>
      </c>
      <c r="L22" s="285">
        <v>437.58398999999997</v>
      </c>
      <c r="M22" s="285">
        <v>141.23475999999999</v>
      </c>
      <c r="N22" s="285">
        <v>103.55804000000001</v>
      </c>
      <c r="O22" s="285">
        <v>2.2653799999999999</v>
      </c>
      <c r="P22" s="285">
        <v>84612.944099999993</v>
      </c>
      <c r="Q22" s="285">
        <v>64994.054259999997</v>
      </c>
      <c r="R22" s="285">
        <v>19735.655760000001</v>
      </c>
      <c r="S22" s="285">
        <v>31214.83553</v>
      </c>
      <c r="T22" s="285">
        <v>63022.767970000001</v>
      </c>
      <c r="U22" s="285">
        <v>75666.872319999995</v>
      </c>
      <c r="V22" s="285">
        <v>46977.160459999999</v>
      </c>
      <c r="W22" s="285">
        <v>15612.61009</v>
      </c>
      <c r="X22" s="285">
        <v>3653.5874800000001</v>
      </c>
      <c r="Y22" s="285">
        <v>1192.4458</v>
      </c>
      <c r="Z22" s="285">
        <v>189.17498000000001</v>
      </c>
      <c r="AA22" s="285">
        <v>173.19076999999999</v>
      </c>
      <c r="AB22" s="285">
        <v>114.3627</v>
      </c>
      <c r="AC22" s="285">
        <v>1.0435700000000001</v>
      </c>
      <c r="AD22" s="285">
        <v>322547.76169000001</v>
      </c>
      <c r="AE22" s="285">
        <v>132817.81831</v>
      </c>
      <c r="AF22" s="285">
        <v>36771.435100000002</v>
      </c>
      <c r="AG22" s="285">
        <v>50333.927669999997</v>
      </c>
      <c r="AH22" s="285">
        <v>98460.014420000007</v>
      </c>
      <c r="AI22" s="285">
        <v>110911.2519</v>
      </c>
      <c r="AJ22" s="285">
        <v>51785.015249999997</v>
      </c>
      <c r="AK22" s="285">
        <v>12437.49221</v>
      </c>
      <c r="AL22" s="285">
        <v>2840.2216400000002</v>
      </c>
      <c r="AM22" s="285">
        <v>1405.7214100000001</v>
      </c>
      <c r="AN22" s="285">
        <v>188.22873999999999</v>
      </c>
      <c r="AO22" s="285">
        <v>223.80117999999999</v>
      </c>
      <c r="AP22" s="285">
        <v>143.04338999999999</v>
      </c>
      <c r="AQ22" s="285">
        <v>1.0435700000000001</v>
      </c>
      <c r="AR22" s="285">
        <v>498319.01478989999</v>
      </c>
      <c r="AS22" s="285">
        <v>39228.589939999998</v>
      </c>
      <c r="AT22" s="285">
        <v>10708.659229999999</v>
      </c>
      <c r="AU22" s="285">
        <v>15290.960719999999</v>
      </c>
      <c r="AV22" s="285">
        <v>28814.465510000002</v>
      </c>
      <c r="AW22" s="285">
        <v>31016.337029999999</v>
      </c>
      <c r="AX22" s="285">
        <v>14751.386689999999</v>
      </c>
      <c r="AY22" s="285">
        <v>3448.60961</v>
      </c>
      <c r="AZ22" s="285">
        <v>860.05709999999999</v>
      </c>
      <c r="BA22" s="285">
        <v>395.73253</v>
      </c>
      <c r="BB22" s="285">
        <v>47.162709999999997</v>
      </c>
      <c r="BC22" s="285">
        <v>71.255750000000006</v>
      </c>
      <c r="BD22" s="285">
        <v>47.282670000000003</v>
      </c>
      <c r="BE22" s="285">
        <v>0</v>
      </c>
      <c r="BF22" s="285">
        <v>144680.49948999999</v>
      </c>
      <c r="BG22" s="285">
        <v>17412.273130000001</v>
      </c>
      <c r="BH22" s="285">
        <v>4574.9779500000004</v>
      </c>
      <c r="BI22" s="285">
        <v>6330.7719200000001</v>
      </c>
      <c r="BJ22" s="285">
        <v>11371.787829999999</v>
      </c>
      <c r="BK22" s="285">
        <v>12506.23307</v>
      </c>
      <c r="BL22" s="285">
        <v>5999.7699499999999</v>
      </c>
      <c r="BM22" s="285">
        <v>1472.3543999999999</v>
      </c>
      <c r="BN22" s="285">
        <v>360.76105000000001</v>
      </c>
      <c r="BO22" s="285">
        <v>182.02674999999999</v>
      </c>
      <c r="BP22" s="285">
        <v>24.06485</v>
      </c>
      <c r="BQ22" s="285">
        <v>32.586449999999999</v>
      </c>
      <c r="BR22" s="285">
        <v>13.90752</v>
      </c>
      <c r="BS22" s="285">
        <v>0</v>
      </c>
      <c r="BT22" s="285">
        <v>60281.514869999999</v>
      </c>
      <c r="BU22" s="285">
        <v>8432.0158300000003</v>
      </c>
      <c r="BV22" s="285">
        <v>2142.3746700000002</v>
      </c>
      <c r="BW22" s="285">
        <v>3052.1116099999999</v>
      </c>
      <c r="BX22" s="285">
        <v>5312.0116799999996</v>
      </c>
      <c r="BY22" s="285">
        <v>5561.3071099999997</v>
      </c>
      <c r="BZ22" s="285">
        <v>2640.3063900000002</v>
      </c>
      <c r="CA22" s="285">
        <v>610.46464000000003</v>
      </c>
      <c r="CB22" s="285">
        <v>159.45634000000001</v>
      </c>
      <c r="CC22" s="285">
        <v>69.379019999999997</v>
      </c>
      <c r="CD22" s="285">
        <v>16.640419999999999</v>
      </c>
      <c r="CE22" s="285">
        <v>7.8997900000000003</v>
      </c>
      <c r="CF22" s="285">
        <v>11.851330000000001</v>
      </c>
      <c r="CG22" s="285">
        <v>0</v>
      </c>
      <c r="CH22" s="285">
        <v>28015.81883</v>
      </c>
      <c r="CI22" s="285">
        <v>28018.139879999999</v>
      </c>
      <c r="CJ22" s="285">
        <v>7405.3725299999996</v>
      </c>
      <c r="CK22" s="285">
        <v>12034.572</v>
      </c>
      <c r="CL22" s="285">
        <v>22627.08253</v>
      </c>
      <c r="CM22" s="285">
        <v>23000.686519999999</v>
      </c>
      <c r="CN22" s="285">
        <v>13186.21348</v>
      </c>
      <c r="CO22" s="285">
        <v>3717.2251200000001</v>
      </c>
      <c r="CP22" s="285">
        <v>867.48384999999996</v>
      </c>
      <c r="CQ22" s="285">
        <v>331.91617000000002</v>
      </c>
      <c r="CR22" s="285">
        <v>45.020589999999999</v>
      </c>
      <c r="CS22" s="285">
        <v>56.839179999999999</v>
      </c>
      <c r="CT22" s="285">
        <v>27.354299999999999</v>
      </c>
      <c r="CU22" s="285">
        <v>1.13269</v>
      </c>
      <c r="CV22" s="285">
        <v>111319.03883999999</v>
      </c>
    </row>
    <row r="23" spans="1:100" s="282" customFormat="1" ht="50.7">
      <c r="A23" s="287" t="s">
        <v>79</v>
      </c>
      <c r="B23" s="284" t="s">
        <v>508</v>
      </c>
      <c r="C23" s="285">
        <v>8525.8123699999996</v>
      </c>
      <c r="D23" s="285">
        <v>1370.49434</v>
      </c>
      <c r="E23" s="285">
        <v>2033.6768400000001</v>
      </c>
      <c r="F23" s="285">
        <v>7808.0550300000004</v>
      </c>
      <c r="G23" s="285">
        <v>12018.135759999999</v>
      </c>
      <c r="H23" s="285">
        <v>11363.214809999999</v>
      </c>
      <c r="I23" s="285">
        <v>8969.8681799999995</v>
      </c>
      <c r="J23" s="285">
        <v>4976.4762899999996</v>
      </c>
      <c r="K23" s="285">
        <v>1823.82708</v>
      </c>
      <c r="L23" s="285">
        <v>444.92079999999999</v>
      </c>
      <c r="M23" s="285">
        <v>184.42339000000001</v>
      </c>
      <c r="N23" s="285">
        <v>117.68713</v>
      </c>
      <c r="O23" s="285">
        <v>1.0769899999999999</v>
      </c>
      <c r="P23" s="285">
        <v>59637.669009999998</v>
      </c>
      <c r="Q23" s="285">
        <v>6994.78737</v>
      </c>
      <c r="R23" s="285">
        <v>1399.47171</v>
      </c>
      <c r="S23" s="285">
        <v>2279.61366</v>
      </c>
      <c r="T23" s="285">
        <v>9215.3068700000003</v>
      </c>
      <c r="U23" s="285">
        <v>11147.111430000001</v>
      </c>
      <c r="V23" s="285">
        <v>8898.8763400000007</v>
      </c>
      <c r="W23" s="285">
        <v>4554.6706299999996</v>
      </c>
      <c r="X23" s="285">
        <v>1370.5248799999999</v>
      </c>
      <c r="Y23" s="285">
        <v>251.46575000000001</v>
      </c>
      <c r="Z23" s="285">
        <v>47.579300000000003</v>
      </c>
      <c r="AA23" s="285">
        <v>54.14302</v>
      </c>
      <c r="AB23" s="285">
        <v>25.979199999999999</v>
      </c>
      <c r="AC23" s="285">
        <v>0</v>
      </c>
      <c r="AD23" s="285">
        <v>46239.530160000002</v>
      </c>
      <c r="AE23" s="285">
        <v>1377.00684</v>
      </c>
      <c r="AF23" s="285">
        <v>325.21967000000001</v>
      </c>
      <c r="AG23" s="285">
        <v>469.27445</v>
      </c>
      <c r="AH23" s="285">
        <v>1234.31494</v>
      </c>
      <c r="AI23" s="285">
        <v>1406.4201499999999</v>
      </c>
      <c r="AJ23" s="285">
        <v>852.54732999999999</v>
      </c>
      <c r="AK23" s="285">
        <v>412.71242000000001</v>
      </c>
      <c r="AL23" s="285">
        <v>122.09155</v>
      </c>
      <c r="AM23" s="285">
        <v>26.177209999999999</v>
      </c>
      <c r="AN23" s="285">
        <v>1.13269</v>
      </c>
      <c r="AO23" s="285">
        <v>2.3643000000000001</v>
      </c>
      <c r="AP23" s="285">
        <v>3.8993500000000001</v>
      </c>
      <c r="AQ23" s="285">
        <v>0</v>
      </c>
      <c r="AR23" s="285">
        <v>6233.1608999999999</v>
      </c>
      <c r="AS23" s="285">
        <v>326.77028000000001</v>
      </c>
      <c r="AT23" s="285">
        <v>81.416070000000005</v>
      </c>
      <c r="AU23" s="285">
        <v>120.62779</v>
      </c>
      <c r="AV23" s="285">
        <v>296.04869000000002</v>
      </c>
      <c r="AW23" s="285">
        <v>366.64010999999999</v>
      </c>
      <c r="AX23" s="285">
        <v>211.68737999999999</v>
      </c>
      <c r="AY23" s="285">
        <v>71.930090000000007</v>
      </c>
      <c r="AZ23" s="285">
        <v>19.85716</v>
      </c>
      <c r="BA23" s="285">
        <v>13.78046</v>
      </c>
      <c r="BB23" s="285">
        <v>1.2316100000000001</v>
      </c>
      <c r="BC23" s="285">
        <v>1</v>
      </c>
      <c r="BD23" s="285">
        <v>1.02295</v>
      </c>
      <c r="BE23" s="285">
        <v>0</v>
      </c>
      <c r="BF23" s="285">
        <v>1512.01259</v>
      </c>
      <c r="BG23" s="285">
        <v>270.44675999999998</v>
      </c>
      <c r="BH23" s="285">
        <v>52.71246</v>
      </c>
      <c r="BI23" s="285">
        <v>73.662430000000001</v>
      </c>
      <c r="BJ23" s="285">
        <v>127.76521</v>
      </c>
      <c r="BK23" s="285">
        <v>132.55064999999999</v>
      </c>
      <c r="BL23" s="285">
        <v>116.86462</v>
      </c>
      <c r="BM23" s="285">
        <v>47.902769999999997</v>
      </c>
      <c r="BN23" s="285">
        <v>8.8565699999999996</v>
      </c>
      <c r="BO23" s="285">
        <v>7.8614699999999997</v>
      </c>
      <c r="BP23" s="285">
        <v>0</v>
      </c>
      <c r="BQ23" s="285">
        <v>1.02295</v>
      </c>
      <c r="BR23" s="285">
        <v>0</v>
      </c>
      <c r="BS23" s="285">
        <v>0</v>
      </c>
      <c r="BT23" s="285">
        <v>839.64589000000001</v>
      </c>
      <c r="BU23" s="285">
        <v>46.378839999999997</v>
      </c>
      <c r="BV23" s="285">
        <v>30.272459999999999</v>
      </c>
      <c r="BW23" s="285">
        <v>30.19999</v>
      </c>
      <c r="BX23" s="285">
        <v>87.072400000000002</v>
      </c>
      <c r="BY23" s="285">
        <v>60.566760000000002</v>
      </c>
      <c r="BZ23" s="285">
        <v>25.186029999999999</v>
      </c>
      <c r="CA23" s="285">
        <v>24.354980000000001</v>
      </c>
      <c r="CB23" s="285">
        <v>3.2414499999999999</v>
      </c>
      <c r="CC23" s="285">
        <v>1.05497</v>
      </c>
      <c r="CD23" s="285">
        <v>0</v>
      </c>
      <c r="CE23" s="285">
        <v>0</v>
      </c>
      <c r="CF23" s="285">
        <v>1.1980200000000001</v>
      </c>
      <c r="CG23" s="285">
        <v>0</v>
      </c>
      <c r="CH23" s="285">
        <v>309.52589999999998</v>
      </c>
      <c r="CI23" s="285">
        <v>608.87588000000005</v>
      </c>
      <c r="CJ23" s="285">
        <v>195.06375</v>
      </c>
      <c r="CK23" s="285">
        <v>443.33850000000001</v>
      </c>
      <c r="CL23" s="285">
        <v>978.08549000000005</v>
      </c>
      <c r="CM23" s="285">
        <v>975.86167999999998</v>
      </c>
      <c r="CN23" s="285">
        <v>531.06430999999998</v>
      </c>
      <c r="CO23" s="285">
        <v>280.29854</v>
      </c>
      <c r="CP23" s="285">
        <v>156.26446999999999</v>
      </c>
      <c r="CQ23" s="285">
        <v>33.756509999999999</v>
      </c>
      <c r="CR23" s="285">
        <v>2.0459000000000001</v>
      </c>
      <c r="CS23" s="285">
        <v>3.9271600000000002</v>
      </c>
      <c r="CT23" s="285">
        <v>4.5763299999999996</v>
      </c>
      <c r="CU23" s="285">
        <v>0</v>
      </c>
      <c r="CV23" s="285">
        <v>4213.15852</v>
      </c>
    </row>
    <row r="24" spans="1:100" s="282" customFormat="1">
      <c r="A24" s="282" t="s">
        <v>518</v>
      </c>
      <c r="B24" s="284" t="s">
        <v>509</v>
      </c>
      <c r="C24" s="285">
        <v>589.85095999999999</v>
      </c>
      <c r="D24" s="285">
        <v>149.52019999999999</v>
      </c>
      <c r="E24" s="285">
        <v>178.00845000000001</v>
      </c>
      <c r="F24" s="285">
        <v>506.92174</v>
      </c>
      <c r="G24" s="285">
        <v>749.03049999999996</v>
      </c>
      <c r="H24" s="285">
        <v>842.61089000000004</v>
      </c>
      <c r="I24" s="285">
        <v>758.19799</v>
      </c>
      <c r="J24" s="285">
        <v>454.72376000000003</v>
      </c>
      <c r="K24" s="285">
        <v>214.59453999999999</v>
      </c>
      <c r="L24" s="285">
        <v>70.309330000000003</v>
      </c>
      <c r="M24" s="285">
        <v>25.364540000000002</v>
      </c>
      <c r="N24" s="285">
        <v>12.81663</v>
      </c>
      <c r="O24" s="285">
        <v>0</v>
      </c>
      <c r="P24" s="285">
        <v>4551.9495299999999</v>
      </c>
      <c r="Q24" s="285">
        <v>735.34960999999998</v>
      </c>
      <c r="R24" s="285">
        <v>202.15432000000001</v>
      </c>
      <c r="S24" s="285">
        <v>340.32830999999999</v>
      </c>
      <c r="T24" s="285">
        <v>1282.5418</v>
      </c>
      <c r="U24" s="285">
        <v>1550.4168199999999</v>
      </c>
      <c r="V24" s="285">
        <v>1332.79817</v>
      </c>
      <c r="W24" s="285">
        <v>613.60650999999996</v>
      </c>
      <c r="X24" s="285">
        <v>180.19907000000001</v>
      </c>
      <c r="Y24" s="285">
        <v>58.186149999999998</v>
      </c>
      <c r="Z24" s="285">
        <v>14.67728</v>
      </c>
      <c r="AA24" s="285">
        <v>11.02135</v>
      </c>
      <c r="AB24" s="285">
        <v>4.9348299999999998</v>
      </c>
      <c r="AC24" s="285">
        <v>1.0435700000000001</v>
      </c>
      <c r="AD24" s="285">
        <v>6327.2577899999997</v>
      </c>
      <c r="AE24" s="285">
        <v>292.71287999999998</v>
      </c>
      <c r="AF24" s="285">
        <v>113.23667</v>
      </c>
      <c r="AG24" s="285">
        <v>127.88473999999999</v>
      </c>
      <c r="AH24" s="285">
        <v>259.41858999999999</v>
      </c>
      <c r="AI24" s="285">
        <v>333.01733999999999</v>
      </c>
      <c r="AJ24" s="285">
        <v>192.54356999999999</v>
      </c>
      <c r="AK24" s="285">
        <v>61.057830000000003</v>
      </c>
      <c r="AL24" s="285">
        <v>20.231249999999999</v>
      </c>
      <c r="AM24" s="285">
        <v>4.4198000000000004</v>
      </c>
      <c r="AN24" s="285">
        <v>0</v>
      </c>
      <c r="AO24" s="285">
        <v>3.9760599999999999</v>
      </c>
      <c r="AP24" s="285">
        <v>1.0435700000000001</v>
      </c>
      <c r="AQ24" s="285">
        <v>0</v>
      </c>
      <c r="AR24" s="285">
        <v>1409.5423000000001</v>
      </c>
      <c r="AS24" s="285">
        <v>77.213620000000006</v>
      </c>
      <c r="AT24" s="285">
        <v>30.922630000000002</v>
      </c>
      <c r="AU24" s="285">
        <v>39.658859999999997</v>
      </c>
      <c r="AV24" s="285">
        <v>81.939599999999999</v>
      </c>
      <c r="AW24" s="285">
        <v>66.577680000000001</v>
      </c>
      <c r="AX24" s="285">
        <v>39.209350000000001</v>
      </c>
      <c r="AY24" s="285">
        <v>24.095849999999999</v>
      </c>
      <c r="AZ24" s="285">
        <v>7.98393</v>
      </c>
      <c r="BA24" s="285">
        <v>4.9034599999999999</v>
      </c>
      <c r="BB24" s="285">
        <v>2.0762100000000001</v>
      </c>
      <c r="BC24" s="285">
        <v>1.0762100000000001</v>
      </c>
      <c r="BD24" s="285">
        <v>0</v>
      </c>
      <c r="BE24" s="285">
        <v>0</v>
      </c>
      <c r="BF24" s="285">
        <v>375.6574</v>
      </c>
      <c r="BG24" s="285">
        <v>32.08549</v>
      </c>
      <c r="BH24" s="285">
        <v>4.9226599999999996</v>
      </c>
      <c r="BI24" s="285">
        <v>17.491759999999999</v>
      </c>
      <c r="BJ24" s="285">
        <v>35.342280000000002</v>
      </c>
      <c r="BK24" s="285">
        <v>19.19969</v>
      </c>
      <c r="BL24" s="285">
        <v>13.31732</v>
      </c>
      <c r="BM24" s="285">
        <v>4.6280200000000002</v>
      </c>
      <c r="BN24" s="285">
        <v>2.3266800000000001</v>
      </c>
      <c r="BO24" s="285">
        <v>0</v>
      </c>
      <c r="BP24" s="285">
        <v>0</v>
      </c>
      <c r="BQ24" s="285">
        <v>2.1524200000000002</v>
      </c>
      <c r="BR24" s="285">
        <v>0</v>
      </c>
      <c r="BS24" s="285">
        <v>0</v>
      </c>
      <c r="BT24" s="285">
        <v>131.46632</v>
      </c>
      <c r="BU24" s="285">
        <v>39.694499999999998</v>
      </c>
      <c r="BV24" s="285">
        <v>11.82286</v>
      </c>
      <c r="BW24" s="285">
        <v>20.527660000000001</v>
      </c>
      <c r="BX24" s="285">
        <v>16.632149999999999</v>
      </c>
      <c r="BY24" s="285">
        <v>19.647359999999999</v>
      </c>
      <c r="BZ24" s="285">
        <v>10.91633</v>
      </c>
      <c r="CA24" s="285">
        <v>8.0939800000000002</v>
      </c>
      <c r="CB24" s="285">
        <v>1.24969</v>
      </c>
      <c r="CC24" s="285">
        <v>0</v>
      </c>
      <c r="CD24" s="285">
        <v>0</v>
      </c>
      <c r="CE24" s="285">
        <v>0</v>
      </c>
      <c r="CF24" s="285">
        <v>0</v>
      </c>
      <c r="CG24" s="285">
        <v>0</v>
      </c>
      <c r="CH24" s="285">
        <v>128.58453</v>
      </c>
      <c r="CI24" s="285">
        <v>257.84188999999998</v>
      </c>
      <c r="CJ24" s="285">
        <v>79.664199999999994</v>
      </c>
      <c r="CK24" s="285">
        <v>168.8749</v>
      </c>
      <c r="CL24" s="285">
        <v>361.07592</v>
      </c>
      <c r="CM24" s="285">
        <v>286.19970000000001</v>
      </c>
      <c r="CN24" s="285">
        <v>195.47470000000001</v>
      </c>
      <c r="CO24" s="285">
        <v>110.44634000000001</v>
      </c>
      <c r="CP24" s="285">
        <v>30.456849999999999</v>
      </c>
      <c r="CQ24" s="285">
        <v>14.553039999999999</v>
      </c>
      <c r="CR24" s="285">
        <v>6.2919900000000002</v>
      </c>
      <c r="CS24" s="285">
        <v>3.0991599999999999</v>
      </c>
      <c r="CT24" s="285">
        <v>1.03454</v>
      </c>
      <c r="CU24" s="285">
        <v>0</v>
      </c>
      <c r="CV24" s="285">
        <v>1515.01323</v>
      </c>
    </row>
    <row r="25" spans="1:100" s="282" customFormat="1">
      <c r="A25" s="282" t="s">
        <v>162</v>
      </c>
      <c r="B25" s="284" t="s">
        <v>41</v>
      </c>
      <c r="C25" s="285">
        <v>6587.54738</v>
      </c>
      <c r="D25" s="285">
        <v>1187.62022</v>
      </c>
      <c r="E25" s="285">
        <v>1848.94975</v>
      </c>
      <c r="F25" s="285">
        <v>4950.7260399999996</v>
      </c>
      <c r="G25" s="285">
        <v>6649.2595300000003</v>
      </c>
      <c r="H25" s="285">
        <v>6393.5026200000002</v>
      </c>
      <c r="I25" s="285">
        <v>4882.0699199999999</v>
      </c>
      <c r="J25" s="285">
        <v>3245.7413799999999</v>
      </c>
      <c r="K25" s="285">
        <v>1508.40724</v>
      </c>
      <c r="L25" s="285">
        <v>457.96418999999997</v>
      </c>
      <c r="M25" s="285">
        <v>136.61751000000001</v>
      </c>
      <c r="N25" s="285">
        <v>103.02115999999999</v>
      </c>
      <c r="O25" s="285">
        <v>2.1762600000000001</v>
      </c>
      <c r="P25" s="285">
        <v>37953.603199999998</v>
      </c>
      <c r="Q25" s="285">
        <v>6958.1915799999997</v>
      </c>
      <c r="R25" s="285">
        <v>1899.31194</v>
      </c>
      <c r="S25" s="285">
        <v>2975.2714099999998</v>
      </c>
      <c r="T25" s="285">
        <v>7457.7665800000004</v>
      </c>
      <c r="U25" s="285">
        <v>8719.8587900000002</v>
      </c>
      <c r="V25" s="285">
        <v>7108.3163400000003</v>
      </c>
      <c r="W25" s="285">
        <v>2523.0673999999999</v>
      </c>
      <c r="X25" s="285">
        <v>752.65553</v>
      </c>
      <c r="Y25" s="285">
        <v>257.59552000000002</v>
      </c>
      <c r="Z25" s="285">
        <v>45.427149999999997</v>
      </c>
      <c r="AA25" s="285">
        <v>41.023739999999997</v>
      </c>
      <c r="AB25" s="285">
        <v>36.918889999999998</v>
      </c>
      <c r="AC25" s="285">
        <v>0</v>
      </c>
      <c r="AD25" s="285">
        <v>38775.404869999998</v>
      </c>
      <c r="AE25" s="285">
        <v>4045.7379500000002</v>
      </c>
      <c r="AF25" s="285">
        <v>1100.8795700000001</v>
      </c>
      <c r="AG25" s="285">
        <v>1788.6179500000001</v>
      </c>
      <c r="AH25" s="285">
        <v>3939.80062</v>
      </c>
      <c r="AI25" s="285">
        <v>3360.9261900000001</v>
      </c>
      <c r="AJ25" s="285">
        <v>1835.2499499999999</v>
      </c>
      <c r="AK25" s="285">
        <v>525.20870000000002</v>
      </c>
      <c r="AL25" s="285">
        <v>187.65407999999999</v>
      </c>
      <c r="AM25" s="285">
        <v>71.099209999999999</v>
      </c>
      <c r="AN25" s="285">
        <v>15.95111</v>
      </c>
      <c r="AO25" s="285">
        <v>15.124879999999999</v>
      </c>
      <c r="AP25" s="285">
        <v>12.62128</v>
      </c>
      <c r="AQ25" s="285">
        <v>0</v>
      </c>
      <c r="AR25" s="285">
        <v>16898.871490000001</v>
      </c>
      <c r="AS25" s="285">
        <v>1193.8679999999999</v>
      </c>
      <c r="AT25" s="285">
        <v>414.23154</v>
      </c>
      <c r="AU25" s="285">
        <v>623.75825999999995</v>
      </c>
      <c r="AV25" s="285">
        <v>1167.9019599999999</v>
      </c>
      <c r="AW25" s="285">
        <v>990.93971999999997</v>
      </c>
      <c r="AX25" s="285">
        <v>382.73606999999998</v>
      </c>
      <c r="AY25" s="285">
        <v>112.98296999999999</v>
      </c>
      <c r="AZ25" s="285">
        <v>47.539360000000002</v>
      </c>
      <c r="BA25" s="285">
        <v>21.286529999999999</v>
      </c>
      <c r="BB25" s="285">
        <v>2.7268599999999998</v>
      </c>
      <c r="BC25" s="285">
        <v>6.5208399999999997</v>
      </c>
      <c r="BD25" s="285">
        <v>5.8080699999999998</v>
      </c>
      <c r="BE25" s="285">
        <v>0</v>
      </c>
      <c r="BF25" s="285">
        <v>4970.3001800000002</v>
      </c>
      <c r="BG25" s="285">
        <v>576.49153000000001</v>
      </c>
      <c r="BH25" s="285">
        <v>235.33313999999999</v>
      </c>
      <c r="BI25" s="285">
        <v>280.26803000000001</v>
      </c>
      <c r="BJ25" s="285">
        <v>453.03793000000002</v>
      </c>
      <c r="BK25" s="285">
        <v>418.70046000000002</v>
      </c>
      <c r="BL25" s="285">
        <v>131.34249</v>
      </c>
      <c r="BM25" s="285">
        <v>52.429029999999997</v>
      </c>
      <c r="BN25" s="285">
        <v>25.77018</v>
      </c>
      <c r="BO25" s="285">
        <v>13.618169999999999</v>
      </c>
      <c r="BP25" s="285">
        <v>1.02295</v>
      </c>
      <c r="BQ25" s="285">
        <v>2.15564</v>
      </c>
      <c r="BR25" s="285">
        <v>3.3415900000000001</v>
      </c>
      <c r="BS25" s="285">
        <v>0</v>
      </c>
      <c r="BT25" s="285">
        <v>2193.5111400000001</v>
      </c>
      <c r="BU25" s="285">
        <v>263.88421</v>
      </c>
      <c r="BV25" s="285">
        <v>102.92213</v>
      </c>
      <c r="BW25" s="285">
        <v>162.20251999999999</v>
      </c>
      <c r="BX25" s="285">
        <v>277.94986</v>
      </c>
      <c r="BY25" s="285">
        <v>182.68073999999999</v>
      </c>
      <c r="BZ25" s="285">
        <v>95.511080000000007</v>
      </c>
      <c r="CA25" s="285">
        <v>29.218440000000001</v>
      </c>
      <c r="CB25" s="285">
        <v>12.74639</v>
      </c>
      <c r="CC25" s="285">
        <v>3.6328100000000001</v>
      </c>
      <c r="CD25" s="285">
        <v>1.13269</v>
      </c>
      <c r="CE25" s="285">
        <v>2.2653799999999999</v>
      </c>
      <c r="CF25" s="285">
        <v>1.5380799999999999</v>
      </c>
      <c r="CG25" s="285">
        <v>0</v>
      </c>
      <c r="CH25" s="285">
        <v>1135.68433</v>
      </c>
      <c r="CI25" s="285">
        <v>2696.5163899999998</v>
      </c>
      <c r="CJ25" s="285">
        <v>919.34153000000003</v>
      </c>
      <c r="CK25" s="285">
        <v>1420.82421</v>
      </c>
      <c r="CL25" s="285">
        <v>2900.7755499999998</v>
      </c>
      <c r="CM25" s="285">
        <v>2300.1394300000002</v>
      </c>
      <c r="CN25" s="285">
        <v>980.50756999999999</v>
      </c>
      <c r="CO25" s="285">
        <v>399.44592</v>
      </c>
      <c r="CP25" s="285">
        <v>162.53925000000001</v>
      </c>
      <c r="CQ25" s="285">
        <v>78.323599999999999</v>
      </c>
      <c r="CR25" s="285">
        <v>18.982289999999999</v>
      </c>
      <c r="CS25" s="285">
        <v>15.95421</v>
      </c>
      <c r="CT25" s="285">
        <v>5.4096299999999999</v>
      </c>
      <c r="CU25" s="285">
        <v>0</v>
      </c>
      <c r="CV25" s="285">
        <v>11898.75958</v>
      </c>
    </row>
    <row r="26" spans="1:100" s="282" customFormat="1">
      <c r="A26" s="282" t="s">
        <v>162</v>
      </c>
      <c r="B26" s="284" t="s">
        <v>292</v>
      </c>
      <c r="C26" s="285">
        <v>0</v>
      </c>
      <c r="D26" s="285">
        <v>0</v>
      </c>
      <c r="E26" s="285">
        <v>0</v>
      </c>
      <c r="F26" s="285">
        <v>0</v>
      </c>
      <c r="G26" s="285">
        <v>0</v>
      </c>
      <c r="H26" s="285">
        <v>0</v>
      </c>
      <c r="I26" s="285">
        <v>0</v>
      </c>
      <c r="J26" s="285">
        <v>0</v>
      </c>
      <c r="K26" s="285">
        <v>0</v>
      </c>
      <c r="L26" s="285">
        <v>0</v>
      </c>
      <c r="M26" s="285">
        <v>0</v>
      </c>
      <c r="N26" s="285">
        <v>0</v>
      </c>
      <c r="O26" s="285">
        <v>0</v>
      </c>
      <c r="P26" s="285">
        <v>0</v>
      </c>
      <c r="Q26" s="285">
        <v>0</v>
      </c>
      <c r="R26" s="285">
        <v>0</v>
      </c>
      <c r="S26" s="285">
        <v>0</v>
      </c>
      <c r="T26" s="285">
        <v>0</v>
      </c>
      <c r="U26" s="285">
        <v>0</v>
      </c>
      <c r="V26" s="285">
        <v>0</v>
      </c>
      <c r="W26" s="285">
        <v>0</v>
      </c>
      <c r="X26" s="285">
        <v>0</v>
      </c>
      <c r="Y26" s="285">
        <v>0</v>
      </c>
      <c r="Z26" s="285">
        <v>0</v>
      </c>
      <c r="AA26" s="285">
        <v>0</v>
      </c>
      <c r="AB26" s="285">
        <v>0</v>
      </c>
      <c r="AC26" s="285">
        <v>0</v>
      </c>
      <c r="AD26" s="285">
        <v>0</v>
      </c>
      <c r="AE26" s="285">
        <v>0</v>
      </c>
      <c r="AF26" s="285">
        <v>0</v>
      </c>
      <c r="AG26" s="285">
        <v>0</v>
      </c>
      <c r="AH26" s="285">
        <v>0</v>
      </c>
      <c r="AI26" s="285">
        <v>0</v>
      </c>
      <c r="AJ26" s="285">
        <v>0</v>
      </c>
      <c r="AK26" s="285">
        <v>0</v>
      </c>
      <c r="AL26" s="285">
        <v>0</v>
      </c>
      <c r="AM26" s="285">
        <v>0</v>
      </c>
      <c r="AN26" s="285">
        <v>0</v>
      </c>
      <c r="AO26" s="285">
        <v>0</v>
      </c>
      <c r="AP26" s="285">
        <v>0</v>
      </c>
      <c r="AQ26" s="285">
        <v>0</v>
      </c>
      <c r="AR26" s="285">
        <v>0</v>
      </c>
      <c r="AS26" s="285">
        <v>0</v>
      </c>
      <c r="AT26" s="285">
        <v>0</v>
      </c>
      <c r="AU26" s="285">
        <v>0</v>
      </c>
      <c r="AV26" s="285">
        <v>0</v>
      </c>
      <c r="AW26" s="285">
        <v>0</v>
      </c>
      <c r="AX26" s="285">
        <v>0</v>
      </c>
      <c r="AY26" s="285">
        <v>0</v>
      </c>
      <c r="AZ26" s="285">
        <v>0</v>
      </c>
      <c r="BA26" s="285">
        <v>0</v>
      </c>
      <c r="BB26" s="285">
        <v>0</v>
      </c>
      <c r="BC26" s="285">
        <v>0</v>
      </c>
      <c r="BD26" s="285">
        <v>0</v>
      </c>
      <c r="BE26" s="285">
        <v>0</v>
      </c>
      <c r="BF26" s="285">
        <v>0</v>
      </c>
      <c r="BG26" s="285">
        <v>0</v>
      </c>
      <c r="BH26" s="285">
        <v>0</v>
      </c>
      <c r="BI26" s="285">
        <v>0</v>
      </c>
      <c r="BJ26" s="285">
        <v>0</v>
      </c>
      <c r="BK26" s="285">
        <v>0</v>
      </c>
      <c r="BL26" s="285">
        <v>0</v>
      </c>
      <c r="BM26" s="285">
        <v>0</v>
      </c>
      <c r="BN26" s="285">
        <v>0</v>
      </c>
      <c r="BO26" s="285">
        <v>0</v>
      </c>
      <c r="BP26" s="285">
        <v>0</v>
      </c>
      <c r="BQ26" s="285">
        <v>0</v>
      </c>
      <c r="BR26" s="285">
        <v>0</v>
      </c>
      <c r="BS26" s="285">
        <v>0</v>
      </c>
      <c r="BT26" s="285">
        <v>0</v>
      </c>
      <c r="BU26" s="285">
        <v>0</v>
      </c>
      <c r="BV26" s="285">
        <v>0</v>
      </c>
      <c r="BW26" s="285">
        <v>0</v>
      </c>
      <c r="BX26" s="285">
        <v>0</v>
      </c>
      <c r="BY26" s="285">
        <v>0</v>
      </c>
      <c r="BZ26" s="285">
        <v>0</v>
      </c>
      <c r="CA26" s="285">
        <v>0</v>
      </c>
      <c r="CB26" s="285">
        <v>0</v>
      </c>
      <c r="CC26" s="285">
        <v>0</v>
      </c>
      <c r="CD26" s="285">
        <v>0</v>
      </c>
      <c r="CE26" s="285">
        <v>0</v>
      </c>
      <c r="CF26" s="285">
        <v>0</v>
      </c>
      <c r="CG26" s="285">
        <v>0</v>
      </c>
      <c r="CH26" s="285">
        <v>0</v>
      </c>
      <c r="CI26" s="285">
        <v>0</v>
      </c>
      <c r="CJ26" s="285">
        <v>0</v>
      </c>
      <c r="CK26" s="285">
        <v>0</v>
      </c>
      <c r="CL26" s="285">
        <v>0</v>
      </c>
      <c r="CM26" s="285">
        <v>0</v>
      </c>
      <c r="CN26" s="285">
        <v>0</v>
      </c>
      <c r="CO26" s="285">
        <v>0</v>
      </c>
      <c r="CP26" s="285">
        <v>0</v>
      </c>
      <c r="CQ26" s="285">
        <v>0</v>
      </c>
      <c r="CR26" s="285">
        <v>0</v>
      </c>
      <c r="CS26" s="285">
        <v>0</v>
      </c>
      <c r="CT26" s="285">
        <v>0</v>
      </c>
      <c r="CU26" s="285">
        <v>0</v>
      </c>
      <c r="CV26" s="285">
        <v>0</v>
      </c>
    </row>
    <row r="27" spans="1:100" s="282" customFormat="1">
      <c r="A27" s="282" t="s">
        <v>162</v>
      </c>
      <c r="B27" s="284" t="s">
        <v>485</v>
      </c>
      <c r="C27" s="285">
        <v>0</v>
      </c>
      <c r="D27" s="285">
        <v>0</v>
      </c>
      <c r="E27" s="285">
        <v>0</v>
      </c>
      <c r="F27" s="285">
        <v>0</v>
      </c>
      <c r="G27" s="285">
        <v>0</v>
      </c>
      <c r="H27" s="285">
        <v>0</v>
      </c>
      <c r="I27" s="285">
        <v>0</v>
      </c>
      <c r="J27" s="285">
        <v>0</v>
      </c>
      <c r="K27" s="285">
        <v>0</v>
      </c>
      <c r="L27" s="285">
        <v>0</v>
      </c>
      <c r="M27" s="285">
        <v>0</v>
      </c>
      <c r="N27" s="285">
        <v>0</v>
      </c>
      <c r="O27" s="285">
        <v>0</v>
      </c>
      <c r="P27" s="285">
        <v>0</v>
      </c>
      <c r="Q27" s="285">
        <v>0</v>
      </c>
      <c r="R27" s="285">
        <v>0</v>
      </c>
      <c r="S27" s="285">
        <v>0</v>
      </c>
      <c r="T27" s="285">
        <v>0</v>
      </c>
      <c r="U27" s="285">
        <v>0</v>
      </c>
      <c r="V27" s="285">
        <v>0</v>
      </c>
      <c r="W27" s="285">
        <v>0</v>
      </c>
      <c r="X27" s="285">
        <v>0</v>
      </c>
      <c r="Y27" s="285">
        <v>0</v>
      </c>
      <c r="Z27" s="285">
        <v>0</v>
      </c>
      <c r="AA27" s="285">
        <v>0</v>
      </c>
      <c r="AB27" s="285">
        <v>0</v>
      </c>
      <c r="AC27" s="285">
        <v>0</v>
      </c>
      <c r="AD27" s="285">
        <v>0</v>
      </c>
      <c r="AE27" s="285">
        <v>0</v>
      </c>
      <c r="AF27" s="285">
        <v>0</v>
      </c>
      <c r="AG27" s="285">
        <v>0</v>
      </c>
      <c r="AH27" s="285">
        <v>0</v>
      </c>
      <c r="AI27" s="285">
        <v>0</v>
      </c>
      <c r="AJ27" s="285">
        <v>0</v>
      </c>
      <c r="AK27" s="285">
        <v>0</v>
      </c>
      <c r="AL27" s="285">
        <v>0</v>
      </c>
      <c r="AM27" s="285">
        <v>0</v>
      </c>
      <c r="AN27" s="285">
        <v>0</v>
      </c>
      <c r="AO27" s="285">
        <v>0</v>
      </c>
      <c r="AP27" s="285">
        <v>0</v>
      </c>
      <c r="AQ27" s="285">
        <v>0</v>
      </c>
      <c r="AR27" s="285">
        <v>0</v>
      </c>
      <c r="AS27" s="285">
        <v>0</v>
      </c>
      <c r="AT27" s="285">
        <v>0</v>
      </c>
      <c r="AU27" s="285">
        <v>0</v>
      </c>
      <c r="AV27" s="285">
        <v>0</v>
      </c>
      <c r="AW27" s="285">
        <v>0</v>
      </c>
      <c r="AX27" s="285">
        <v>0</v>
      </c>
      <c r="AY27" s="285">
        <v>0</v>
      </c>
      <c r="AZ27" s="285">
        <v>0</v>
      </c>
      <c r="BA27" s="285">
        <v>0</v>
      </c>
      <c r="BB27" s="285">
        <v>0</v>
      </c>
      <c r="BC27" s="285">
        <v>0</v>
      </c>
      <c r="BD27" s="285">
        <v>0</v>
      </c>
      <c r="BE27" s="285">
        <v>0</v>
      </c>
      <c r="BF27" s="285">
        <v>0</v>
      </c>
      <c r="BG27" s="285">
        <v>0</v>
      </c>
      <c r="BH27" s="285">
        <v>0</v>
      </c>
      <c r="BI27" s="285">
        <v>0</v>
      </c>
      <c r="BJ27" s="285">
        <v>0</v>
      </c>
      <c r="BK27" s="285">
        <v>0</v>
      </c>
      <c r="BL27" s="285">
        <v>0</v>
      </c>
      <c r="BM27" s="285">
        <v>0</v>
      </c>
      <c r="BN27" s="285">
        <v>0</v>
      </c>
      <c r="BO27" s="285">
        <v>0</v>
      </c>
      <c r="BP27" s="285">
        <v>0</v>
      </c>
      <c r="BQ27" s="285">
        <v>0</v>
      </c>
      <c r="BR27" s="285">
        <v>0</v>
      </c>
      <c r="BS27" s="285">
        <v>0</v>
      </c>
      <c r="BT27" s="285">
        <v>0</v>
      </c>
      <c r="BU27" s="285">
        <v>0</v>
      </c>
      <c r="BV27" s="285">
        <v>0</v>
      </c>
      <c r="BW27" s="285">
        <v>0</v>
      </c>
      <c r="BX27" s="285">
        <v>0</v>
      </c>
      <c r="BY27" s="285">
        <v>0</v>
      </c>
      <c r="BZ27" s="285">
        <v>0</v>
      </c>
      <c r="CA27" s="285">
        <v>0</v>
      </c>
      <c r="CB27" s="285">
        <v>0</v>
      </c>
      <c r="CC27" s="285">
        <v>0</v>
      </c>
      <c r="CD27" s="285">
        <v>0</v>
      </c>
      <c r="CE27" s="285">
        <v>0</v>
      </c>
      <c r="CF27" s="285">
        <v>0</v>
      </c>
      <c r="CG27" s="285">
        <v>0</v>
      </c>
      <c r="CH27" s="285">
        <v>0</v>
      </c>
      <c r="CI27" s="285">
        <v>0</v>
      </c>
      <c r="CJ27" s="285">
        <v>0</v>
      </c>
      <c r="CK27" s="285">
        <v>0</v>
      </c>
      <c r="CL27" s="285">
        <v>0</v>
      </c>
      <c r="CM27" s="285">
        <v>0</v>
      </c>
      <c r="CN27" s="285">
        <v>0</v>
      </c>
      <c r="CO27" s="285">
        <v>0</v>
      </c>
      <c r="CP27" s="285">
        <v>0</v>
      </c>
      <c r="CQ27" s="285">
        <v>0</v>
      </c>
      <c r="CR27" s="285">
        <v>0</v>
      </c>
      <c r="CS27" s="285">
        <v>0</v>
      </c>
      <c r="CT27" s="285">
        <v>0</v>
      </c>
      <c r="CU27" s="285">
        <v>0</v>
      </c>
      <c r="CV27" s="285">
        <v>0</v>
      </c>
    </row>
    <row r="28" spans="1:100" s="282" customFormat="1">
      <c r="A28" s="282" t="s">
        <v>519</v>
      </c>
      <c r="B28" s="284" t="s">
        <v>27</v>
      </c>
      <c r="C28" s="285">
        <v>821002.33950999996</v>
      </c>
      <c r="D28" s="285">
        <v>170425.40763999999</v>
      </c>
      <c r="E28" s="285">
        <v>263156.97550990002</v>
      </c>
      <c r="F28" s="285">
        <v>732065.28398029995</v>
      </c>
      <c r="G28" s="285">
        <v>952529.37020999996</v>
      </c>
      <c r="H28" s="285">
        <v>931199.5519198</v>
      </c>
      <c r="I28" s="285">
        <v>930349.54739980004</v>
      </c>
      <c r="J28" s="285">
        <v>884684.18953980005</v>
      </c>
      <c r="K28" s="285">
        <v>626254.78719980002</v>
      </c>
      <c r="L28" s="285">
        <v>257855.27198990001</v>
      </c>
      <c r="M28" s="285">
        <v>72954.327179999993</v>
      </c>
      <c r="N28" s="285">
        <v>41511.471899999997</v>
      </c>
      <c r="O28" s="285">
        <v>632.09312</v>
      </c>
      <c r="P28" s="285">
        <v>6684620.6170993</v>
      </c>
      <c r="Q28" s="285">
        <v>622502.47773030004</v>
      </c>
      <c r="R28" s="285">
        <v>202393.74737990001</v>
      </c>
      <c r="S28" s="285">
        <v>330628.14214990003</v>
      </c>
      <c r="T28" s="285">
        <v>805892.33423100004</v>
      </c>
      <c r="U28" s="285">
        <v>925304.62394079997</v>
      </c>
      <c r="V28" s="285">
        <v>597734.50296039996</v>
      </c>
      <c r="W28" s="285">
        <v>280033.67496999999</v>
      </c>
      <c r="X28" s="285">
        <v>105191.60625</v>
      </c>
      <c r="Y28" s="285">
        <v>35300.937870000002</v>
      </c>
      <c r="Z28" s="285">
        <v>6695.7583000000004</v>
      </c>
      <c r="AA28" s="285">
        <v>3922.3776600000001</v>
      </c>
      <c r="AB28" s="285">
        <v>2846.6645800000001</v>
      </c>
      <c r="AC28" s="285">
        <v>33.390749999999997</v>
      </c>
      <c r="AD28" s="285">
        <v>3918480.2387724002</v>
      </c>
      <c r="AE28" s="285">
        <v>344138.08731989999</v>
      </c>
      <c r="AF28" s="285">
        <v>121273.39443</v>
      </c>
      <c r="AG28" s="285">
        <v>197643.56685989999</v>
      </c>
      <c r="AH28" s="285">
        <v>403188.12323999999</v>
      </c>
      <c r="AI28" s="285">
        <v>379748.1386299</v>
      </c>
      <c r="AJ28" s="285">
        <v>159071.21724</v>
      </c>
      <c r="AK28" s="285">
        <v>52328.980609999999</v>
      </c>
      <c r="AL28" s="285">
        <v>20452.700219999999</v>
      </c>
      <c r="AM28" s="285">
        <v>8405.6999099999994</v>
      </c>
      <c r="AN28" s="285">
        <v>1333.88156</v>
      </c>
      <c r="AO28" s="285">
        <v>1102.90914</v>
      </c>
      <c r="AP28" s="285">
        <v>815.33159999999998</v>
      </c>
      <c r="AQ28" s="285">
        <v>7.3146599999999999</v>
      </c>
      <c r="AR28" s="285">
        <v>1689509.3454197</v>
      </c>
      <c r="AS28" s="285">
        <v>106572.01295</v>
      </c>
      <c r="AT28" s="285">
        <v>39169.381159999997</v>
      </c>
      <c r="AU28" s="285">
        <v>64746.323380000002</v>
      </c>
      <c r="AV28" s="285">
        <v>127056.7928</v>
      </c>
      <c r="AW28" s="285">
        <v>118032.83152000001</v>
      </c>
      <c r="AX28" s="285">
        <v>47910.201930000003</v>
      </c>
      <c r="AY28" s="285">
        <v>16468.823899999999</v>
      </c>
      <c r="AZ28" s="285">
        <v>6997.0524599999999</v>
      </c>
      <c r="BA28" s="285">
        <v>2987.8701299999998</v>
      </c>
      <c r="BB28" s="285">
        <v>553.41786999999999</v>
      </c>
      <c r="BC28" s="285">
        <v>390.70612999999997</v>
      </c>
      <c r="BD28" s="285">
        <v>288.13952999999998</v>
      </c>
      <c r="BE28" s="285">
        <v>5.7941399999999996</v>
      </c>
      <c r="BF28" s="285">
        <v>531179.34789990005</v>
      </c>
      <c r="BG28" s="285">
        <v>47577.01629</v>
      </c>
      <c r="BH28" s="285">
        <v>18152.811470000001</v>
      </c>
      <c r="BI28" s="285">
        <v>29756.940299999998</v>
      </c>
      <c r="BJ28" s="285">
        <v>53962.375</v>
      </c>
      <c r="BK28" s="285">
        <v>50220.983809999998</v>
      </c>
      <c r="BL28" s="285">
        <v>20555.899099999999</v>
      </c>
      <c r="BM28" s="285">
        <v>7385.4297900000001</v>
      </c>
      <c r="BN28" s="285">
        <v>3103.5844999999999</v>
      </c>
      <c r="BO28" s="285">
        <v>1385.91992</v>
      </c>
      <c r="BP28" s="285">
        <v>230.74337</v>
      </c>
      <c r="BQ28" s="285">
        <v>177.48524</v>
      </c>
      <c r="BR28" s="285">
        <v>122.53805</v>
      </c>
      <c r="BS28" s="285">
        <v>2.0459000000000001</v>
      </c>
      <c r="BT28" s="285">
        <v>232633.77273999999</v>
      </c>
      <c r="BU28" s="285">
        <v>25968.632089999999</v>
      </c>
      <c r="BV28" s="285">
        <v>10115.3673</v>
      </c>
      <c r="BW28" s="285">
        <v>17276.63912</v>
      </c>
      <c r="BX28" s="285">
        <v>29898.335179999998</v>
      </c>
      <c r="BY28" s="285">
        <v>26594.57734</v>
      </c>
      <c r="BZ28" s="285">
        <v>10670.51389</v>
      </c>
      <c r="CA28" s="285">
        <v>4103.46054</v>
      </c>
      <c r="CB28" s="285">
        <v>1960.14113</v>
      </c>
      <c r="CC28" s="285">
        <v>810.42603999999994</v>
      </c>
      <c r="CD28" s="285">
        <v>210.3382</v>
      </c>
      <c r="CE28" s="285">
        <v>113.49975000000001</v>
      </c>
      <c r="CF28" s="285">
        <v>97.52843</v>
      </c>
      <c r="CG28" s="285">
        <v>4.2015399999999996</v>
      </c>
      <c r="CH28" s="285">
        <v>127823.66055</v>
      </c>
      <c r="CI28" s="285">
        <v>209777.0485299</v>
      </c>
      <c r="CJ28" s="285">
        <v>87223.671109999996</v>
      </c>
      <c r="CK28" s="285">
        <v>163155.01626989999</v>
      </c>
      <c r="CL28" s="285">
        <v>323176.97602980002</v>
      </c>
      <c r="CM28" s="285">
        <v>288165.25445980002</v>
      </c>
      <c r="CN28" s="285">
        <v>112093.13314999999</v>
      </c>
      <c r="CO28" s="285">
        <v>44986.771070000003</v>
      </c>
      <c r="CP28" s="285">
        <v>22903.218639999999</v>
      </c>
      <c r="CQ28" s="285">
        <v>10218.222100000001</v>
      </c>
      <c r="CR28" s="285">
        <v>2054.3519900000001</v>
      </c>
      <c r="CS28" s="285">
        <v>1234.9079400000001</v>
      </c>
      <c r="CT28" s="285">
        <v>911.14684</v>
      </c>
      <c r="CU28" s="285">
        <v>14.79034</v>
      </c>
      <c r="CV28" s="285">
        <v>1265914.5084694</v>
      </c>
    </row>
    <row r="29" spans="1:100" s="282" customFormat="1">
      <c r="B29" s="284"/>
      <c r="C29" s="285"/>
      <c r="D29" s="285"/>
      <c r="E29" s="285"/>
      <c r="F29" s="285"/>
      <c r="G29" s="285"/>
      <c r="H29" s="285"/>
      <c r="I29" s="285"/>
      <c r="J29" s="285"/>
      <c r="K29" s="285"/>
      <c r="L29" s="285"/>
      <c r="M29" s="285"/>
      <c r="N29" s="285"/>
      <c r="O29" s="285"/>
      <c r="P29" s="285">
        <f>SUM(P14:P28)</f>
        <v>13369241.234198701</v>
      </c>
      <c r="Q29" s="285"/>
      <c r="R29" s="285"/>
      <c r="S29" s="285"/>
      <c r="T29" s="285"/>
      <c r="U29" s="285"/>
      <c r="V29" s="285"/>
      <c r="W29" s="285"/>
      <c r="X29" s="285"/>
      <c r="Y29" s="285"/>
      <c r="Z29" s="285"/>
      <c r="AA29" s="285"/>
      <c r="AB29" s="285"/>
      <c r="AC29" s="285"/>
      <c r="AD29" s="285">
        <f>SUM(AD14:AD28)</f>
        <v>7836960.4775448013</v>
      </c>
      <c r="AE29" s="285"/>
      <c r="AF29" s="285"/>
      <c r="AG29" s="285"/>
      <c r="AH29" s="285"/>
      <c r="AI29" s="285"/>
      <c r="AJ29" s="285"/>
      <c r="AK29" s="285"/>
      <c r="AL29" s="285"/>
      <c r="AM29" s="285"/>
      <c r="AN29" s="285"/>
      <c r="AO29" s="285"/>
      <c r="AP29" s="285"/>
      <c r="AQ29" s="285"/>
      <c r="AR29" s="285">
        <f>SUM(AR14:AR28)</f>
        <v>3379018.6908392999</v>
      </c>
      <c r="AS29" s="285"/>
      <c r="AT29" s="285"/>
      <c r="AU29" s="285"/>
      <c r="AV29" s="285"/>
      <c r="AW29" s="285"/>
      <c r="AX29" s="285"/>
      <c r="AY29" s="285"/>
      <c r="AZ29" s="285"/>
      <c r="BA29" s="285"/>
      <c r="BB29" s="285"/>
      <c r="BC29" s="285"/>
      <c r="BD29" s="285"/>
      <c r="BE29" s="285"/>
      <c r="BF29" s="285"/>
      <c r="BG29" s="285"/>
      <c r="BH29" s="285"/>
      <c r="BI29" s="285"/>
      <c r="BJ29" s="285"/>
      <c r="BK29" s="285"/>
      <c r="BL29" s="285"/>
      <c r="BM29" s="285"/>
      <c r="BN29" s="285"/>
      <c r="BO29" s="285"/>
      <c r="BP29" s="285"/>
      <c r="BQ29" s="285"/>
      <c r="BR29" s="285"/>
      <c r="BS29" s="285"/>
      <c r="BT29" s="285"/>
      <c r="BU29" s="285"/>
      <c r="BV29" s="285"/>
      <c r="BW29" s="285"/>
      <c r="BX29" s="285"/>
      <c r="BY29" s="285"/>
      <c r="BZ29" s="285"/>
      <c r="CA29" s="285"/>
      <c r="CB29" s="285"/>
      <c r="CC29" s="285"/>
      <c r="CD29" s="285"/>
      <c r="CE29" s="285"/>
      <c r="CF29" s="285"/>
      <c r="CG29" s="285"/>
      <c r="CH29" s="285"/>
      <c r="CI29" s="285"/>
      <c r="CJ29" s="285"/>
      <c r="CK29" s="285"/>
      <c r="CL29" s="285"/>
      <c r="CM29" s="285"/>
      <c r="CN29" s="285"/>
      <c r="CO29" s="285"/>
      <c r="CP29" s="285"/>
      <c r="CQ29" s="285"/>
      <c r="CR29" s="285"/>
      <c r="CS29" s="285"/>
      <c r="CT29" s="285"/>
      <c r="CU29" s="285"/>
      <c r="CV29" s="285"/>
    </row>
    <row r="30" spans="1:100">
      <c r="AD30">
        <f>AD29+P29</f>
        <v>21206201.711743504</v>
      </c>
      <c r="AR30">
        <f>AR29+AD29+P29</f>
        <v>24585220.402582802</v>
      </c>
    </row>
    <row r="31" spans="1:100">
      <c r="B31" t="s">
        <v>515</v>
      </c>
      <c r="C31" t="s">
        <v>515</v>
      </c>
      <c r="D31" t="s">
        <v>515</v>
      </c>
      <c r="F31" t="s">
        <v>516</v>
      </c>
      <c r="G31" t="s">
        <v>516</v>
      </c>
      <c r="H31" t="s">
        <v>516</v>
      </c>
      <c r="J31" t="s">
        <v>517</v>
      </c>
      <c r="K31" t="s">
        <v>517</v>
      </c>
      <c r="L31" t="s">
        <v>517</v>
      </c>
    </row>
    <row r="32" spans="1:100">
      <c r="B32" t="s">
        <v>520</v>
      </c>
      <c r="C32" t="s">
        <v>521</v>
      </c>
      <c r="D32" t="s">
        <v>522</v>
      </c>
      <c r="F32" t="s">
        <v>524</v>
      </c>
      <c r="G32" t="s">
        <v>525</v>
      </c>
      <c r="H32" t="s">
        <v>526</v>
      </c>
      <c r="J32" t="s">
        <v>528</v>
      </c>
      <c r="K32" t="s">
        <v>529</v>
      </c>
      <c r="L32" t="s">
        <v>530</v>
      </c>
      <c r="P32" t="s">
        <v>515</v>
      </c>
      <c r="Q32" t="s">
        <v>516</v>
      </c>
      <c r="R32" t="s">
        <v>517</v>
      </c>
    </row>
    <row r="33" spans="1:21">
      <c r="A33" s="282" t="s">
        <v>78</v>
      </c>
      <c r="B33">
        <f t="array" ref="B33">SUM(IF($C$13:$CV$13=B$32,IF($A$14:$A$28=$A33,$C$14:$CV$28)))</f>
        <v>2808913.9341312996</v>
      </c>
      <c r="C33">
        <f t="array" ref="C33">SUM(IF($C$13:$CV$13=C$32,IF($A$14:$A$28=$A33,$C$14:$CV$28)))</f>
        <v>2442873.8185411999</v>
      </c>
      <c r="D33">
        <f t="array" ref="D33">SUM(IF($C$13:$CV$13=D$32,IF($A$14:$A$28=$A33,$C$14:$CV$28)))</f>
        <v>2428734.9810592998</v>
      </c>
      <c r="F33">
        <f t="array" ref="F33">SUM(IF($C$13:$CV$13=F$32,IF($A$14:$A$28=$A33,$C$14:$CV$28)))</f>
        <v>700839.76406980003</v>
      </c>
      <c r="G33">
        <f t="array" ref="G33">SUM(IF($C$13:$CV$13=G$32,IF($A$14:$A$28=$A33,$C$14:$CV$28)))</f>
        <v>363806.67836000008</v>
      </c>
      <c r="H33">
        <f t="array" ref="H33">SUM(IF($C$13:$CV$13=H$32,IF($A$14:$A$28=$A33,$C$14:$CV$28)))</f>
        <v>76533.211630000005</v>
      </c>
      <c r="J33">
        <f t="array" ref="J33">SUM(IF($C$13:$CV$13=J$32,IF($A$14:$A$28=$A33,$C$14:$CV$28)))</f>
        <v>331472.8739599</v>
      </c>
      <c r="K33">
        <f t="array" ref="K33">SUM(IF($C$13:$CV$13=K$32,IF($A$14:$A$28=$A33,$C$14:$CV$28)))</f>
        <v>179825.16546990001</v>
      </c>
      <c r="L33">
        <f t="array" ref="L33">SUM(IF($C$13:$CV$13=L$32,IF($A$14:$A$28=$A33,$C$14:$CV$28)))</f>
        <v>51029.163050000003</v>
      </c>
      <c r="P33" t="s">
        <v>523</v>
      </c>
      <c r="Q33" t="s">
        <v>527</v>
      </c>
      <c r="R33" t="s">
        <v>531</v>
      </c>
    </row>
    <row r="34" spans="1:21">
      <c r="A34" s="282" t="s">
        <v>79</v>
      </c>
      <c r="B34">
        <f t="array" ref="B34">SUM(IF($C$13:$CV$13=B$32,IF($A$14:$A$28=$A34,$C$14:$CV$28)))</f>
        <v>349585.69716999994</v>
      </c>
      <c r="C34">
        <f t="array" ref="C34">SUM(IF($C$13:$CV$13=C$32,IF($A$14:$A$28=$A34,$C$14:$CV$28)))</f>
        <v>361142.21258999995</v>
      </c>
      <c r="D34">
        <f t="array" ref="D34">SUM(IF($C$13:$CV$13=D$32,IF($A$14:$A$28=$A34,$C$14:$CV$28)))</f>
        <v>397019.96418000001</v>
      </c>
      <c r="F34">
        <f t="array" ref="F34">SUM(IF($C$13:$CV$13=F$32,IF($A$14:$A$28=$A34,$C$14:$CV$28)))</f>
        <v>53623.733689999979</v>
      </c>
      <c r="G34">
        <f t="array" ref="G34">SUM(IF($C$13:$CV$13=G$32,IF($A$14:$A$28=$A34,$C$14:$CV$28)))</f>
        <v>27656.098000000002</v>
      </c>
      <c r="H34">
        <f t="array" ref="H34">SUM(IF($C$13:$CV$13=H$32,IF($A$14:$A$28=$A34,$C$14:$CV$28)))</f>
        <v>6719.1037499999984</v>
      </c>
      <c r="J34">
        <f t="array" ref="J34">SUM(IF($C$13:$CV$13=J$32,IF($A$14:$A$28=$A34,$C$14:$CV$28)))</f>
        <v>40647.378649999999</v>
      </c>
      <c r="K34">
        <f t="array" ref="K34">SUM(IF($C$13:$CV$13=K$32,IF($A$14:$A$28=$A34,$C$14:$CV$28)))</f>
        <v>19801.124110000004</v>
      </c>
      <c r="L34">
        <f t="array" ref="L34">SUM(IF($C$13:$CV$13=L$32,IF($A$14:$A$28=$A34,$C$14:$CV$28)))</f>
        <v>5965.8077200000007</v>
      </c>
      <c r="P34">
        <f t="array" ref="P34">SUM(IF($C$13:$CV$13=P$33,IF($A$14:$A$28=$A33,$C$14:$CV$28)))</f>
        <v>7680522.7337319003</v>
      </c>
      <c r="Q34">
        <f t="array" ref="Q34">SUM(IF($C$13:$CV$13=Q$33,IF($A$14:$A$28=$A33,$C$14:$CV$28)))</f>
        <v>1079767.4765997999</v>
      </c>
      <c r="R34">
        <f t="array" ref="R34">SUM(IF($C$13:$CV$13=R$33,IF($A$14:$A$28=$A33,$C$14:$CV$28)))</f>
        <v>623739.37993970001</v>
      </c>
    </row>
    <row r="35" spans="1:21">
      <c r="A35" s="287" t="s">
        <v>468</v>
      </c>
      <c r="B35">
        <f t="array" ref="B35">SUM(IF($C$13:$CV$13=B$32,IF($A$14:$A$28=$A35,$C$14:$CV$28)))</f>
        <v>113110.73303999999</v>
      </c>
      <c r="C35">
        <f t="array" ref="C35">SUM(IF($C$13:$CV$13=C$32,IF($A$14:$A$28=$A35,$C$14:$CV$28)))</f>
        <v>119902.4587</v>
      </c>
      <c r="D35">
        <f t="array" ref="D35">SUM(IF($C$13:$CV$13=D$32,IF($A$14:$A$28=$A35,$C$14:$CV$28)))</f>
        <v>314263.13432999991</v>
      </c>
      <c r="E35" s="288"/>
      <c r="F35">
        <f t="array" ref="F35">SUM(IF($C$13:$CV$13=F$32,IF($A$14:$A$28=$A35,$C$14:$CV$28)))</f>
        <v>10920.28167</v>
      </c>
      <c r="G35">
        <f t="array" ref="G35">SUM(IF($C$13:$CV$13=G$32,IF($A$14:$A$28=$A35,$C$14:$CV$28)))</f>
        <v>5824.076970000001</v>
      </c>
      <c r="H35">
        <f t="array" ref="H35">SUM(IF($C$13:$CV$13=H$32,IF($A$14:$A$28=$A35,$C$14:$CV$28)))</f>
        <v>2046.9330199999997</v>
      </c>
      <c r="I35" s="288"/>
      <c r="J35">
        <f t="array" ref="J35">SUM(IF($C$13:$CV$13=J$32,IF($A$14:$A$28=$A35,$C$14:$CV$28)))</f>
        <v>3808.5632000000001</v>
      </c>
      <c r="K35">
        <f t="array" ref="K35">SUM(IF($C$13:$CV$13=K$32,IF($A$14:$A$28=$A35,$C$14:$CV$28)))</f>
        <v>2057.3108499999998</v>
      </c>
      <c r="L35">
        <f t="array" ref="L35">SUM(IF($C$13:$CV$13=L$32,IF($A$14:$A$28=$A35,$C$14:$CV$28)))</f>
        <v>1122.91563</v>
      </c>
      <c r="P35">
        <f t="array" ref="P35">SUM(IF($C$13:$CV$13=P$33,IF($A$14:$A$28=$A37,$C$14:$CV$28)))</f>
        <v>228641.62985999999</v>
      </c>
      <c r="Q35">
        <f t="array" ref="Q35">SUM(IF($C$13:$CV$13=Q$33,IF($A$14:$A$28=$A37,$C$14:$CV$28)))</f>
        <v>419125.52236990002</v>
      </c>
      <c r="R35">
        <f t="array" ref="R35">SUM(IF($C$13:$CV$13=R$33,IF($A$14:$A$28=$A37,$C$14:$CV$28)))</f>
        <v>492149.30671969999</v>
      </c>
    </row>
    <row r="36" spans="1:21" s="288" customFormat="1">
      <c r="A36" s="287" t="s">
        <v>518</v>
      </c>
      <c r="B36">
        <f t="array" ref="B36">SUM(IF($C$13:$CV$13=B$32,IF($A$14:$A$28=$A36,$C$14:$CV$28)))</f>
        <v>517599.86504</v>
      </c>
      <c r="C36">
        <f t="array" ref="C36">SUM(IF($C$13:$CV$13=C$32,IF($A$14:$A$28=$A36,$C$14:$CV$28)))</f>
        <v>373828.93987</v>
      </c>
      <c r="D36">
        <f t="array" ref="D36">SUM(IF($C$13:$CV$13=D$32,IF($A$14:$A$28=$A36,$C$14:$CV$28)))</f>
        <v>70754.479289999974</v>
      </c>
      <c r="F36">
        <f t="array" ref="F36">SUM(IF($C$13:$CV$13=F$32,IF($A$14:$A$28=$A36,$C$14:$CV$28)))</f>
        <v>558367.68691000016</v>
      </c>
      <c r="G36">
        <f t="array" ref="G36">SUM(IF($C$13:$CV$13=G$32,IF($A$14:$A$28=$A36,$C$14:$CV$28)))</f>
        <v>274996.69072999991</v>
      </c>
      <c r="H36">
        <f t="array" ref="H36">SUM(IF($C$13:$CV$13=H$32,IF($A$14:$A$28=$A36,$C$14:$CV$28)))</f>
        <v>29978.59567000001</v>
      </c>
      <c r="J36">
        <f t="array" ref="J36">SUM(IF($C$13:$CV$13=J$32,IF($A$14:$A$28=$A36,$C$14:$CV$28)))</f>
        <v>96272.62513</v>
      </c>
      <c r="K36">
        <f t="array" ref="K36">SUM(IF($C$13:$CV$13=K$32,IF($A$14:$A$28=$A36,$C$14:$CV$28)))</f>
        <v>48355.614489999993</v>
      </c>
      <c r="L36">
        <f t="array" ref="L36">SUM(IF($C$13:$CV$13=L$32,IF($A$14:$A$28=$A36,$C$14:$CV$28)))</f>
        <v>7017.2825399999992</v>
      </c>
      <c r="P36">
        <f t="array" ref="P36">SUM(IF($C$13:$CV$13=P$33,IF($A$14:$A$28=$A34,$C$14:$CV$28)))</f>
        <v>1107747.8739400001</v>
      </c>
      <c r="Q36">
        <f t="array" ref="Q36">SUM(IF($C$13:$CV$13=Q$33,IF($A$14:$A$28=$A34,$C$14:$CV$28)))</f>
        <v>83495.386759999994</v>
      </c>
      <c r="R36">
        <f t="array" ref="R36">SUM(IF($C$13:$CV$13=R$33,IF($A$14:$A$28=$A34,$C$14:$CV$28)))</f>
        <v>70917.859159999993</v>
      </c>
    </row>
    <row r="37" spans="1:21" s="288" customFormat="1">
      <c r="A37" s="282" t="s">
        <v>514</v>
      </c>
      <c r="B37">
        <f t="array" ref="B37">SUM(IF($C$13:$CV$13=B$32,IF($A$14:$A$28=$A37,$C$14:$CV$28)))</f>
        <v>124991.09385</v>
      </c>
      <c r="C37">
        <f t="array" ref="C37">SUM(IF($C$13:$CV$13=C$32,IF($A$14:$A$28=$A37,$C$14:$CV$28)))</f>
        <v>80149.682050000003</v>
      </c>
      <c r="D37">
        <f t="array" ref="D37">SUM(IF($C$13:$CV$13=D$32,IF($A$14:$A$28=$A37,$C$14:$CV$28)))</f>
        <v>23500.85396</v>
      </c>
      <c r="E37"/>
      <c r="F37">
        <f t="array" ref="F37">SUM(IF($C$13:$CV$13=F$32,IF($A$14:$A$28=$A37,$C$14:$CV$28)))</f>
        <v>296117.44735000003</v>
      </c>
      <c r="G37">
        <f t="array" ref="G37">SUM(IF($C$13:$CV$13=G$32,IF($A$14:$A$28=$A37,$C$14:$CV$28)))</f>
        <v>133122.73269999999</v>
      </c>
      <c r="H37">
        <f t="array" ref="H37">SUM(IF($C$13:$CV$13=H$32,IF($A$14:$A$28=$A37,$C$14:$CV$28)))</f>
        <v>15394.724949999996</v>
      </c>
      <c r="I37"/>
      <c r="J37">
        <f t="array" ref="J37">SUM(IF($C$13:$CV$13=J$32,IF($A$14:$A$28=$A37,$C$14:$CV$28)))</f>
        <v>303193.81331990001</v>
      </c>
      <c r="K37">
        <f t="array" ref="K37">SUM(IF($C$13:$CV$13=K$32,IF($A$14:$A$28=$A37,$C$14:$CV$28)))</f>
        <v>146938.52568989998</v>
      </c>
      <c r="L37">
        <f t="array" ref="L37">SUM(IF($C$13:$CV$13=L$32,IF($A$14:$A$28=$A37,$C$14:$CV$28)))</f>
        <v>16507.585080000001</v>
      </c>
      <c r="P37">
        <f t="array" ref="P37">SUM(IF($C$13:$CV$13=P$33,IF($A$14:$A$28=$A35,$C$14:$CV$28)))</f>
        <v>547276.32607000007</v>
      </c>
      <c r="Q37">
        <f t="array" ref="Q37">SUM(IF($C$13:$CV$13=Q$33,IF($A$14:$A$28=$A35,$C$14:$CV$28)))</f>
        <v>17751.370750000002</v>
      </c>
      <c r="R37">
        <f t="array" ref="R37">SUM(IF($C$13:$CV$13=R$33,IF($A$14:$A$28=$A35,$C$14:$CV$28)))</f>
        <v>8028.7105900000006</v>
      </c>
    </row>
    <row r="38" spans="1:21" s="288" customFormat="1">
      <c r="A38" s="287" t="s">
        <v>519</v>
      </c>
      <c r="B38">
        <f t="array" ref="B38">SUM(IF($C$13:$CV$13=B$32,IF($A$14:$A$28=$A38,$C$14:$CV$28)))</f>
        <v>3948066.7081312998</v>
      </c>
      <c r="C38">
        <f t="array" ref="C38">SUM(IF($C$13:$CV$13=C$32,IF($A$14:$A$28=$A38,$C$14:$CV$28)))</f>
        <v>3406768.0490309997</v>
      </c>
      <c r="D38">
        <f t="array" ref="D38">SUM(IF($C$13:$CV$13=D$32,IF($A$14:$A$28=$A38,$C$14:$CV$28)))</f>
        <v>3248266.0987093002</v>
      </c>
      <c r="F38">
        <f t="array" ref="F38">SUM(IF($C$13:$CV$13=F$32,IF($A$14:$A$28=$A38,$C$14:$CV$28)))</f>
        <v>1636495.7988897995</v>
      </c>
      <c r="G38">
        <f t="array" ref="G38">SUM(IF($C$13:$CV$13=G$32,IF($A$14:$A$28=$A38,$C$14:$CV$28)))</f>
        <v>812804.36345989991</v>
      </c>
      <c r="H38">
        <f t="array" ref="H38">SUM(IF($C$13:$CV$13=H$32,IF($A$14:$A$28=$A38,$C$14:$CV$28)))</f>
        <v>131845.96426000001</v>
      </c>
      <c r="J38">
        <f t="array" ref="J38">SUM(IF($C$13:$CV$13=J$32,IF($A$14:$A$28=$A38,$C$14:$CV$28)))</f>
        <v>783332.71193960006</v>
      </c>
      <c r="K38">
        <f t="array" ref="K38">SUM(IF($C$13:$CV$13=K$32,IF($A$14:$A$28=$A38,$C$14:$CV$28)))</f>
        <v>400258.38760980003</v>
      </c>
      <c r="L38">
        <f t="array" ref="L38">SUM(IF($C$13:$CV$13=L$32,IF($A$14:$A$28=$A38,$C$14:$CV$28)))</f>
        <v>82323.408920000002</v>
      </c>
      <c r="P38">
        <f t="array" ref="P38">SUM(IF($C$13:$CV$13=P$33,IF($A$14:$A$28=$A36,$C$14:$CV$28)))</f>
        <v>962183.28419989988</v>
      </c>
      <c r="Q38">
        <f t="array" ref="Q38">SUM(IF($C$13:$CV$13=Q$33,IF($A$14:$A$28=$A36,$C$14:$CV$28)))</f>
        <v>829120.02676989988</v>
      </c>
      <c r="R38">
        <f t="array" ref="R38">SUM(IF($C$13:$CV$13=R$33,IF($A$14:$A$28=$A36,$C$14:$CV$28)))</f>
        <v>185868.4687</v>
      </c>
    </row>
    <row r="39" spans="1:21" s="288" customFormat="1">
      <c r="A39" s="287" t="s">
        <v>162</v>
      </c>
      <c r="B39">
        <f t="array" ref="B39">SUM(IF($C$13:$CV$13=B$32,IF($A$14:$A$28=$A39,$C$14:$CV$28)))</f>
        <v>33865.384900000005</v>
      </c>
      <c r="C39">
        <f t="array" ref="C39">SUM(IF($C$13:$CV$13=C$32,IF($A$14:$A$28=$A39,$C$14:$CV$28)))</f>
        <v>28870.937280000002</v>
      </c>
      <c r="D39">
        <f t="array" ref="D39">SUM(IF($C$13:$CV$13=D$32,IF($A$14:$A$28=$A39,$C$14:$CV$28)))</f>
        <v>13992.685890000002</v>
      </c>
      <c r="F39">
        <f t="array" ref="F39">SUM(IF($C$13:$CV$13=F$32,IF($A$14:$A$28=$A39,$C$14:$CV$28)))</f>
        <v>16626.885200000001</v>
      </c>
      <c r="G39">
        <f t="array" ref="G39">SUM(IF($C$13:$CV$13=G$32,IF($A$14:$A$28=$A39,$C$14:$CV$28)))</f>
        <v>7398.0866999999998</v>
      </c>
      <c r="H39">
        <f t="array" ref="H39">SUM(IF($C$13:$CV$13=H$32,IF($A$14:$A$28=$A39,$C$14:$CV$28)))</f>
        <v>1173.3952400000001</v>
      </c>
      <c r="J39">
        <f t="array" ref="J39">SUM(IF($C$13:$CV$13=J$32,IF($A$14:$A$28=$A39,$C$14:$CV$28)))</f>
        <v>7937.4576799999995</v>
      </c>
      <c r="K39">
        <f t="array" ref="K39">SUM(IF($C$13:$CV$13=K$32,IF($A$14:$A$28=$A39,$C$14:$CV$28)))</f>
        <v>3280.6469999999999</v>
      </c>
      <c r="L39">
        <f t="array" ref="L39">SUM(IF($C$13:$CV$13=L$32,IF($A$14:$A$28=$A39,$C$14:$CV$28)))</f>
        <v>680.65490000000011</v>
      </c>
      <c r="O39" s="288">
        <f>SUM(B33:M38)</f>
        <v>28786496.847111896</v>
      </c>
      <c r="P39">
        <f t="array" ref="P39">SUM(IF($C$13:$CV$13=P$33,IF($A$14:$A$28=$A39,$C$14:$CV$28)))</f>
        <v>76729.008069999996</v>
      </c>
      <c r="Q39">
        <f t="array" ref="Q39">SUM(IF($C$13:$CV$13=Q$33,IF($A$14:$A$28=$A39,$C$14:$CV$28)))</f>
        <v>24062.682810000002</v>
      </c>
      <c r="R39">
        <f t="array" ref="R39">SUM(IF($C$13:$CV$13=R$33,IF($A$14:$A$28=$A39,$C$14:$CV$28)))</f>
        <v>13034.44391</v>
      </c>
    </row>
    <row r="40" spans="1:21">
      <c r="O40">
        <f>SUM(M39:M39)</f>
        <v>0</v>
      </c>
      <c r="P40">
        <f t="array" ref="P40">SUM(IF($C$13:$CV$13=P$33,IF($A$14:$A$28=$A38,$C$14:$CV$28)))</f>
        <v>10603100.8558717</v>
      </c>
      <c r="Q40">
        <f t="array" ref="Q40">SUM(IF($C$13:$CV$13=Q$33,IF($A$14:$A$28=$A38,$C$14:$CV$28)))</f>
        <v>2453322.4660596</v>
      </c>
      <c r="R40">
        <f t="array" ref="R40">SUM(IF($C$13:$CV$13=R$33,IF($A$14:$A$28=$A38,$C$14:$CV$28)))</f>
        <v>1393738.1690193999</v>
      </c>
    </row>
    <row r="41" spans="1:21">
      <c r="P41">
        <f>SUM(P34:P40)</f>
        <v>21206201.711743496</v>
      </c>
      <c r="Q41">
        <f>SUM(Q34:Q40)</f>
        <v>4906644.9321192</v>
      </c>
      <c r="R41">
        <f>SUM(R34:R40)</f>
        <v>2787476.3380387998</v>
      </c>
    </row>
    <row r="42" spans="1:21">
      <c r="A42" s="287" t="s">
        <v>538</v>
      </c>
      <c r="P42" t="str">
        <f>P33</f>
        <v>pT</v>
      </c>
      <c r="Q42" t="str">
        <f>Q33</f>
        <v>sT</v>
      </c>
      <c r="R42" t="str">
        <f>R33</f>
        <v>nT</v>
      </c>
    </row>
    <row r="43" spans="1:21">
      <c r="B43" t="str">
        <f>B32</f>
        <v>pl</v>
      </c>
      <c r="C43" t="str">
        <f>C32</f>
        <v>pm</v>
      </c>
      <c r="D43" t="str">
        <f>D32</f>
        <v>ph</v>
      </c>
      <c r="F43" t="str">
        <f>F32</f>
        <v>sl</v>
      </c>
      <c r="G43" t="str">
        <f>G32</f>
        <v>sm</v>
      </c>
      <c r="H43" t="str">
        <f>H32</f>
        <v>sh</v>
      </c>
      <c r="J43" t="str">
        <f>J32</f>
        <v>nl</v>
      </c>
      <c r="K43" t="str">
        <f>K32</f>
        <v>nm</v>
      </c>
      <c r="L43" t="str">
        <f>L32</f>
        <v>nh</v>
      </c>
      <c r="P43" s="50">
        <f t="shared" ref="P43:R48" si="2">P34/P$40</f>
        <v>0.72436571509914882</v>
      </c>
      <c r="Q43" s="50">
        <f t="shared" si="2"/>
        <v>0.44012456231816388</v>
      </c>
      <c r="R43" s="50">
        <f t="shared" si="2"/>
        <v>0.44752981141253223</v>
      </c>
    </row>
    <row r="44" spans="1:21">
      <c r="A44" s="287" t="s">
        <v>27</v>
      </c>
      <c r="B44" s="50">
        <f>B38/($B$38+$F$38+$J$38)</f>
        <v>0.61999555149333341</v>
      </c>
      <c r="C44" s="50">
        <f>C38/($C$38+$G$38+$K$38)</f>
        <v>0.73742268850121984</v>
      </c>
      <c r="D44" s="50">
        <f>D38/($D$38+$H$38+$L$38)</f>
        <v>0.93814487665725743</v>
      </c>
      <c r="F44" s="50">
        <f>F38/($B$38+$F$38+$J$38)</f>
        <v>0.25699163422429727</v>
      </c>
      <c r="G44" s="50">
        <f>G38/($C$38+$G$38+$K$38)</f>
        <v>0.17593812384691296</v>
      </c>
      <c r="H44" s="50">
        <f>H38/($D$38+$H$38+$L$38)</f>
        <v>3.8078966476177367E-2</v>
      </c>
      <c r="J44" s="50">
        <f>J38/($B$38+$F$38+$J$38)</f>
        <v>0.12301281428236932</v>
      </c>
      <c r="K44" s="50">
        <f>K38/($C$38+$G$38+$K$38)</f>
        <v>8.6639187651867136E-2</v>
      </c>
      <c r="L44" s="50">
        <f>L38/($D$38+$H$38+$L$38)</f>
        <v>2.3776156866565288E-2</v>
      </c>
      <c r="P44" s="50">
        <f t="shared" si="2"/>
        <v>2.1563656987510844E-2</v>
      </c>
      <c r="Q44" s="50">
        <f t="shared" si="2"/>
        <v>0.1708399642396288</v>
      </c>
      <c r="R44" s="50">
        <f t="shared" si="2"/>
        <v>0.35311460764970237</v>
      </c>
      <c r="U44" s="12"/>
    </row>
    <row r="45" spans="1:21">
      <c r="A45" s="287"/>
      <c r="P45" s="50">
        <f t="shared" si="2"/>
        <v>0.10447395427032653</v>
      </c>
      <c r="Q45" s="50">
        <f t="shared" si="2"/>
        <v>3.4033596445275281E-2</v>
      </c>
      <c r="R45" s="50">
        <f t="shared" si="2"/>
        <v>5.0883200830968173E-2</v>
      </c>
    </row>
    <row r="46" spans="1:21">
      <c r="A46" s="287" t="s">
        <v>539</v>
      </c>
      <c r="B46" s="50">
        <f>B33/($B$38+$F$38+$J$38)</f>
        <v>0.44110555176341937</v>
      </c>
      <c r="C46" s="50">
        <f>C33/($C$33+$C$34+$C$35+$G$33+$G$34+$G$35+$K$33+$K$34+$K$35)</f>
        <v>0.69342913093678915</v>
      </c>
      <c r="D46" s="50">
        <f>D33/($D$33+$D$34+$D$35+$H$33+$H$34+$H$35+$L$33+$L$34+$L$35)</f>
        <v>0.73969328538307244</v>
      </c>
      <c r="E46" s="50"/>
      <c r="F46" s="50">
        <f>F33/($B$38+$F$38+$J$38)</f>
        <v>0.11005830654735296</v>
      </c>
      <c r="G46" s="50">
        <f>G33/($C$33+$C$34+$C$35+$G$33+$G$34+$G$35+$K$33+$K$34+$K$35)</f>
        <v>0.10326941444516535</v>
      </c>
      <c r="H46" s="50">
        <f>H33/($D$33+$D$34+$D$35+$H$33+$H$34+$H$35+$L$33+$L$34+$L$35)</f>
        <v>2.3308884334025434E-2</v>
      </c>
      <c r="I46" s="50"/>
      <c r="J46" s="50">
        <f>J33/($B$38+$F$38+$J$38)</f>
        <v>5.2053757570150391E-2</v>
      </c>
      <c r="K46" s="50">
        <f>K33/($C$33+$C$34+$C$35+$G$33+$G$34+$G$35+$K$33+$K$34+$K$35)</f>
        <v>5.1044801113313838E-2</v>
      </c>
      <c r="L46" s="50">
        <f>L33/($D$33+$D$34+$D$35+$H$33+$H$34+$H$35+$L$33+$L$34+$L$35)</f>
        <v>1.5541394825358833E-2</v>
      </c>
      <c r="N46" s="12">
        <f>C46+C47+C48+G46+G47+G48+K46+K47+K48</f>
        <v>1</v>
      </c>
      <c r="P46" s="50">
        <f t="shared" si="2"/>
        <v>5.1614743036885645E-2</v>
      </c>
      <c r="Q46" s="50">
        <f t="shared" si="2"/>
        <v>7.2356451284251019E-3</v>
      </c>
      <c r="R46" s="50">
        <f t="shared" si="2"/>
        <v>5.7605587394143083E-3</v>
      </c>
    </row>
    <row r="47" spans="1:21">
      <c r="A47" s="287" t="s">
        <v>540</v>
      </c>
      <c r="B47" s="50">
        <f>B34/($B$38+$F$38+$J$38)</f>
        <v>5.4898154751210813E-2</v>
      </c>
      <c r="C47" s="50">
        <f>C34/($C$33+$C$34+$C$35+$G$33+$G$34+$G$35+$K$33+$K$34+$K$35)</f>
        <v>0.10251308467926475</v>
      </c>
      <c r="D47" s="50">
        <f>D34/($D$33+$D$34+$D$35+$H$33+$H$34+$H$35+$L$33+$L$34+$L$35)</f>
        <v>0.12091603404949831</v>
      </c>
      <c r="E47" s="50"/>
      <c r="F47" s="50">
        <f>F34/($B$38+$F$38+$J$38)</f>
        <v>8.4209510122485766E-3</v>
      </c>
      <c r="G47" s="50">
        <f>G34/($C$33+$C$34+$C$35+$G$33+$G$34+$G$35+$K$33+$K$34+$K$35)</f>
        <v>7.8504030194628902E-3</v>
      </c>
      <c r="H47" s="50">
        <f>H34/($D$33+$D$34+$D$35+$H$33+$H$34+$H$35+$L$33+$L$34+$L$35)</f>
        <v>2.0463640398918734E-3</v>
      </c>
      <c r="I47" s="50"/>
      <c r="J47" s="50">
        <f>J34/($B$38+$F$38+$J$38)</f>
        <v>6.3831732860444327E-3</v>
      </c>
      <c r="K47" s="50">
        <f>K34/($C$33+$C$34+$C$35+$G$33+$G$34+$G$35+$K$33+$K$34+$K$35)</f>
        <v>5.6207063086738934E-3</v>
      </c>
      <c r="L47" s="50">
        <f>L34/($D$33+$D$34+$D$35+$H$33+$H$34+$H$35+$L$33+$L$34+$L$35)</f>
        <v>1.8169408958921538E-3</v>
      </c>
      <c r="P47" s="50">
        <f t="shared" si="2"/>
        <v>9.0745461849216474E-2</v>
      </c>
      <c r="Q47" s="50">
        <f t="shared" si="2"/>
        <v>0.33795802966806465</v>
      </c>
      <c r="R47" s="50">
        <f t="shared" si="2"/>
        <v>0.13335967460141562</v>
      </c>
    </row>
    <row r="48" spans="1:21">
      <c r="A48" s="287" t="s">
        <v>541</v>
      </c>
      <c r="B48" s="50">
        <f>B35/($B$38+$F$38+$J$38)</f>
        <v>1.7762656129015376E-2</v>
      </c>
      <c r="C48" s="50">
        <f>C35/($C$33+$C$34+$C$35+$G$33+$G$34+$G$35+$K$33+$K$34+$K$35)</f>
        <v>3.4035264982771769E-2</v>
      </c>
      <c r="D48" s="50">
        <f>D35/($D$33+$D$34+$D$35+$H$33+$H$34+$H$35+$L$33+$L$34+$L$35)</f>
        <v>9.5711690291524557E-2</v>
      </c>
      <c r="E48" s="50"/>
      <c r="F48" s="50">
        <f>F35/($B$38+$F$38+$J$38)</f>
        <v>1.7148965701389623E-3</v>
      </c>
      <c r="G48" s="50">
        <f>G35/($C$33+$C$34+$C$35+$G$33+$G$34+$G$35+$K$33+$K$34+$K$35)</f>
        <v>1.6532104937895535E-3</v>
      </c>
      <c r="H48" s="50">
        <f>H35/($D$33+$D$34+$D$35+$H$33+$H$34+$H$35+$L$33+$L$34+$L$35)</f>
        <v>6.2341203232578056E-4</v>
      </c>
      <c r="I48" s="50"/>
      <c r="J48" s="50">
        <f>J35/($B$38+$F$38+$J$38)</f>
        <v>5.9808823308835687E-4</v>
      </c>
      <c r="K48" s="50">
        <f>K35/($C$33+$C$34+$C$35+$G$33+$G$34+$G$35+$K$33+$K$34+$K$35)</f>
        <v>5.8398402076872025E-4</v>
      </c>
      <c r="L48" s="50">
        <f>L35/($D$33+$D$34+$D$35+$H$33+$H$34+$H$35+$L$33+$L$34+$L$35)</f>
        <v>3.4199414841072049E-4</v>
      </c>
      <c r="P48" s="50">
        <f t="shared" si="2"/>
        <v>7.2364687569212004E-3</v>
      </c>
      <c r="Q48" s="50">
        <f t="shared" si="2"/>
        <v>9.8082022004421787E-3</v>
      </c>
      <c r="R48" s="50">
        <f t="shared" si="2"/>
        <v>9.352146765967323E-3</v>
      </c>
    </row>
    <row r="49" spans="1:12">
      <c r="A49" s="287" t="s">
        <v>533</v>
      </c>
      <c r="B49" s="50">
        <f>B36/($B$38+$F$38+$J$38)</f>
        <v>8.1282723292748715E-2</v>
      </c>
      <c r="C49" s="50">
        <f>C36/($C$36+$C$37+$G$37+$G$36+$K$37+$K$36)</f>
        <v>0.35353858765530777</v>
      </c>
      <c r="D49" s="50">
        <f>D36/($D$36+$D$37+$H$37+$H$36+$L$37+$L$36)</f>
        <v>0.43366810991166177</v>
      </c>
      <c r="E49" s="50"/>
      <c r="F49" s="50">
        <f>F36/($B$38+$F$38+$J$38)</f>
        <v>8.7684810712248346E-2</v>
      </c>
      <c r="G49" s="50">
        <f>G36/($C$36+$C$37+$G$37+$G$36+$K$37+$K$36)</f>
        <v>0.26007066677175078</v>
      </c>
      <c r="H49" s="50">
        <f>H36/($D$36+$D$37+$H$37+$H$36+$L$37+$L$36)</f>
        <v>0.18374470496389173</v>
      </c>
      <c r="I49" s="50"/>
      <c r="J49" s="50">
        <f>J36/($B$38+$F$38+$J$38)</f>
        <v>1.5118437383100125E-2</v>
      </c>
      <c r="K49" s="50">
        <f>K36/($C$36+$C$37+$G$37+$G$36+$K$37+$K$36)</f>
        <v>4.573101177759048E-2</v>
      </c>
      <c r="L49" s="50">
        <f>L36/($D$36+$D$37+$H$37+$H$36+$L$37+$L$36)</f>
        <v>4.3010303889947629E-2</v>
      </c>
    </row>
    <row r="50" spans="1:12">
      <c r="A50" s="287" t="s">
        <v>532</v>
      </c>
      <c r="B50" s="50">
        <f>B37/($B$38+$F$38+$J$38)</f>
        <v>1.9628321376556779E-2</v>
      </c>
      <c r="C50" s="50">
        <f>C37/($C$36+$C$37+$G$37+$G$36+$K$37+$K$36)</f>
        <v>7.5799389428846509E-2</v>
      </c>
      <c r="D50" s="50">
        <f>D37/($D$36+$D$37+$H$37+$H$36+$L$37+$L$36)</f>
        <v>0.14404135286433534</v>
      </c>
      <c r="E50" s="50"/>
      <c r="F50" s="50">
        <f>F37/($B$38+$F$38+$J$38)</f>
        <v>4.6501620577596312E-2</v>
      </c>
      <c r="G50" s="50">
        <f>G37/($C$36+$C$37+$G$37+$G$36+$K$37+$K$36)</f>
        <v>0.12589721630417294</v>
      </c>
      <c r="H50" s="50">
        <f>H37/($D$36+$D$37+$H$37+$H$36+$L$37+$L$36)</f>
        <v>9.4357294953903728E-2</v>
      </c>
      <c r="I50" s="50"/>
      <c r="J50" s="50">
        <f>J37/($B$38+$F$38+$J$38)</f>
        <v>4.7612877237226917E-2</v>
      </c>
      <c r="K50" s="50">
        <f>K37/($C$36+$C$37+$G$37+$G$36+$K$37+$K$36)</f>
        <v>0.13896312806233141</v>
      </c>
      <c r="L50" s="50">
        <f>L37/($D$36+$D$37+$H$37+$H$36+$L$37+$L$36)</f>
        <v>0.10117823341625996</v>
      </c>
    </row>
    <row r="52" spans="1:12">
      <c r="A52" t="s">
        <v>534</v>
      </c>
      <c r="E52" t="s">
        <v>536</v>
      </c>
    </row>
    <row r="53" spans="1:12">
      <c r="A53" s="287" t="s">
        <v>539</v>
      </c>
      <c r="B53">
        <f>(E53+E55)/2*C53</f>
        <v>52.5</v>
      </c>
      <c r="C53">
        <v>0.7</v>
      </c>
      <c r="E53">
        <v>91</v>
      </c>
    </row>
    <row r="54" spans="1:12">
      <c r="A54" s="287" t="s">
        <v>540</v>
      </c>
      <c r="B54">
        <v>25</v>
      </c>
      <c r="E54">
        <v>25</v>
      </c>
    </row>
    <row r="55" spans="1:12">
      <c r="A55" s="287" t="s">
        <v>541</v>
      </c>
      <c r="B55">
        <f>E55/2+E54/2</f>
        <v>42</v>
      </c>
      <c r="E55">
        <v>59</v>
      </c>
    </row>
    <row r="56" spans="1:12">
      <c r="A56" s="287" t="s">
        <v>533</v>
      </c>
      <c r="B56">
        <v>2.7</v>
      </c>
      <c r="E56">
        <v>2.7</v>
      </c>
    </row>
    <row r="57" spans="1:12">
      <c r="A57" s="287" t="s">
        <v>532</v>
      </c>
      <c r="B57">
        <v>5.6</v>
      </c>
      <c r="E57">
        <v>5.6</v>
      </c>
    </row>
    <row r="58" spans="1:12">
      <c r="A58" t="s">
        <v>535</v>
      </c>
    </row>
    <row r="59" spans="1:12">
      <c r="B59" t="str">
        <f>B43</f>
        <v>pl</v>
      </c>
      <c r="C59" t="str">
        <f>C43</f>
        <v>pm</v>
      </c>
      <c r="D59" t="str">
        <f>D43</f>
        <v>ph</v>
      </c>
      <c r="F59" t="str">
        <f>F43</f>
        <v>sl</v>
      </c>
      <c r="G59" t="str">
        <f>G43</f>
        <v>sm</v>
      </c>
      <c r="H59" t="str">
        <f>H43</f>
        <v>sh</v>
      </c>
      <c r="J59" t="str">
        <f>J43</f>
        <v>nl</v>
      </c>
      <c r="K59" t="str">
        <f>K43</f>
        <v>nm</v>
      </c>
      <c r="L59" t="str">
        <f>L43</f>
        <v>nh</v>
      </c>
    </row>
    <row r="60" spans="1:12">
      <c r="A60" s="287" t="s">
        <v>539</v>
      </c>
      <c r="B60">
        <f>B56</f>
        <v>2.7</v>
      </c>
      <c r="C60">
        <f>B55</f>
        <v>42</v>
      </c>
      <c r="D60">
        <f>B53</f>
        <v>52.5</v>
      </c>
      <c r="F60">
        <f>B60</f>
        <v>2.7</v>
      </c>
      <c r="G60">
        <f>F60</f>
        <v>2.7</v>
      </c>
      <c r="H60">
        <f>G60</f>
        <v>2.7</v>
      </c>
      <c r="J60">
        <f>F60</f>
        <v>2.7</v>
      </c>
      <c r="K60">
        <f>J60</f>
        <v>2.7</v>
      </c>
      <c r="L60">
        <f>K60</f>
        <v>2.7</v>
      </c>
    </row>
    <row r="61" spans="1:12">
      <c r="A61" s="287" t="s">
        <v>540</v>
      </c>
      <c r="B61">
        <f>B60</f>
        <v>2.7</v>
      </c>
      <c r="C61">
        <f>B54</f>
        <v>25</v>
      </c>
      <c r="D61">
        <f>B54</f>
        <v>25</v>
      </c>
      <c r="F61">
        <f t="shared" ref="F61:F63" si="3">B61</f>
        <v>2.7</v>
      </c>
      <c r="G61">
        <f t="shared" ref="G61:H63" si="4">F61</f>
        <v>2.7</v>
      </c>
      <c r="H61">
        <f t="shared" si="4"/>
        <v>2.7</v>
      </c>
      <c r="J61">
        <f t="shared" ref="J61:J63" si="5">F61</f>
        <v>2.7</v>
      </c>
      <c r="K61">
        <f t="shared" ref="K61:L63" si="6">J61</f>
        <v>2.7</v>
      </c>
      <c r="L61">
        <f t="shared" si="6"/>
        <v>2.7</v>
      </c>
    </row>
    <row r="62" spans="1:12">
      <c r="A62" s="287" t="s">
        <v>541</v>
      </c>
      <c r="B62">
        <f>B64</f>
        <v>5.6</v>
      </c>
      <c r="C62">
        <f>C60/2+C61/2</f>
        <v>33.5</v>
      </c>
      <c r="D62">
        <f>B55</f>
        <v>42</v>
      </c>
      <c r="F62">
        <f t="shared" si="3"/>
        <v>5.6</v>
      </c>
      <c r="G62">
        <f t="shared" si="4"/>
        <v>5.6</v>
      </c>
      <c r="H62">
        <f t="shared" si="4"/>
        <v>5.6</v>
      </c>
      <c r="J62">
        <f t="shared" si="5"/>
        <v>5.6</v>
      </c>
      <c r="K62">
        <f t="shared" si="6"/>
        <v>5.6</v>
      </c>
      <c r="L62">
        <f t="shared" si="6"/>
        <v>5.6</v>
      </c>
    </row>
    <row r="63" spans="1:12">
      <c r="A63" s="287" t="s">
        <v>533</v>
      </c>
      <c r="B63">
        <f t="shared" ref="B63" si="7">B61</f>
        <v>2.7</v>
      </c>
      <c r="C63">
        <f>B56</f>
        <v>2.7</v>
      </c>
      <c r="D63">
        <f>B56</f>
        <v>2.7</v>
      </c>
      <c r="F63">
        <f t="shared" si="3"/>
        <v>2.7</v>
      </c>
      <c r="G63">
        <f t="shared" si="4"/>
        <v>2.7</v>
      </c>
      <c r="H63">
        <f t="shared" si="4"/>
        <v>2.7</v>
      </c>
      <c r="J63">
        <f t="shared" si="5"/>
        <v>2.7</v>
      </c>
      <c r="K63">
        <f t="shared" si="6"/>
        <v>2.7</v>
      </c>
      <c r="L63">
        <f t="shared" si="6"/>
        <v>2.7</v>
      </c>
    </row>
    <row r="64" spans="1:12">
      <c r="A64" s="287" t="s">
        <v>532</v>
      </c>
      <c r="B64">
        <f>B57</f>
        <v>5.6</v>
      </c>
      <c r="C64">
        <f>B57</f>
        <v>5.6</v>
      </c>
      <c r="D64">
        <f>B57</f>
        <v>5.6</v>
      </c>
      <c r="F64">
        <f>B64</f>
        <v>5.6</v>
      </c>
      <c r="G64">
        <f>F64</f>
        <v>5.6</v>
      </c>
      <c r="H64">
        <f>G64</f>
        <v>5.6</v>
      </c>
      <c r="J64">
        <f>F64</f>
        <v>5.6</v>
      </c>
      <c r="K64">
        <f>J64</f>
        <v>5.6</v>
      </c>
      <c r="L64">
        <f>K64</f>
        <v>5.6</v>
      </c>
    </row>
    <row r="65" spans="1:12">
      <c r="A65" t="s">
        <v>535</v>
      </c>
    </row>
    <row r="66" spans="1:12">
      <c r="B66" t="str">
        <f>B59</f>
        <v>pl</v>
      </c>
      <c r="C66" t="str">
        <f t="shared" ref="C66:D66" si="8">C59</f>
        <v>pm</v>
      </c>
      <c r="D66" t="str">
        <f t="shared" si="8"/>
        <v>ph</v>
      </c>
      <c r="F66" t="str">
        <f>F59</f>
        <v>sl</v>
      </c>
      <c r="G66" t="str">
        <f t="shared" ref="G66:H66" si="9">G59</f>
        <v>sm</v>
      </c>
      <c r="H66" t="str">
        <f t="shared" si="9"/>
        <v>sh</v>
      </c>
      <c r="J66" t="str">
        <f>J59</f>
        <v>nl</v>
      </c>
      <c r="K66" t="str">
        <f t="shared" ref="K66:L66" si="10">K59</f>
        <v>nm</v>
      </c>
      <c r="L66" t="str">
        <f t="shared" si="10"/>
        <v>nh</v>
      </c>
    </row>
    <row r="67" spans="1:12">
      <c r="A67" s="287" t="s">
        <v>539</v>
      </c>
      <c r="B67">
        <f t="shared" ref="B67:D71" si="11">B60*$D107</f>
        <v>9.4520151879631591</v>
      </c>
      <c r="C67">
        <f t="shared" si="11"/>
        <v>147.03134736831581</v>
      </c>
      <c r="D67">
        <f t="shared" si="11"/>
        <v>183.78918421039475</v>
      </c>
      <c r="F67">
        <f t="shared" ref="F67:H71" si="12">F60*$D107</f>
        <v>9.4520151879631591</v>
      </c>
      <c r="G67">
        <f t="shared" si="12"/>
        <v>9.4520151879631591</v>
      </c>
      <c r="H67">
        <f t="shared" si="12"/>
        <v>9.4520151879631591</v>
      </c>
      <c r="J67">
        <f t="shared" ref="J67:L71" si="13">J60*$D107</f>
        <v>9.4520151879631591</v>
      </c>
      <c r="K67">
        <f t="shared" si="13"/>
        <v>9.4520151879631591</v>
      </c>
      <c r="L67">
        <f t="shared" si="13"/>
        <v>9.4520151879631591</v>
      </c>
    </row>
    <row r="68" spans="1:12">
      <c r="A68" s="287" t="s">
        <v>540</v>
      </c>
      <c r="B68">
        <f t="shared" si="11"/>
        <v>6.6952855184763331</v>
      </c>
      <c r="C68">
        <f t="shared" si="11"/>
        <v>61.99338443033642</v>
      </c>
      <c r="D68">
        <f t="shared" si="11"/>
        <v>61.99338443033642</v>
      </c>
      <c r="F68">
        <f t="shared" si="12"/>
        <v>6.6952855184763331</v>
      </c>
      <c r="G68">
        <f t="shared" si="12"/>
        <v>6.6952855184763331</v>
      </c>
      <c r="H68">
        <f t="shared" si="12"/>
        <v>6.6952855184763331</v>
      </c>
      <c r="J68">
        <f t="shared" si="13"/>
        <v>6.6952855184763331</v>
      </c>
      <c r="K68">
        <f t="shared" si="13"/>
        <v>6.6952855184763331</v>
      </c>
      <c r="L68">
        <f t="shared" si="13"/>
        <v>6.6952855184763331</v>
      </c>
    </row>
    <row r="69" spans="1:12">
      <c r="A69" s="287" t="s">
        <v>541</v>
      </c>
      <c r="B69">
        <f t="shared" si="11"/>
        <v>15.985384909416068</v>
      </c>
      <c r="C69">
        <f t="shared" si="11"/>
        <v>95.626856154542551</v>
      </c>
      <c r="D69">
        <f t="shared" si="11"/>
        <v>119.89038682062051</v>
      </c>
      <c r="F69">
        <f t="shared" si="12"/>
        <v>15.985384909416068</v>
      </c>
      <c r="G69">
        <f t="shared" si="12"/>
        <v>15.985384909416068</v>
      </c>
      <c r="H69">
        <f t="shared" si="12"/>
        <v>15.985384909416068</v>
      </c>
      <c r="J69">
        <f t="shared" si="13"/>
        <v>15.985384909416068</v>
      </c>
      <c r="K69">
        <f t="shared" si="13"/>
        <v>15.985384909416068</v>
      </c>
      <c r="L69">
        <f t="shared" si="13"/>
        <v>15.985384909416068</v>
      </c>
    </row>
    <row r="70" spans="1:12">
      <c r="A70" s="287" t="s">
        <v>533</v>
      </c>
      <c r="B70">
        <f t="shared" si="11"/>
        <v>6.9191033000606179</v>
      </c>
      <c r="C70">
        <f t="shared" si="11"/>
        <v>6.9191033000606179</v>
      </c>
      <c r="D70">
        <f t="shared" si="11"/>
        <v>6.9191033000606179</v>
      </c>
      <c r="F70">
        <f t="shared" si="12"/>
        <v>6.9191033000606179</v>
      </c>
      <c r="G70">
        <f t="shared" si="12"/>
        <v>6.9191033000606179</v>
      </c>
      <c r="H70">
        <f t="shared" si="12"/>
        <v>6.9191033000606179</v>
      </c>
      <c r="J70">
        <f t="shared" si="13"/>
        <v>6.9191033000606179</v>
      </c>
      <c r="K70">
        <f t="shared" si="13"/>
        <v>6.9191033000606179</v>
      </c>
      <c r="L70">
        <f t="shared" si="13"/>
        <v>6.9191033000606179</v>
      </c>
    </row>
    <row r="71" spans="1:12">
      <c r="A71" s="287" t="s">
        <v>532</v>
      </c>
      <c r="B71">
        <f t="shared" si="11"/>
        <v>23.595145442117481</v>
      </c>
      <c r="C71">
        <f t="shared" si="11"/>
        <v>23.595145442117481</v>
      </c>
      <c r="D71">
        <f t="shared" si="11"/>
        <v>23.595145442117481</v>
      </c>
      <c r="F71">
        <f t="shared" si="12"/>
        <v>23.595145442117481</v>
      </c>
      <c r="G71">
        <f t="shared" si="12"/>
        <v>23.595145442117481</v>
      </c>
      <c r="H71">
        <f t="shared" si="12"/>
        <v>23.595145442117481</v>
      </c>
      <c r="J71">
        <f t="shared" si="13"/>
        <v>23.595145442117481</v>
      </c>
      <c r="K71">
        <f t="shared" si="13"/>
        <v>23.595145442117481</v>
      </c>
      <c r="L71">
        <f t="shared" si="13"/>
        <v>23.595145442117481</v>
      </c>
    </row>
    <row r="75" spans="1:12">
      <c r="A75" s="293" t="s">
        <v>54</v>
      </c>
      <c r="B75" s="294" t="s">
        <v>511</v>
      </c>
      <c r="C75" s="294" t="s">
        <v>512</v>
      </c>
      <c r="D75" s="294" t="s">
        <v>513</v>
      </c>
    </row>
    <row r="76" spans="1:12">
      <c r="A76" s="293" t="s">
        <v>537</v>
      </c>
      <c r="B76" s="290"/>
      <c r="C76" s="291">
        <f>SUMPRODUCT(C46:C48,C67:C69)+SUMPRODUCT(G46:G48,G67:G69)+SUMPRODUCT(K46:K48,K67:K69)</f>
        <v>113.15017353023923</v>
      </c>
      <c r="D76" s="291">
        <f>SUMPRODUCT(D46:D48,D67:D69)+SUMPRODUCT(H46:H48,H67:H69)+SUMPRODUCT(L46:L48,L67:L69)</f>
        <v>155.3270429890442</v>
      </c>
    </row>
    <row r="77" spans="1:12">
      <c r="A77" s="293" t="s">
        <v>36</v>
      </c>
      <c r="B77" s="292">
        <f>SUMPRODUCT(B46:B50,B67:B71)+SUMPRODUCT(F46:F50,F67:F71)+SUMPRODUCT(J46:J50,J67:J71)</f>
        <v>10.446703788026806</v>
      </c>
      <c r="C77" s="291">
        <f>SUMPRODUCT(C49:C50,C70:C71)+SUMPRODUCT(G49:G50,G70:G71)+SUMPRODUCT(K49:K50,K70:K71)</f>
        <v>12.599959376933761</v>
      </c>
      <c r="D77" s="291">
        <f>SUMPRODUCT(D49:D50,D70:D71)+SUMPRODUCT(H49:H50,H70:H71)+SUMPRODUCT(L49:L50,L70:L71)</f>
        <v>12.581901681995364</v>
      </c>
    </row>
    <row r="80" spans="1:12">
      <c r="A80" s="287" t="s">
        <v>542</v>
      </c>
    </row>
    <row r="81" spans="1:18" s="282" customFormat="1" ht="18" customHeight="1">
      <c r="A81" s="286" t="s">
        <v>471</v>
      </c>
    </row>
    <row r="82" spans="1:18" s="282" customFormat="1" ht="18" customHeight="1">
      <c r="A82" s="286" t="s">
        <v>544</v>
      </c>
    </row>
    <row r="83" spans="1:18" s="282" customFormat="1" ht="18" customHeight="1">
      <c r="A83" s="286" t="s">
        <v>473</v>
      </c>
    </row>
    <row r="84" spans="1:18" s="282" customFormat="1"/>
    <row r="85" spans="1:18" s="282" customFormat="1" ht="18" customHeight="1">
      <c r="A85" s="286" t="s">
        <v>474</v>
      </c>
    </row>
    <row r="86" spans="1:18" s="282" customFormat="1" ht="12.75" customHeight="1">
      <c r="A86" s="282" t="s">
        <v>475</v>
      </c>
      <c r="B86" s="282" t="s">
        <v>476</v>
      </c>
    </row>
    <row r="87" spans="1:18" s="282" customFormat="1"/>
    <row r="88" spans="1:18" s="282" customFormat="1" ht="26.25" customHeight="1">
      <c r="A88" s="652" t="s">
        <v>545</v>
      </c>
      <c r="B88" s="651"/>
      <c r="C88" s="281" t="s">
        <v>546</v>
      </c>
      <c r="D88" s="281" t="s">
        <v>547</v>
      </c>
      <c r="E88" s="281" t="s">
        <v>548</v>
      </c>
      <c r="F88" s="281" t="s">
        <v>549</v>
      </c>
      <c r="G88" s="281" t="s">
        <v>550</v>
      </c>
      <c r="H88" s="281" t="s">
        <v>551</v>
      </c>
      <c r="I88" s="281" t="s">
        <v>552</v>
      </c>
      <c r="J88" s="281" t="s">
        <v>553</v>
      </c>
      <c r="K88" s="281" t="s">
        <v>554</v>
      </c>
      <c r="L88" s="281">
        <v>12</v>
      </c>
      <c r="M88" s="281" t="s">
        <v>27</v>
      </c>
      <c r="O88" s="282" t="s">
        <v>556</v>
      </c>
      <c r="P88" s="282" t="s">
        <v>557</v>
      </c>
      <c r="R88" s="282" t="s">
        <v>606</v>
      </c>
    </row>
    <row r="89" spans="1:18" s="282" customFormat="1" ht="26.25" customHeight="1">
      <c r="B89" s="283" t="s">
        <v>498</v>
      </c>
    </row>
    <row r="90" spans="1:18" s="282" customFormat="1" ht="63.35">
      <c r="A90" s="282" t="str">
        <f t="shared" ref="A90:A102" si="14">IF(B90=B14,A14,"")</f>
        <v>L</v>
      </c>
      <c r="B90" s="284" t="s">
        <v>499</v>
      </c>
      <c r="C90" s="306">
        <v>2117696.0892588999</v>
      </c>
      <c r="D90" s="306">
        <v>1761331.8806296</v>
      </c>
      <c r="E90" s="306">
        <v>1467804.7678459999</v>
      </c>
      <c r="F90" s="306">
        <v>1471299.8148059</v>
      </c>
      <c r="G90" s="306">
        <v>987750.8621427</v>
      </c>
      <c r="H90" s="306">
        <v>627040.68597989995</v>
      </c>
      <c r="I90" s="306">
        <v>373027.53149109997</v>
      </c>
      <c r="J90" s="306">
        <v>228219.4482705</v>
      </c>
      <c r="K90" s="306">
        <v>138038.2597499</v>
      </c>
      <c r="L90" s="306">
        <v>211820.25014039999</v>
      </c>
      <c r="M90" s="306">
        <v>9384029.5903149992</v>
      </c>
      <c r="O90" s="307">
        <f>C90*C$88+D$88*D90+E90*E$88+F$88*F90+G90*G$88+H$88*H90+I90*I$88+J$88*J90+K90*K$88+L$88*L90</f>
        <v>32851107.485908199</v>
      </c>
      <c r="P90" s="307">
        <f>O90/(SUM(C90:L90))</f>
        <v>3.5007463659122808</v>
      </c>
      <c r="Q90" s="307">
        <f>SUM(C90:L90)</f>
        <v>9384029.5903149005</v>
      </c>
    </row>
    <row r="91" spans="1:18" s="282" customFormat="1" ht="50.7">
      <c r="A91" s="282" t="str">
        <f t="shared" si="14"/>
        <v>T</v>
      </c>
      <c r="B91" s="284" t="s">
        <v>500</v>
      </c>
      <c r="C91" s="306">
        <v>241513.3152601</v>
      </c>
      <c r="D91" s="306">
        <v>155108.4619699</v>
      </c>
      <c r="E91" s="306">
        <v>145990.6639599</v>
      </c>
      <c r="F91" s="306">
        <v>147918.62279990001</v>
      </c>
      <c r="G91" s="306">
        <v>127089.0013298</v>
      </c>
      <c r="H91" s="306">
        <v>101090.63813989999</v>
      </c>
      <c r="I91" s="306">
        <v>72848.727389899999</v>
      </c>
      <c r="J91" s="306">
        <v>51773.98429</v>
      </c>
      <c r="K91" s="306">
        <v>34516.525990000002</v>
      </c>
      <c r="L91" s="306">
        <v>62066.517820000001</v>
      </c>
      <c r="M91" s="306">
        <v>1139916.4589494001</v>
      </c>
      <c r="O91" s="307">
        <f t="shared" ref="O91:O103" si="15">C91*C$88+D$88*D91+E91*E$88+F$88*F91+G91*G$88+H$88*H91+I91*I$88+J$88*J91+K91*K$88+L$88*L91</f>
        <v>4802945.4715668997</v>
      </c>
      <c r="P91" s="307">
        <f t="shared" ref="P91:P103" si="16">O91/(SUM(C91:L91))</f>
        <v>4.2134188289495507</v>
      </c>
      <c r="Q91" s="307">
        <f t="shared" ref="Q91:Q103" si="17">SUM(C91:L91)</f>
        <v>1139916.4589494001</v>
      </c>
    </row>
    <row r="92" spans="1:18" s="282" customFormat="1" ht="25.35">
      <c r="A92" s="282" t="str">
        <f t="shared" si="14"/>
        <v>H</v>
      </c>
      <c r="B92" s="284" t="s">
        <v>501</v>
      </c>
      <c r="C92" s="306">
        <v>280347.08147989999</v>
      </c>
      <c r="D92" s="306">
        <v>176309.10764989999</v>
      </c>
      <c r="E92" s="306">
        <v>100483.28619</v>
      </c>
      <c r="F92" s="306">
        <v>71840.956030000001</v>
      </c>
      <c r="G92" s="306">
        <v>39325.433380000002</v>
      </c>
      <c r="H92" s="306">
        <v>22159.058290000001</v>
      </c>
      <c r="I92" s="306">
        <v>11687.029070000001</v>
      </c>
      <c r="J92" s="306">
        <v>6952.10862</v>
      </c>
      <c r="K92" s="306">
        <v>4239.45622</v>
      </c>
      <c r="L92" s="306">
        <v>6983.7521399999996</v>
      </c>
      <c r="M92" s="306">
        <v>720327.26906980004</v>
      </c>
      <c r="O92" s="307">
        <f t="shared" si="15"/>
        <v>1810746.7002197001</v>
      </c>
      <c r="P92" s="307">
        <f t="shared" si="16"/>
        <v>2.5137833564985277</v>
      </c>
      <c r="Q92" s="307">
        <f t="shared" si="17"/>
        <v>720327.26906980004</v>
      </c>
    </row>
    <row r="93" spans="1:18" s="282" customFormat="1" ht="25.35">
      <c r="A93" s="282" t="str">
        <f t="shared" si="14"/>
        <v>M</v>
      </c>
      <c r="B93" s="284" t="s">
        <v>502</v>
      </c>
      <c r="C93" s="306">
        <v>46197.766280000003</v>
      </c>
      <c r="D93" s="306">
        <v>46424.532319999998</v>
      </c>
      <c r="E93" s="306">
        <v>22955.751179999999</v>
      </c>
      <c r="F93" s="306">
        <v>18102.240430000002</v>
      </c>
      <c r="G93" s="306">
        <v>6892.6310400000002</v>
      </c>
      <c r="H93" s="306">
        <v>2851.3323999999998</v>
      </c>
      <c r="I93" s="306">
        <v>1269.9243799999999</v>
      </c>
      <c r="J93" s="306">
        <v>645.64400000000001</v>
      </c>
      <c r="K93" s="306">
        <v>398.78798999999998</v>
      </c>
      <c r="L93" s="306">
        <v>653.85799999999995</v>
      </c>
      <c r="M93" s="306">
        <v>146392.46802</v>
      </c>
      <c r="O93" s="307">
        <f t="shared" si="15"/>
        <v>357384.20634999999</v>
      </c>
      <c r="P93" s="307">
        <f t="shared" si="16"/>
        <v>2.4412745490510779</v>
      </c>
      <c r="Q93" s="307">
        <f t="shared" si="17"/>
        <v>146392.46802000006</v>
      </c>
    </row>
    <row r="94" spans="1:18" s="282" customFormat="1" ht="38">
      <c r="A94" s="282" t="str">
        <f t="shared" si="14"/>
        <v>M</v>
      </c>
      <c r="B94" s="284" t="s">
        <v>503</v>
      </c>
      <c r="C94" s="306">
        <v>71611.402000000002</v>
      </c>
      <c r="D94" s="306">
        <v>70762.417279999994</v>
      </c>
      <c r="E94" s="306">
        <v>33841.16244</v>
      </c>
      <c r="F94" s="306">
        <v>23097.285670000001</v>
      </c>
      <c r="G94" s="306">
        <v>8224.6480100000008</v>
      </c>
      <c r="H94" s="306">
        <v>3135.02412</v>
      </c>
      <c r="I94" s="306">
        <v>1191.8893800000001</v>
      </c>
      <c r="J94" s="306">
        <v>536.65828999999997</v>
      </c>
      <c r="K94" s="306">
        <v>261.38542000000001</v>
      </c>
      <c r="L94" s="306">
        <v>442.90109000000001</v>
      </c>
      <c r="M94" s="306">
        <v>213104.77369999999</v>
      </c>
      <c r="O94" s="307">
        <f t="shared" si="15"/>
        <v>487286.02516999998</v>
      </c>
      <c r="P94" s="307">
        <f t="shared" si="16"/>
        <v>2.2866030483952504</v>
      </c>
      <c r="Q94" s="307">
        <f t="shared" si="17"/>
        <v>213104.77369999999</v>
      </c>
    </row>
    <row r="95" spans="1:18" s="282" customFormat="1">
      <c r="A95" s="282" t="str">
        <f t="shared" si="14"/>
        <v>M</v>
      </c>
      <c r="B95" s="284" t="s">
        <v>504</v>
      </c>
      <c r="C95" s="306">
        <v>40786.332490000001</v>
      </c>
      <c r="D95" s="306">
        <v>38925.058420000001</v>
      </c>
      <c r="E95" s="306">
        <v>33610.026080000003</v>
      </c>
      <c r="F95" s="306">
        <v>35017.449399999998</v>
      </c>
      <c r="G95" s="306">
        <v>24753.220669999999</v>
      </c>
      <c r="H95" s="306">
        <v>16211.617840000001</v>
      </c>
      <c r="I95" s="306">
        <v>9400.3388099999993</v>
      </c>
      <c r="J95" s="306">
        <v>5837.1505900000002</v>
      </c>
      <c r="K95" s="306">
        <v>3383.05438</v>
      </c>
      <c r="L95" s="306">
        <v>5634.9170100000001</v>
      </c>
      <c r="M95" s="306">
        <v>213559.16568999999</v>
      </c>
      <c r="O95" s="307">
        <f t="shared" si="15"/>
        <v>791138.20549000008</v>
      </c>
      <c r="P95" s="307">
        <f t="shared" si="16"/>
        <v>3.7045387536229994</v>
      </c>
      <c r="Q95" s="307">
        <f t="shared" si="17"/>
        <v>213559.16568999997</v>
      </c>
    </row>
    <row r="96" spans="1:18" s="282" customFormat="1" ht="25.35">
      <c r="A96" s="282" t="str">
        <f t="shared" si="14"/>
        <v>H</v>
      </c>
      <c r="B96" s="284" t="s">
        <v>505</v>
      </c>
      <c r="C96" s="306">
        <v>171886.92447</v>
      </c>
      <c r="D96" s="306">
        <v>91638.178480000002</v>
      </c>
      <c r="E96" s="306">
        <v>59455.290280000001</v>
      </c>
      <c r="F96" s="306">
        <v>40866.289270000001</v>
      </c>
      <c r="G96" s="306">
        <v>23211.800569999999</v>
      </c>
      <c r="H96" s="306">
        <v>13984.95829</v>
      </c>
      <c r="I96" s="306">
        <v>8222.8435599999993</v>
      </c>
      <c r="J96" s="306">
        <v>5060.3205099999996</v>
      </c>
      <c r="K96" s="306">
        <v>3206.8457600000002</v>
      </c>
      <c r="L96" s="306">
        <v>5315.6966300000004</v>
      </c>
      <c r="M96" s="306">
        <v>422849.14782000001</v>
      </c>
      <c r="O96" s="307">
        <f t="shared" si="15"/>
        <v>1087655.5023400001</v>
      </c>
      <c r="P96" s="307">
        <f t="shared" si="16"/>
        <v>2.5722069157462211</v>
      </c>
      <c r="Q96" s="307">
        <f t="shared" si="17"/>
        <v>422849.14782000001</v>
      </c>
    </row>
    <row r="97" spans="1:17" s="282" customFormat="1" ht="25.35">
      <c r="A97" s="282" t="str">
        <f t="shared" si="14"/>
        <v>S</v>
      </c>
      <c r="B97" s="284" t="s">
        <v>506</v>
      </c>
      <c r="C97" s="306">
        <v>290879.46746999997</v>
      </c>
      <c r="D97" s="306">
        <v>156833.38039999999</v>
      </c>
      <c r="E97" s="306">
        <v>108056.4612299</v>
      </c>
      <c r="F97" s="306">
        <v>72027.72077</v>
      </c>
      <c r="G97" s="306">
        <v>38954.994989999999</v>
      </c>
      <c r="H97" s="306">
        <v>21024.844980000002</v>
      </c>
      <c r="I97" s="306">
        <v>11001.758</v>
      </c>
      <c r="J97" s="306">
        <v>6055.6111199999996</v>
      </c>
      <c r="K97" s="306">
        <v>3325.4988199999998</v>
      </c>
      <c r="L97" s="306">
        <v>4795.9781800000001</v>
      </c>
      <c r="M97" s="306">
        <v>712955.71595980006</v>
      </c>
      <c r="O97" s="307">
        <f t="shared" si="15"/>
        <v>1750688.9623697</v>
      </c>
      <c r="P97" s="307">
        <f t="shared" si="16"/>
        <v>2.4555367509924935</v>
      </c>
      <c r="Q97" s="307">
        <f t="shared" si="17"/>
        <v>712955.71595990006</v>
      </c>
    </row>
    <row r="98" spans="1:17" s="282" customFormat="1" ht="76">
      <c r="A98" s="282" t="str">
        <f t="shared" si="14"/>
        <v>S</v>
      </c>
      <c r="B98" s="284" t="s">
        <v>507</v>
      </c>
      <c r="C98" s="306">
        <v>477548.07769160002</v>
      </c>
      <c r="D98" s="306">
        <v>259048.33690940001</v>
      </c>
      <c r="E98" s="306">
        <v>186813.04713980001</v>
      </c>
      <c r="F98" s="306">
        <v>139655.01778990001</v>
      </c>
      <c r="G98" s="306">
        <v>83098.603340000001</v>
      </c>
      <c r="H98" s="306">
        <v>47329.013149999999</v>
      </c>
      <c r="I98" s="306">
        <v>25043.634770000001</v>
      </c>
      <c r="J98" s="306">
        <v>13762.95686</v>
      </c>
      <c r="K98" s="306">
        <v>7555.5698199999997</v>
      </c>
      <c r="L98" s="306">
        <v>9922.3351399999992</v>
      </c>
      <c r="M98" s="306">
        <v>1249776.5926107999</v>
      </c>
      <c r="O98" s="307">
        <f t="shared" si="15"/>
        <v>3286648.3080194001</v>
      </c>
      <c r="P98" s="307">
        <f t="shared" si="16"/>
        <v>2.6297886577902783</v>
      </c>
      <c r="Q98" s="307">
        <f t="shared" si="17"/>
        <v>1249776.5926107001</v>
      </c>
    </row>
    <row r="99" spans="1:17" s="282" customFormat="1" ht="50.7">
      <c r="A99" s="282" t="str">
        <f t="shared" si="14"/>
        <v>H</v>
      </c>
      <c r="B99" s="284" t="s">
        <v>508</v>
      </c>
      <c r="C99" s="306">
        <v>65918.416970000006</v>
      </c>
      <c r="D99" s="306">
        <v>25455.51065</v>
      </c>
      <c r="E99" s="306">
        <v>12790.92643</v>
      </c>
      <c r="F99" s="306">
        <v>7489.2676300000003</v>
      </c>
      <c r="G99" s="306">
        <v>3448.0245500000001</v>
      </c>
      <c r="H99" s="306">
        <v>1751.81709</v>
      </c>
      <c r="I99" s="306">
        <v>845.42336999999998</v>
      </c>
      <c r="J99" s="306">
        <v>489.32170000000002</v>
      </c>
      <c r="K99" s="306">
        <v>290.46913999999998</v>
      </c>
      <c r="L99" s="306">
        <v>505.52544</v>
      </c>
      <c r="M99" s="306">
        <v>118984.70297</v>
      </c>
      <c r="O99" s="307">
        <f t="shared" si="15"/>
        <v>231423.37810000006</v>
      </c>
      <c r="P99" s="307">
        <f t="shared" si="16"/>
        <v>1.9449842906138077</v>
      </c>
      <c r="Q99" s="307">
        <f t="shared" si="17"/>
        <v>118984.70297</v>
      </c>
    </row>
    <row r="100" spans="1:17" s="282" customFormat="1">
      <c r="A100" s="282" t="str">
        <f t="shared" si="14"/>
        <v>S</v>
      </c>
      <c r="B100" s="284" t="s">
        <v>509</v>
      </c>
      <c r="C100" s="306">
        <v>7922.9106700000002</v>
      </c>
      <c r="D100" s="306">
        <v>3017.44425</v>
      </c>
      <c r="E100" s="306">
        <v>1411.6330399999999</v>
      </c>
      <c r="F100" s="306">
        <v>929.12814000000003</v>
      </c>
      <c r="G100" s="306">
        <v>478.68360000000001</v>
      </c>
      <c r="H100" s="306">
        <v>282.42919999999998</v>
      </c>
      <c r="I100" s="306">
        <v>171.74651</v>
      </c>
      <c r="J100" s="306">
        <v>77.037499999999994</v>
      </c>
      <c r="K100" s="306">
        <v>57.698749999999997</v>
      </c>
      <c r="L100" s="306">
        <v>90.759439999999998</v>
      </c>
      <c r="M100" s="306">
        <v>14439.471100000001</v>
      </c>
      <c r="O100" s="307">
        <f t="shared" si="15"/>
        <v>29424.131649999999</v>
      </c>
      <c r="P100" s="307">
        <f t="shared" si="16"/>
        <v>2.0377568850149914</v>
      </c>
      <c r="Q100" s="307">
        <f t="shared" si="17"/>
        <v>14439.471100000002</v>
      </c>
    </row>
    <row r="101" spans="1:17" s="282" customFormat="1">
      <c r="A101" s="282" t="str">
        <f t="shared" si="14"/>
        <v>N</v>
      </c>
      <c r="B101" s="284" t="s">
        <v>41</v>
      </c>
      <c r="C101" s="306">
        <v>43125.106299999999</v>
      </c>
      <c r="D101" s="306">
        <v>22393.225979999999</v>
      </c>
      <c r="E101" s="306">
        <v>15326.556339999999</v>
      </c>
      <c r="F101" s="306">
        <v>12604.717850000001</v>
      </c>
      <c r="G101" s="306">
        <v>7892.8461100000004</v>
      </c>
      <c r="H101" s="306">
        <v>4959.1719800000001</v>
      </c>
      <c r="I101" s="306">
        <v>2891.12808</v>
      </c>
      <c r="J101" s="306">
        <v>1760.7888600000001</v>
      </c>
      <c r="K101" s="306">
        <v>1090.9084800000001</v>
      </c>
      <c r="L101" s="306">
        <v>1781.68481</v>
      </c>
      <c r="M101" s="306">
        <v>113826.13479</v>
      </c>
      <c r="O101" s="307">
        <f t="shared" si="15"/>
        <v>319051.96259000007</v>
      </c>
      <c r="P101" s="307">
        <f t="shared" si="16"/>
        <v>2.8029763391212845</v>
      </c>
      <c r="Q101" s="307">
        <f t="shared" si="17"/>
        <v>113826.13479</v>
      </c>
    </row>
    <row r="102" spans="1:17" s="282" customFormat="1">
      <c r="A102" s="282" t="str">
        <f t="shared" si="14"/>
        <v>N</v>
      </c>
      <c r="B102" s="284" t="s">
        <v>292</v>
      </c>
      <c r="C102" s="306">
        <v>0</v>
      </c>
      <c r="D102" s="306">
        <v>0</v>
      </c>
      <c r="E102" s="306">
        <v>0</v>
      </c>
      <c r="F102" s="306">
        <v>0</v>
      </c>
      <c r="G102" s="306">
        <v>0</v>
      </c>
      <c r="H102" s="306">
        <v>0</v>
      </c>
      <c r="I102" s="306">
        <v>0</v>
      </c>
      <c r="J102" s="306">
        <v>0</v>
      </c>
      <c r="K102" s="306">
        <v>0</v>
      </c>
      <c r="L102" s="306">
        <v>0</v>
      </c>
      <c r="M102" s="306">
        <v>0</v>
      </c>
      <c r="O102" s="307">
        <f t="shared" si="15"/>
        <v>0</v>
      </c>
      <c r="P102" s="307" t="e">
        <f t="shared" si="16"/>
        <v>#DIV/0!</v>
      </c>
      <c r="Q102" s="307">
        <f t="shared" si="17"/>
        <v>0</v>
      </c>
    </row>
    <row r="103" spans="1:17" s="282" customFormat="1">
      <c r="B103" s="284" t="s">
        <v>485</v>
      </c>
      <c r="C103" s="306">
        <v>0</v>
      </c>
      <c r="D103" s="306">
        <v>0</v>
      </c>
      <c r="E103" s="306">
        <v>0</v>
      </c>
      <c r="F103" s="306">
        <v>0</v>
      </c>
      <c r="G103" s="306">
        <v>0</v>
      </c>
      <c r="H103" s="306">
        <v>0</v>
      </c>
      <c r="I103" s="306">
        <v>0</v>
      </c>
      <c r="J103" s="306">
        <v>0</v>
      </c>
      <c r="K103" s="306">
        <v>0</v>
      </c>
      <c r="L103" s="306">
        <v>0</v>
      </c>
      <c r="M103" s="306">
        <v>0</v>
      </c>
      <c r="O103" s="307">
        <f t="shared" si="15"/>
        <v>0</v>
      </c>
      <c r="P103" s="307" t="e">
        <f t="shared" si="16"/>
        <v>#DIV/0!</v>
      </c>
      <c r="Q103" s="307">
        <f t="shared" si="17"/>
        <v>0</v>
      </c>
    </row>
    <row r="104" spans="1:17" s="282" customFormat="1">
      <c r="B104" s="284" t="s">
        <v>27</v>
      </c>
      <c r="C104" s="306">
        <v>3855432.8903403999</v>
      </c>
      <c r="D104" s="306">
        <v>2807247.5349388998</v>
      </c>
      <c r="E104" s="306">
        <v>2188539.5721555999</v>
      </c>
      <c r="F104" s="306">
        <v>2040848.5105856</v>
      </c>
      <c r="G104" s="306">
        <v>1351120.7497324999</v>
      </c>
      <c r="H104" s="306">
        <v>861820.59145980002</v>
      </c>
      <c r="I104" s="306">
        <v>517601.97481099999</v>
      </c>
      <c r="J104" s="306">
        <v>321171.03061050002</v>
      </c>
      <c r="K104" s="306">
        <v>196364.46051989999</v>
      </c>
      <c r="L104" s="306">
        <v>310014.17584039998</v>
      </c>
      <c r="M104" s="306">
        <v>14450161.490994601</v>
      </c>
    </row>
    <row r="106" spans="1:17">
      <c r="A106" s="74" t="s">
        <v>555</v>
      </c>
      <c r="B106" s="74" t="s">
        <v>560</v>
      </c>
      <c r="C106" s="74" t="s">
        <v>559</v>
      </c>
      <c r="D106" s="74" t="s">
        <v>558</v>
      </c>
    </row>
    <row r="107" spans="1:17">
      <c r="A107" s="289" t="s">
        <v>78</v>
      </c>
      <c r="B107" s="111">
        <f>SUMIF(A$90:A$104,A107,$Q$90:$Q$104)</f>
        <v>9384029.5903149005</v>
      </c>
      <c r="C107" s="111">
        <f>SUMIF(A$90:A$104,A107,$O$90:$O$104)</f>
        <v>32851107.485908199</v>
      </c>
      <c r="D107" s="18">
        <f>C107/B107</f>
        <v>3.5007463659122808</v>
      </c>
    </row>
    <row r="108" spans="1:17">
      <c r="A108" s="289" t="s">
        <v>79</v>
      </c>
      <c r="B108" s="111">
        <f t="shared" ref="B108:B111" si="18">SUMIF(A$90:A$104,A108,$Q$90:$Q$104)</f>
        <v>1262161.1198598</v>
      </c>
      <c r="C108" s="111">
        <f t="shared" ref="C108:C111" si="19">SUMIF(A$90:A$104,A108,$O$90:$O$104)</f>
        <v>3129825.5806597001</v>
      </c>
      <c r="D108" s="18">
        <f t="shared" ref="D108:D111" si="20">C108/B108</f>
        <v>2.4797353772134567</v>
      </c>
    </row>
    <row r="109" spans="1:17">
      <c r="A109" s="289" t="s">
        <v>468</v>
      </c>
      <c r="B109" s="111">
        <f t="shared" si="18"/>
        <v>573056.40740999999</v>
      </c>
      <c r="C109" s="111">
        <f t="shared" si="19"/>
        <v>1635808.43701</v>
      </c>
      <c r="D109" s="18">
        <f t="shared" si="20"/>
        <v>2.8545330195385836</v>
      </c>
    </row>
    <row r="110" spans="1:17">
      <c r="A110" s="289" t="s">
        <v>518</v>
      </c>
      <c r="B110" s="111">
        <f t="shared" si="18"/>
        <v>1977171.7796706001</v>
      </c>
      <c r="C110" s="111">
        <f t="shared" si="19"/>
        <v>5066761.4020391004</v>
      </c>
      <c r="D110" s="18">
        <f t="shared" si="20"/>
        <v>2.5626308518743026</v>
      </c>
    </row>
    <row r="111" spans="1:17">
      <c r="A111" s="289" t="s">
        <v>514</v>
      </c>
      <c r="B111" s="111">
        <f t="shared" si="18"/>
        <v>1139916.4589494001</v>
      </c>
      <c r="C111" s="111">
        <f t="shared" si="19"/>
        <v>4802945.4715668997</v>
      </c>
      <c r="D111" s="18">
        <f t="shared" si="20"/>
        <v>4.2134188289495507</v>
      </c>
    </row>
    <row r="115" spans="1:44" ht="63.35">
      <c r="A115" t="str">
        <f>A90</f>
        <v>L</v>
      </c>
      <c r="B115" s="284" t="s">
        <v>499</v>
      </c>
      <c r="C115" s="50">
        <f>C90/SUM($C90:$L90)</f>
        <v>0.22567022715321983</v>
      </c>
      <c r="D115" s="50">
        <f t="shared" ref="D115:L115" si="21">D90/SUM($C90:$L90)</f>
        <v>0.18769462134341958</v>
      </c>
      <c r="E115" s="50">
        <f t="shared" si="21"/>
        <v>0.15641518962822715</v>
      </c>
      <c r="F115" s="50">
        <f t="shared" si="21"/>
        <v>0.1567876359132972</v>
      </c>
      <c r="G115" s="50">
        <f t="shared" si="21"/>
        <v>0.10525871137087431</v>
      </c>
      <c r="H115" s="50">
        <f t="shared" si="21"/>
        <v>6.6819981751449098E-2</v>
      </c>
      <c r="I115" s="50">
        <f t="shared" si="21"/>
        <v>3.9751316627996934E-2</v>
      </c>
      <c r="J115" s="50">
        <f t="shared" si="21"/>
        <v>2.4319983869833642E-2</v>
      </c>
      <c r="K115" s="50">
        <f t="shared" si="21"/>
        <v>1.4709913094516131E-2</v>
      </c>
      <c r="L115" s="50">
        <f t="shared" si="21"/>
        <v>2.2572419247166069E-2</v>
      </c>
      <c r="M115" s="50"/>
    </row>
    <row r="116" spans="1:44" ht="50.7">
      <c r="A116" t="str">
        <f t="shared" ref="A116:A124" si="22">A91</f>
        <v>T</v>
      </c>
      <c r="B116" s="284" t="s">
        <v>500</v>
      </c>
      <c r="C116" s="50">
        <f t="shared" ref="C116:L116" si="23">C91/SUM($C91:$L91)</f>
        <v>0.21186931144295423</v>
      </c>
      <c r="D116" s="50">
        <f t="shared" si="23"/>
        <v>0.13607002579193844</v>
      </c>
      <c r="E116" s="50">
        <f t="shared" si="23"/>
        <v>0.12807137120772147</v>
      </c>
      <c r="F116" s="50">
        <f t="shared" si="23"/>
        <v>0.12976268711500899</v>
      </c>
      <c r="G116" s="50">
        <f t="shared" si="23"/>
        <v>0.111489750263744</v>
      </c>
      <c r="H116" s="50">
        <f t="shared" si="23"/>
        <v>8.868249716568688E-2</v>
      </c>
      <c r="I116" s="50">
        <f t="shared" si="23"/>
        <v>6.390707566152766E-2</v>
      </c>
      <c r="J116" s="50">
        <f t="shared" si="23"/>
        <v>4.5419104078659685E-2</v>
      </c>
      <c r="K116" s="50">
        <f t="shared" si="23"/>
        <v>3.0279873335465331E-2</v>
      </c>
      <c r="L116" s="50">
        <f t="shared" si="23"/>
        <v>5.4448303937293246E-2</v>
      </c>
    </row>
    <row r="117" spans="1:44" ht="25.35">
      <c r="A117" t="str">
        <f t="shared" si="22"/>
        <v>H</v>
      </c>
      <c r="B117" s="284" t="s">
        <v>501</v>
      </c>
      <c r="C117" s="50">
        <f t="shared" ref="C117:L117" si="24">C92/SUM($C92:$L92)</f>
        <v>0.38919404209412795</v>
      </c>
      <c r="D117" s="50">
        <f t="shared" si="24"/>
        <v>0.24476250618358245</v>
      </c>
      <c r="E117" s="50">
        <f t="shared" si="24"/>
        <v>0.1394967128202155</v>
      </c>
      <c r="F117" s="50">
        <f t="shared" si="24"/>
        <v>9.9733772570865395E-2</v>
      </c>
      <c r="G117" s="50">
        <f t="shared" si="24"/>
        <v>5.4593842366655355E-2</v>
      </c>
      <c r="H117" s="50">
        <f t="shared" si="24"/>
        <v>3.0762487054828931E-2</v>
      </c>
      <c r="I117" s="50">
        <f t="shared" si="24"/>
        <v>1.622461007909937E-2</v>
      </c>
      <c r="J117" s="50">
        <f t="shared" si="24"/>
        <v>9.6513195022835344E-3</v>
      </c>
      <c r="K117" s="50">
        <f t="shared" si="24"/>
        <v>5.8854584603948885E-3</v>
      </c>
      <c r="L117" s="50">
        <f t="shared" si="24"/>
        <v>9.6952488679465376E-3</v>
      </c>
    </row>
    <row r="118" spans="1:44" ht="25.35">
      <c r="A118" t="str">
        <f t="shared" si="22"/>
        <v>M</v>
      </c>
      <c r="B118" s="284" t="s">
        <v>502</v>
      </c>
      <c r="C118" s="50">
        <f t="shared" ref="C118:L118" si="25">C93/SUM($C93:$L93)</f>
        <v>0.31557474851567152</v>
      </c>
      <c r="D118" s="50">
        <f t="shared" si="25"/>
        <v>0.31712377657064639</v>
      </c>
      <c r="E118" s="50">
        <f t="shared" si="25"/>
        <v>0.15680964663334862</v>
      </c>
      <c r="F118" s="50">
        <f t="shared" si="25"/>
        <v>0.12365554508942962</v>
      </c>
      <c r="G118" s="50">
        <f t="shared" si="25"/>
        <v>4.7083235450735984E-2</v>
      </c>
      <c r="H118" s="50">
        <f t="shared" si="25"/>
        <v>1.9477316275660114E-2</v>
      </c>
      <c r="I118" s="50">
        <f t="shared" si="25"/>
        <v>8.6747931582552701E-3</v>
      </c>
      <c r="J118" s="50">
        <f t="shared" si="25"/>
        <v>4.4103635161871334E-3</v>
      </c>
      <c r="K118" s="50">
        <f t="shared" si="25"/>
        <v>2.7241018297848342E-3</v>
      </c>
      <c r="L118" s="50">
        <f t="shared" si="25"/>
        <v>4.4664729602801028E-3</v>
      </c>
    </row>
    <row r="119" spans="1:44" ht="38">
      <c r="A119" t="str">
        <f t="shared" si="22"/>
        <v>M</v>
      </c>
      <c r="B119" s="284" t="s">
        <v>503</v>
      </c>
      <c r="C119" s="50">
        <f t="shared" ref="C119:L119" si="26">C94/SUM($C94:$L94)</f>
        <v>0.3360384695127081</v>
      </c>
      <c r="D119" s="50">
        <f t="shared" si="26"/>
        <v>0.33205458541072558</v>
      </c>
      <c r="E119" s="50">
        <f t="shared" si="26"/>
        <v>0.15880058363985866</v>
      </c>
      <c r="F119" s="50">
        <f t="shared" si="26"/>
        <v>0.10838464699301104</v>
      </c>
      <c r="G119" s="50">
        <f t="shared" si="26"/>
        <v>3.8594386541421721E-2</v>
      </c>
      <c r="H119" s="50">
        <f t="shared" si="26"/>
        <v>1.4711186734903256E-2</v>
      </c>
      <c r="I119" s="50">
        <f t="shared" si="26"/>
        <v>5.59297363126127E-3</v>
      </c>
      <c r="J119" s="50">
        <f t="shared" si="26"/>
        <v>2.518283756306112E-3</v>
      </c>
      <c r="K119" s="50">
        <f t="shared" si="26"/>
        <v>1.226558257995513E-3</v>
      </c>
      <c r="L119" s="50">
        <f t="shared" si="26"/>
        <v>2.078325521808806E-3</v>
      </c>
    </row>
    <row r="120" spans="1:44">
      <c r="A120" t="str">
        <f t="shared" si="22"/>
        <v>M</v>
      </c>
      <c r="B120" s="284" t="s">
        <v>504</v>
      </c>
      <c r="C120" s="50">
        <f t="shared" ref="C120:L120" si="27">C95/SUM($C95:$L95)</f>
        <v>0.19098376020631666</v>
      </c>
      <c r="D120" s="50">
        <f t="shared" si="27"/>
        <v>0.18226826413296243</v>
      </c>
      <c r="E120" s="50">
        <f t="shared" si="27"/>
        <v>0.15738039606685827</v>
      </c>
      <c r="F120" s="50">
        <f t="shared" si="27"/>
        <v>0.1639707164375746</v>
      </c>
      <c r="G120" s="50">
        <f t="shared" si="27"/>
        <v>0.11590802291263626</v>
      </c>
      <c r="H120" s="50">
        <f t="shared" si="27"/>
        <v>7.5911599427826007E-2</v>
      </c>
      <c r="I120" s="50">
        <f t="shared" si="27"/>
        <v>4.401749173175467E-2</v>
      </c>
      <c r="J120" s="50">
        <f t="shared" si="27"/>
        <v>2.7332709280542617E-2</v>
      </c>
      <c r="K120" s="50">
        <f t="shared" si="27"/>
        <v>1.5841297979740203E-2</v>
      </c>
      <c r="L120" s="50">
        <f t="shared" si="27"/>
        <v>2.6385741823788451E-2</v>
      </c>
    </row>
    <row r="121" spans="1:44" ht="25.35">
      <c r="A121" t="str">
        <f t="shared" si="22"/>
        <v>H</v>
      </c>
      <c r="B121" s="284" t="s">
        <v>505</v>
      </c>
      <c r="C121" s="50">
        <f t="shared" ref="C121:L121" si="28">C96/SUM($C96:$L96)</f>
        <v>0.40649703412236615</v>
      </c>
      <c r="D121" s="50">
        <f t="shared" si="28"/>
        <v>0.21671600605663011</v>
      </c>
      <c r="E121" s="50">
        <f t="shared" si="28"/>
        <v>0.14060638548409501</v>
      </c>
      <c r="F121" s="50">
        <f t="shared" si="28"/>
        <v>9.6645078938165707E-2</v>
      </c>
      <c r="G121" s="50">
        <f t="shared" si="28"/>
        <v>5.4893809505513973E-2</v>
      </c>
      <c r="H121" s="50">
        <f t="shared" si="28"/>
        <v>3.3073161816925711E-2</v>
      </c>
      <c r="I121" s="50">
        <f t="shared" si="28"/>
        <v>1.9446281498716252E-2</v>
      </c>
      <c r="J121" s="50">
        <f t="shared" si="28"/>
        <v>1.1967200445096074E-2</v>
      </c>
      <c r="K121" s="50">
        <f t="shared" si="28"/>
        <v>7.5839002550505364E-3</v>
      </c>
      <c r="L121" s="50">
        <f t="shared" si="28"/>
        <v>1.2571141877440429E-2</v>
      </c>
    </row>
    <row r="122" spans="1:44" ht="25.35">
      <c r="A122" t="str">
        <f t="shared" si="22"/>
        <v>S</v>
      </c>
      <c r="B122" s="284" t="s">
        <v>506</v>
      </c>
      <c r="C122" s="50">
        <f t="shared" ref="C122:L122" si="29">C97/SUM($C97:$L97)</f>
        <v>0.40799093261826153</v>
      </c>
      <c r="D122" s="50">
        <f t="shared" si="29"/>
        <v>0.21997632796708097</v>
      </c>
      <c r="E122" s="50">
        <f t="shared" si="29"/>
        <v>0.15156125241862511</v>
      </c>
      <c r="F122" s="50">
        <f t="shared" si="29"/>
        <v>0.10102692096804954</v>
      </c>
      <c r="G122" s="50">
        <f t="shared" si="29"/>
        <v>5.4638730173517551E-2</v>
      </c>
      <c r="H122" s="50">
        <f t="shared" si="29"/>
        <v>2.9489692710707626E-2</v>
      </c>
      <c r="I122" s="50">
        <f t="shared" si="29"/>
        <v>1.5431194047147228E-2</v>
      </c>
      <c r="J122" s="50">
        <f t="shared" si="29"/>
        <v>8.4936707630528276E-3</v>
      </c>
      <c r="K122" s="50">
        <f t="shared" si="29"/>
        <v>4.6643834189935033E-3</v>
      </c>
      <c r="L122" s="50">
        <f t="shared" si="29"/>
        <v>6.726894914564018E-3</v>
      </c>
    </row>
    <row r="123" spans="1:44" ht="76">
      <c r="A123" t="str">
        <f t="shared" si="22"/>
        <v>S</v>
      </c>
      <c r="B123" s="284" t="s">
        <v>507</v>
      </c>
      <c r="C123" s="50">
        <f t="shared" ref="C123:L123" si="30">C98/SUM($C98:$L98)</f>
        <v>0.38210675453125098</v>
      </c>
      <c r="D123" s="50">
        <f t="shared" si="30"/>
        <v>0.207275715068615</v>
      </c>
      <c r="E123" s="50">
        <f t="shared" si="30"/>
        <v>0.14947715315227661</v>
      </c>
      <c r="F123" s="50">
        <f t="shared" si="30"/>
        <v>0.11174398577762605</v>
      </c>
      <c r="G123" s="50">
        <f t="shared" si="30"/>
        <v>6.6490766294808379E-2</v>
      </c>
      <c r="H123" s="50">
        <f t="shared" si="30"/>
        <v>3.7869978866489122E-2</v>
      </c>
      <c r="I123" s="50">
        <f t="shared" si="30"/>
        <v>2.0038489213248519E-2</v>
      </c>
      <c r="J123" s="50">
        <f t="shared" si="30"/>
        <v>1.101233367737357E-2</v>
      </c>
      <c r="K123" s="50">
        <f t="shared" si="30"/>
        <v>6.0455363499942955E-3</v>
      </c>
      <c r="L123" s="50">
        <f t="shared" si="30"/>
        <v>7.9392870683174677E-3</v>
      </c>
    </row>
    <row r="124" spans="1:44" ht="50.7">
      <c r="A124" t="str">
        <f t="shared" si="22"/>
        <v>H</v>
      </c>
      <c r="B124" s="284" t="s">
        <v>508</v>
      </c>
      <c r="C124" s="50">
        <f t="shared" ref="C124:L124" si="31">C99/SUM($C99:$L99)</f>
        <v>0.55400749276669814</v>
      </c>
      <c r="D124" s="50">
        <f t="shared" si="31"/>
        <v>0.21393935535073094</v>
      </c>
      <c r="E124" s="50">
        <f t="shared" si="31"/>
        <v>0.10750059554483249</v>
      </c>
      <c r="F124" s="50">
        <f t="shared" si="31"/>
        <v>6.2943113215892077E-2</v>
      </c>
      <c r="G124" s="50">
        <f t="shared" si="31"/>
        <v>2.8978721330836635E-2</v>
      </c>
      <c r="H124" s="50">
        <f t="shared" si="31"/>
        <v>1.4723044612227938E-2</v>
      </c>
      <c r="I124" s="50">
        <f t="shared" si="31"/>
        <v>7.1053114299336386E-3</v>
      </c>
      <c r="J124" s="50">
        <f t="shared" si="31"/>
        <v>4.1124757030605377E-3</v>
      </c>
      <c r="K124" s="50">
        <f t="shared" si="31"/>
        <v>2.4412309544802318E-3</v>
      </c>
      <c r="L124" s="50">
        <f t="shared" si="31"/>
        <v>4.2486590913073906E-3</v>
      </c>
    </row>
    <row r="125" spans="1:44">
      <c r="B125" s="284" t="s">
        <v>509</v>
      </c>
      <c r="C125" s="50">
        <f t="shared" ref="C125:L125" si="32">C100/SUM($C100:$L100)</f>
        <v>0.54869812163687903</v>
      </c>
      <c r="D125" s="50">
        <f t="shared" si="32"/>
        <v>0.20897193734471337</v>
      </c>
      <c r="E125" s="50">
        <f t="shared" si="32"/>
        <v>9.7762101549550506E-2</v>
      </c>
      <c r="F125" s="50">
        <f t="shared" si="32"/>
        <v>6.4346410859882519E-2</v>
      </c>
      <c r="G125" s="50">
        <f t="shared" si="32"/>
        <v>3.3151048032500297E-2</v>
      </c>
      <c r="H125" s="50">
        <f t="shared" si="32"/>
        <v>1.9559525279288097E-2</v>
      </c>
      <c r="I125" s="50">
        <f t="shared" si="32"/>
        <v>1.1894238286885727E-2</v>
      </c>
      <c r="J125" s="50">
        <f t="shared" si="32"/>
        <v>5.3352023399250393E-3</v>
      </c>
      <c r="K125" s="50">
        <f t="shared" si="32"/>
        <v>3.9959046699432075E-3</v>
      </c>
      <c r="L125" s="50">
        <f t="shared" si="32"/>
        <v>6.2855100004320782E-3</v>
      </c>
    </row>
    <row r="128" spans="1:44">
      <c r="A128" s="5" t="s">
        <v>597</v>
      </c>
      <c r="C128" t="s">
        <v>515</v>
      </c>
      <c r="D128" t="s">
        <v>515</v>
      </c>
      <c r="E128" t="s">
        <v>515</v>
      </c>
      <c r="F128" t="s">
        <v>515</v>
      </c>
      <c r="G128" t="s">
        <v>515</v>
      </c>
      <c r="H128" t="s">
        <v>515</v>
      </c>
      <c r="I128" t="s">
        <v>515</v>
      </c>
      <c r="J128" t="s">
        <v>515</v>
      </c>
      <c r="K128" t="s">
        <v>515</v>
      </c>
      <c r="L128" t="s">
        <v>515</v>
      </c>
      <c r="M128" t="s">
        <v>515</v>
      </c>
      <c r="N128" t="s">
        <v>515</v>
      </c>
      <c r="O128" t="s">
        <v>515</v>
      </c>
      <c r="P128" t="s">
        <v>515</v>
      </c>
      <c r="Q128" t="s">
        <v>516</v>
      </c>
      <c r="R128" t="s">
        <v>516</v>
      </c>
      <c r="S128" t="s">
        <v>516</v>
      </c>
      <c r="T128" t="s">
        <v>516</v>
      </c>
      <c r="U128" t="s">
        <v>516</v>
      </c>
      <c r="V128" t="s">
        <v>516</v>
      </c>
      <c r="W128" t="s">
        <v>516</v>
      </c>
      <c r="X128" t="s">
        <v>516</v>
      </c>
      <c r="Y128" t="s">
        <v>516</v>
      </c>
      <c r="Z128" t="s">
        <v>516</v>
      </c>
      <c r="AA128" t="s">
        <v>516</v>
      </c>
      <c r="AB128" t="s">
        <v>516</v>
      </c>
      <c r="AC128" t="s">
        <v>516</v>
      </c>
      <c r="AD128" t="s">
        <v>516</v>
      </c>
      <c r="AE128" t="s">
        <v>517</v>
      </c>
      <c r="AF128" t="s">
        <v>517</v>
      </c>
      <c r="AG128" t="s">
        <v>517</v>
      </c>
      <c r="AH128" t="s">
        <v>517</v>
      </c>
      <c r="AI128" t="s">
        <v>517</v>
      </c>
      <c r="AJ128" t="s">
        <v>517</v>
      </c>
      <c r="AK128" t="s">
        <v>517</v>
      </c>
      <c r="AL128" t="s">
        <v>517</v>
      </c>
      <c r="AM128" t="s">
        <v>517</v>
      </c>
      <c r="AN128" t="s">
        <v>517</v>
      </c>
      <c r="AO128" t="s">
        <v>517</v>
      </c>
      <c r="AP128" t="s">
        <v>517</v>
      </c>
      <c r="AQ128" t="s">
        <v>517</v>
      </c>
      <c r="AR128" t="s">
        <v>517</v>
      </c>
    </row>
    <row r="129" spans="1:44" s="300" customFormat="1" ht="114">
      <c r="A129" s="300" t="s">
        <v>595</v>
      </c>
      <c r="C129" s="301" t="str">
        <f>C11</f>
        <v>Piped (tap) water inside dwelling/institution</v>
      </c>
      <c r="D129" s="301" t="str">
        <f>C129</f>
        <v>Piped (tap) water inside dwelling/institution</v>
      </c>
      <c r="E129" s="301" t="str">
        <f t="shared" ref="E129:P129" si="33">D129</f>
        <v>Piped (tap) water inside dwelling/institution</v>
      </c>
      <c r="F129" s="301" t="str">
        <f t="shared" si="33"/>
        <v>Piped (tap) water inside dwelling/institution</v>
      </c>
      <c r="G129" s="301" t="str">
        <f t="shared" si="33"/>
        <v>Piped (tap) water inside dwelling/institution</v>
      </c>
      <c r="H129" s="301" t="str">
        <f t="shared" si="33"/>
        <v>Piped (tap) water inside dwelling/institution</v>
      </c>
      <c r="I129" s="301" t="str">
        <f t="shared" si="33"/>
        <v>Piped (tap) water inside dwelling/institution</v>
      </c>
      <c r="J129" s="301" t="str">
        <f t="shared" si="33"/>
        <v>Piped (tap) water inside dwelling/institution</v>
      </c>
      <c r="K129" s="301" t="str">
        <f t="shared" si="33"/>
        <v>Piped (tap) water inside dwelling/institution</v>
      </c>
      <c r="L129" s="301" t="str">
        <f t="shared" si="33"/>
        <v>Piped (tap) water inside dwelling/institution</v>
      </c>
      <c r="M129" s="301" t="str">
        <f t="shared" si="33"/>
        <v>Piped (tap) water inside dwelling/institution</v>
      </c>
      <c r="N129" s="301" t="str">
        <f t="shared" si="33"/>
        <v>Piped (tap) water inside dwelling/institution</v>
      </c>
      <c r="O129" s="301" t="str">
        <f t="shared" si="33"/>
        <v>Piped (tap) water inside dwelling/institution</v>
      </c>
      <c r="P129" s="301" t="str">
        <f t="shared" si="33"/>
        <v>Piped (tap) water inside dwelling/institution</v>
      </c>
      <c r="Q129" s="301" t="str">
        <f>AE11</f>
        <v>Piped (tap) water on community stand: distance less than 200m from dwelling/institution</v>
      </c>
      <c r="R129" s="301" t="str">
        <f>Q129</f>
        <v>Piped (tap) water on community stand: distance less than 200m from dwelling/institution</v>
      </c>
      <c r="S129" s="301" t="str">
        <f t="shared" ref="S129:AD129" si="34">R129</f>
        <v>Piped (tap) water on community stand: distance less than 200m from dwelling/institution</v>
      </c>
      <c r="T129" s="301" t="str">
        <f t="shared" si="34"/>
        <v>Piped (tap) water on community stand: distance less than 200m from dwelling/institution</v>
      </c>
      <c r="U129" s="301" t="str">
        <f t="shared" si="34"/>
        <v>Piped (tap) water on community stand: distance less than 200m from dwelling/institution</v>
      </c>
      <c r="V129" s="301" t="str">
        <f t="shared" si="34"/>
        <v>Piped (tap) water on community stand: distance less than 200m from dwelling/institution</v>
      </c>
      <c r="W129" s="301" t="str">
        <f t="shared" si="34"/>
        <v>Piped (tap) water on community stand: distance less than 200m from dwelling/institution</v>
      </c>
      <c r="X129" s="301" t="str">
        <f t="shared" si="34"/>
        <v>Piped (tap) water on community stand: distance less than 200m from dwelling/institution</v>
      </c>
      <c r="Y129" s="301" t="str">
        <f t="shared" si="34"/>
        <v>Piped (tap) water on community stand: distance less than 200m from dwelling/institution</v>
      </c>
      <c r="Z129" s="301" t="str">
        <f t="shared" si="34"/>
        <v>Piped (tap) water on community stand: distance less than 200m from dwelling/institution</v>
      </c>
      <c r="AA129" s="301" t="str">
        <f t="shared" si="34"/>
        <v>Piped (tap) water on community stand: distance less than 200m from dwelling/institution</v>
      </c>
      <c r="AB129" s="301" t="str">
        <f t="shared" si="34"/>
        <v>Piped (tap) water on community stand: distance less than 200m from dwelling/institution</v>
      </c>
      <c r="AC129" s="301" t="str">
        <f t="shared" si="34"/>
        <v>Piped (tap) water on community stand: distance less than 200m from dwelling/institution</v>
      </c>
      <c r="AD129" s="301" t="str">
        <f t="shared" si="34"/>
        <v>Piped (tap) water on community stand: distance less than 200m from dwelling/institution</v>
      </c>
      <c r="AE129" s="301" t="str">
        <f>CI11</f>
        <v>No access to piped (tap) water</v>
      </c>
      <c r="AF129" s="301" t="str">
        <f>AE129</f>
        <v>No access to piped (tap) water</v>
      </c>
      <c r="AG129" s="301" t="str">
        <f t="shared" ref="AG129:AR129" si="35">AF129</f>
        <v>No access to piped (tap) water</v>
      </c>
      <c r="AH129" s="301" t="str">
        <f t="shared" si="35"/>
        <v>No access to piped (tap) water</v>
      </c>
      <c r="AI129" s="301" t="str">
        <f t="shared" si="35"/>
        <v>No access to piped (tap) water</v>
      </c>
      <c r="AJ129" s="301" t="str">
        <f t="shared" si="35"/>
        <v>No access to piped (tap) water</v>
      </c>
      <c r="AK129" s="301" t="str">
        <f t="shared" si="35"/>
        <v>No access to piped (tap) water</v>
      </c>
      <c r="AL129" s="301" t="str">
        <f t="shared" si="35"/>
        <v>No access to piped (tap) water</v>
      </c>
      <c r="AM129" s="301" t="str">
        <f t="shared" si="35"/>
        <v>No access to piped (tap) water</v>
      </c>
      <c r="AN129" s="301" t="str">
        <f t="shared" si="35"/>
        <v>No access to piped (tap) water</v>
      </c>
      <c r="AO129" s="301" t="str">
        <f t="shared" si="35"/>
        <v>No access to piped (tap) water</v>
      </c>
      <c r="AP129" s="301" t="str">
        <f t="shared" si="35"/>
        <v>No access to piped (tap) water</v>
      </c>
      <c r="AQ129" s="301" t="str">
        <f t="shared" si="35"/>
        <v>No access to piped (tap) water</v>
      </c>
      <c r="AR129" s="301" t="str">
        <f t="shared" si="35"/>
        <v>No access to piped (tap) water</v>
      </c>
    </row>
    <row r="130" spans="1:44" s="15" customFormat="1" ht="38">
      <c r="A130" s="304"/>
      <c r="B130" s="304"/>
      <c r="C130" s="305" t="str">
        <f>C12</f>
        <v>No income</v>
      </c>
      <c r="D130" s="305" t="str">
        <f t="shared" ref="D130:P130" si="36">D12</f>
        <v>R 1 - R 4800</v>
      </c>
      <c r="E130" s="305" t="str">
        <f t="shared" si="36"/>
        <v>R 4801 - R 9600</v>
      </c>
      <c r="F130" s="305" t="str">
        <f t="shared" si="36"/>
        <v>R 9601 - R 19 600</v>
      </c>
      <c r="G130" s="305" t="str">
        <f t="shared" si="36"/>
        <v>R 19 601 - R 38 200</v>
      </c>
      <c r="H130" s="305" t="str">
        <f t="shared" si="36"/>
        <v>R 38 201 - R 76 400</v>
      </c>
      <c r="I130" s="305" t="str">
        <f t="shared" si="36"/>
        <v>R 76 401 - R 153 800</v>
      </c>
      <c r="J130" s="305" t="str">
        <f t="shared" si="36"/>
        <v>R 153 801 - R 307 600</v>
      </c>
      <c r="K130" s="305" t="str">
        <f t="shared" si="36"/>
        <v>R 307 601 - R 614 400</v>
      </c>
      <c r="L130" s="305" t="str">
        <f t="shared" si="36"/>
        <v>R 614 001 - R 1 228 800</v>
      </c>
      <c r="M130" s="305" t="str">
        <f t="shared" si="36"/>
        <v>R 1 228 801 - R 2 457 600</v>
      </c>
      <c r="N130" s="305" t="str">
        <f t="shared" si="36"/>
        <v>R 2 457 601 or more</v>
      </c>
      <c r="O130" s="305" t="str">
        <f t="shared" si="36"/>
        <v>Unspecified</v>
      </c>
      <c r="P130" s="305" t="str">
        <f t="shared" si="36"/>
        <v>Total</v>
      </c>
      <c r="Q130" s="305" t="str">
        <f>AE12</f>
        <v>No income</v>
      </c>
      <c r="R130" s="305" t="str">
        <f t="shared" ref="R130:AD130" si="37">AF12</f>
        <v>R 1 - R 4800</v>
      </c>
      <c r="S130" s="305" t="str">
        <f t="shared" si="37"/>
        <v>R 4801 - R 9600</v>
      </c>
      <c r="T130" s="305" t="str">
        <f t="shared" si="37"/>
        <v>R 9601 - R 19 600</v>
      </c>
      <c r="U130" s="305" t="str">
        <f t="shared" si="37"/>
        <v>R 19 601 - R 38 200</v>
      </c>
      <c r="V130" s="305" t="str">
        <f t="shared" si="37"/>
        <v>R 38 201 - R 76 400</v>
      </c>
      <c r="W130" s="305" t="str">
        <f t="shared" si="37"/>
        <v>R 76 401 - R 153 800</v>
      </c>
      <c r="X130" s="305" t="str">
        <f t="shared" si="37"/>
        <v>R 153 801 - R 307 600</v>
      </c>
      <c r="Y130" s="305" t="str">
        <f t="shared" si="37"/>
        <v>R 307 601 - R 614 400</v>
      </c>
      <c r="Z130" s="305" t="str">
        <f t="shared" si="37"/>
        <v>R 614 001 - R 1 228 800</v>
      </c>
      <c r="AA130" s="305" t="str">
        <f t="shared" si="37"/>
        <v>R 1 228 801 - R 2 457 600</v>
      </c>
      <c r="AB130" s="305" t="str">
        <f t="shared" si="37"/>
        <v>R 2 457 601 or more</v>
      </c>
      <c r="AC130" s="305" t="str">
        <f t="shared" si="37"/>
        <v>Unspecified</v>
      </c>
      <c r="AD130" s="305" t="str">
        <f t="shared" si="37"/>
        <v>Total</v>
      </c>
      <c r="AE130" s="305" t="str">
        <f>CI12</f>
        <v>No income</v>
      </c>
      <c r="AF130" s="305" t="str">
        <f t="shared" ref="AF130:AR130" si="38">CJ12</f>
        <v>R 1 - R 4800</v>
      </c>
      <c r="AG130" s="305" t="str">
        <f t="shared" si="38"/>
        <v>R 4801 - R 9600</v>
      </c>
      <c r="AH130" s="305" t="str">
        <f t="shared" si="38"/>
        <v>R 9601 - R 19 600</v>
      </c>
      <c r="AI130" s="305" t="str">
        <f t="shared" si="38"/>
        <v>R 19 601 - R 38 200</v>
      </c>
      <c r="AJ130" s="305" t="str">
        <f t="shared" si="38"/>
        <v>R 38 201 - R 76 400</v>
      </c>
      <c r="AK130" s="305" t="str">
        <f t="shared" si="38"/>
        <v>R 76 401 - R 153 800</v>
      </c>
      <c r="AL130" s="305" t="str">
        <f t="shared" si="38"/>
        <v>R 153 801 - R 307 600</v>
      </c>
      <c r="AM130" s="305" t="str">
        <f t="shared" si="38"/>
        <v>R 307 601 - R 614 400</v>
      </c>
      <c r="AN130" s="305" t="str">
        <f t="shared" si="38"/>
        <v>R 614 001 - R 1 228 800</v>
      </c>
      <c r="AO130" s="305" t="str">
        <f t="shared" si="38"/>
        <v>R 1 228 801 - R 2 457 600</v>
      </c>
      <c r="AP130" s="305" t="str">
        <f t="shared" si="38"/>
        <v>R 2 457 601 or more</v>
      </c>
      <c r="AQ130" s="305" t="str">
        <f t="shared" si="38"/>
        <v>Unspecified</v>
      </c>
      <c r="AR130" s="305" t="str">
        <f t="shared" si="38"/>
        <v>Total</v>
      </c>
    </row>
    <row r="131" spans="1:44">
      <c r="A131" t="s">
        <v>78</v>
      </c>
      <c r="B131" s="15"/>
      <c r="C131" s="8">
        <f t="array" ref="C131">SUM(IF($C$9:$CV$9=C$128,IF($C$12:$CV$12=C$130,$C$14:$CV$14)))</f>
        <v>979468.06529029994</v>
      </c>
      <c r="D131" s="8">
        <f t="array" ref="D131">SUM(IF($C$9:$CV$9=D$128,IF($C$12:$CV$12=D$130,$C$14:$CV$14)))</f>
        <v>266705.13777989999</v>
      </c>
      <c r="E131" s="8">
        <f t="array" ref="E131">SUM(IF($C$9:$CV$9=E$128,IF($C$12:$CV$12=E$130,$C$14:$CV$14)))</f>
        <v>427787.75057979999</v>
      </c>
      <c r="F131" s="8">
        <f t="array" ref="F131">SUM(IF($C$9:$CV$9=F$128,IF($C$12:$CV$12=F$130,$C$14:$CV$14)))</f>
        <v>1134952.9804813</v>
      </c>
      <c r="G131" s="8">
        <f t="array" ref="G131">SUM(IF($C$9:$CV$9=G$128,IF($C$12:$CV$12=G$130,$C$14:$CV$14)))</f>
        <v>1348344.6310608999</v>
      </c>
      <c r="H131" s="8">
        <f t="array" ref="H131">SUM(IF($C$9:$CV$9=H$128,IF($C$12:$CV$12=H$130,$C$14:$CV$14)))</f>
        <v>1094529.1874803</v>
      </c>
      <c r="I131" s="8">
        <f t="array" ref="I131">SUM(IF($C$9:$CV$9=I$128,IF($C$12:$CV$12=I$130,$C$14:$CV$14)))</f>
        <v>896668.69850980002</v>
      </c>
      <c r="J131" s="8">
        <f t="array" ref="J131">SUM(IF($C$9:$CV$9=J$128,IF($C$12:$CV$12=J$130,$C$14:$CV$14)))</f>
        <v>738441.27786979999</v>
      </c>
      <c r="K131" s="8">
        <f t="array" ref="K131">SUM(IF($C$9:$CV$9=K$128,IF($C$12:$CV$12=K$130,$C$14:$CV$14)))</f>
        <v>497157.38063979999</v>
      </c>
      <c r="L131" s="8">
        <f t="array" ref="L131">SUM(IF($C$9:$CV$9=L$128,IF($C$12:$CV$12=L$130,$C$14:$CV$14)))</f>
        <v>201973.59053989997</v>
      </c>
      <c r="M131" s="8">
        <f t="array" ref="M131">SUM(IF($C$9:$CV$9=M$128,IF($C$12:$CV$12=M$130,$C$14:$CV$14)))</f>
        <v>59820.136189999997</v>
      </c>
      <c r="N131" s="8">
        <f t="array" ref="N131">SUM(IF($C$9:$CV$9=N$128,IF($C$12:$CV$12=N$130,$C$14:$CV$14)))</f>
        <v>34096.077689999998</v>
      </c>
      <c r="O131" s="8">
        <f t="array" ref="O131">SUM(IF($C$9:$CV$9=O$128,IF($C$12:$CV$12=O$130,$C$14:$CV$14)))</f>
        <v>577.8196200000001</v>
      </c>
      <c r="P131" s="8">
        <f t="array" ref="P131">SUM(IF($C$9:$CV$9=P$128,IF($C$12:$CV$12=P$130,$C$14:$CV$14)))</f>
        <v>7680522.7337319003</v>
      </c>
      <c r="Q131" s="8">
        <f t="array" ref="Q131">SUM(IF($C$9:$CV$9=Q$128,IF($C$12:$CV$12=Q$130,$C$14:$CV$14)))</f>
        <v>190161.95514989999</v>
      </c>
      <c r="R131" s="8">
        <f t="array" ref="R131">SUM(IF($C$9:$CV$9=R$128,IF($C$12:$CV$12=R$130,$C$14:$CV$14)))</f>
        <v>81450.626039999988</v>
      </c>
      <c r="S131" s="8">
        <f t="array" ref="S131">SUM(IF($C$9:$CV$9=S$128,IF($C$12:$CV$12=S$130,$C$14:$CV$14)))</f>
        <v>143960.21362990001</v>
      </c>
      <c r="T131" s="8">
        <f t="array" ref="T131">SUM(IF($C$9:$CV$9=T$128,IF($C$12:$CV$12=T$130,$C$14:$CV$14)))</f>
        <v>285266.96925000002</v>
      </c>
      <c r="U131" s="8">
        <f t="array" ref="U131">SUM(IF($C$9:$CV$9=U$128,IF($C$12:$CV$12=U$130,$C$14:$CV$14)))</f>
        <v>256913.41459000003</v>
      </c>
      <c r="V131" s="8">
        <f t="array" ref="V131">SUM(IF($C$9:$CV$9=V$128,IF($C$12:$CV$12=V$130,$C$14:$CV$14)))</f>
        <v>106893.26376999999</v>
      </c>
      <c r="W131" s="8">
        <f t="array" ref="W131">SUM(IF($C$9:$CV$9=W$128,IF($C$12:$CV$12=W$130,$C$14:$CV$14)))</f>
        <v>45219.879419999997</v>
      </c>
      <c r="X131" s="8">
        <f t="array" ref="X131">SUM(IF($C$9:$CV$9=X$128,IF($C$12:$CV$12=X$130,$C$14:$CV$14)))</f>
        <v>20574.313159999998</v>
      </c>
      <c r="Y131" s="8">
        <f t="array" ref="Y131">SUM(IF($C$9:$CV$9=Y$128,IF($C$12:$CV$12=Y$130,$C$14:$CV$14)))</f>
        <v>7718.7556999999997</v>
      </c>
      <c r="Z131" s="8">
        <f t="array" ref="Z131">SUM(IF($C$9:$CV$9=Z$128,IF($C$12:$CV$12=Z$130,$C$14:$CV$14)))</f>
        <v>1379.12167</v>
      </c>
      <c r="AA131" s="8">
        <f t="array" ref="AA131">SUM(IF($C$9:$CV$9=AA$128,IF($C$12:$CV$12=AA$130,$C$14:$CV$14)))</f>
        <v>937.79991999999993</v>
      </c>
      <c r="AB131" s="8">
        <f t="array" ref="AB131">SUM(IF($C$9:$CV$9=AB$128,IF($C$12:$CV$12=AB$130,$C$14:$CV$14)))</f>
        <v>691.39511000000005</v>
      </c>
      <c r="AC131" s="8">
        <f t="array" ref="AC131">SUM(IF($C$9:$CV$9=AC$128,IF($C$12:$CV$12=AC$130,$C$14:$CV$14)))</f>
        <v>11.94665</v>
      </c>
      <c r="AD131" s="8">
        <f t="array" ref="AD131">SUM(IF($C$9:$CV$9=AD$128,IF($C$12:$CV$12=AD$130,$C$14:$CV$14)))</f>
        <v>1079767.4765997999</v>
      </c>
      <c r="AE131" s="8">
        <f t="array" ref="AE131">SUM(IF($C$9:$CV$9=AE$128,IF($C$12:$CV$12=AE$130,$C$14:$CV$14)))</f>
        <v>88645.764410000003</v>
      </c>
      <c r="AF131" s="8">
        <f t="array" ref="AF131">SUM(IF($C$9:$CV$9=AF$128,IF($C$12:$CV$12=AF$130,$C$14:$CV$14)))</f>
        <v>37927.915589999997</v>
      </c>
      <c r="AG131" s="8">
        <f t="array" ref="AG131">SUM(IF($C$9:$CV$9=AG$128,IF($C$12:$CV$12=AG$130,$C$14:$CV$14)))</f>
        <v>69193.334539999996</v>
      </c>
      <c r="AH131" s="8">
        <f t="array" ref="AH131">SUM(IF($C$9:$CV$9=AH$128,IF($C$12:$CV$12=AH$130,$C$14:$CV$14)))</f>
        <v>135705.85941989999</v>
      </c>
      <c r="AI131" s="8">
        <f t="array" ref="AI131">SUM(IF($C$9:$CV$9=AI$128,IF($C$12:$CV$12=AI$130,$C$14:$CV$14)))</f>
        <v>125654.1150699</v>
      </c>
      <c r="AJ131" s="8">
        <f t="array" ref="AJ131">SUM(IF($C$9:$CV$9=AJ$128,IF($C$12:$CV$12=AJ$130,$C$14:$CV$14)))</f>
        <v>54171.0504</v>
      </c>
      <c r="AK131" s="8">
        <f t="array" ref="AK131">SUM(IF($C$9:$CV$9=AK$128,IF($C$12:$CV$12=AK$130,$C$14:$CV$14)))</f>
        <v>27505.59289</v>
      </c>
      <c r="AL131" s="8">
        <f t="array" ref="AL131">SUM(IF($C$9:$CV$9=AL$128,IF($C$12:$CV$12=AL$130,$C$14:$CV$14)))</f>
        <v>14834.828079999999</v>
      </c>
      <c r="AM131" s="8">
        <f t="array" ref="AM131">SUM(IF($C$9:$CV$9=AM$128,IF($C$12:$CV$12=AM$130,$C$14:$CV$14)))</f>
        <v>6161.2320399999999</v>
      </c>
      <c r="AN131" s="8">
        <f t="array" ref="AN131">SUM(IF($C$9:$CV$9=AN$128,IF($C$12:$CV$12=AN$130,$C$14:$CV$14)))</f>
        <v>1358.5009500000001</v>
      </c>
      <c r="AO131" s="8">
        <f t="array" ref="AO131">SUM(IF($C$9:$CV$9=AO$128,IF($C$12:$CV$12=AO$130,$C$14:$CV$14)))</f>
        <v>657.83226999999999</v>
      </c>
      <c r="AP131" s="8">
        <f t="array" ref="AP131">SUM(IF($C$9:$CV$9=AP$128,IF($C$12:$CV$12=AP$130,$C$14:$CV$14)))</f>
        <v>502.74365999999998</v>
      </c>
      <c r="AQ131" s="8">
        <f t="array" ref="AQ131">SUM(IF($C$9:$CV$9=AQ$128,IF($C$12:$CV$12=AQ$130,$C$14:$CV$14)))</f>
        <v>8.4331600000000009</v>
      </c>
      <c r="AR131" s="8">
        <f t="array" ref="AR131">SUM(IF($C$9:$CV$9=AR$128,IF($C$12:$CV$12=AR$130,$C$14:$CV$14)))</f>
        <v>623739.37993970001</v>
      </c>
    </row>
    <row r="132" spans="1:44">
      <c r="A132" t="s">
        <v>468</v>
      </c>
      <c r="B132" s="15"/>
      <c r="C132" s="8">
        <f t="array" ref="C132">SUM(IF($C$9:$CV$9=C$128,IF($C$12:$CV$12=C$130,$C$17:$CV$19)))</f>
        <v>51780.799429999999</v>
      </c>
      <c r="D132" s="8">
        <f t="array" ref="D132">SUM(IF($C$9:$CV$9=D$128,IF($C$12:$CV$12=D$130,$C$17:$CV$19)))</f>
        <v>7775.5238100000006</v>
      </c>
      <c r="E132" s="8">
        <f t="array" ref="E132">SUM(IF($C$9:$CV$9=E$128,IF($C$12:$CV$12=E$130,$C$17:$CV$19)))</f>
        <v>11544.373379999999</v>
      </c>
      <c r="F132" s="8">
        <f t="array" ref="F132">SUM(IF($C$9:$CV$9=F$128,IF($C$12:$CV$12=F$130,$C$17:$CV$19)))</f>
        <v>42010.036419999997</v>
      </c>
      <c r="G132" s="8">
        <f t="array" ref="G132">SUM(IF($C$9:$CV$9=G$128,IF($C$12:$CV$12=G$130,$C$17:$CV$19)))</f>
        <v>56055.403620000005</v>
      </c>
      <c r="H132" s="8">
        <f t="array" ref="H132">SUM(IF($C$9:$CV$9=H$128,IF($C$12:$CV$12=H$130,$C$17:$CV$19)))</f>
        <v>63847.055079999991</v>
      </c>
      <c r="I132" s="8">
        <f t="array" ref="I132">SUM(IF($C$9:$CV$9=I$128,IF($C$12:$CV$12=I$130,$C$17:$CV$19)))</f>
        <v>76058.034650000001</v>
      </c>
      <c r="J132" s="8">
        <f t="array" ref="J132">SUM(IF($C$9:$CV$9=J$128,IF($C$12:$CV$12=J$130,$C$17:$CV$19)))</f>
        <v>95722.787220000013</v>
      </c>
      <c r="K132" s="8">
        <f t="array" ref="K132">SUM(IF($C$9:$CV$9=K$128,IF($C$12:$CV$12=K$130,$C$17:$CV$19)))</f>
        <v>86185.635559999995</v>
      </c>
      <c r="L132" s="8">
        <f t="array" ref="L132">SUM(IF($C$9:$CV$9=L$128,IF($C$12:$CV$12=L$130,$C$17:$CV$19)))</f>
        <v>40741.865720000002</v>
      </c>
      <c r="M132" s="8">
        <f t="array" ref="M132">SUM(IF($C$9:$CV$9=M$128,IF($C$12:$CV$12=M$130,$C$17:$CV$19)))</f>
        <v>10152.902829999999</v>
      </c>
      <c r="N132" s="8">
        <f t="array" ref="N132">SUM(IF($C$9:$CV$9=N$128,IF($C$12:$CV$12=N$130,$C$17:$CV$19)))</f>
        <v>5351.7718699999996</v>
      </c>
      <c r="O132" s="8">
        <f t="array" ref="O132">SUM(IF($C$9:$CV$9=O$128,IF($C$12:$CV$12=O$130,$C$17:$CV$19)))</f>
        <v>50.136480000000006</v>
      </c>
      <c r="P132" s="8">
        <f t="array" ref="P132">SUM(IF($C$9:$CV$9=P$128,IF($C$12:$CV$12=P$130,$C$17:$CV$19)))</f>
        <v>547276.32607000007</v>
      </c>
      <c r="Q132" s="8">
        <f t="array" ref="Q132">SUM(IF($C$9:$CV$9=Q$128,IF($C$12:$CV$12=Q$130,$C$17:$CV$19)))</f>
        <v>4069.4619600000001</v>
      </c>
      <c r="R132" s="8">
        <f t="array" ref="R132">SUM(IF($C$9:$CV$9=R$128,IF($C$12:$CV$12=R$130,$C$17:$CV$19)))</f>
        <v>1243.9461700000002</v>
      </c>
      <c r="S132" s="8">
        <f t="array" ref="S132">SUM(IF($C$9:$CV$9=S$128,IF($C$12:$CV$12=S$130,$C$17:$CV$19)))</f>
        <v>1790.2476799999999</v>
      </c>
      <c r="T132" s="8">
        <f t="array" ref="T132">SUM(IF($C$9:$CV$9=T$128,IF($C$12:$CV$12=T$130,$C$17:$CV$19)))</f>
        <v>3816.6258600000001</v>
      </c>
      <c r="U132" s="8">
        <f t="array" ref="U132">SUM(IF($C$9:$CV$9=U$128,IF($C$12:$CV$12=U$130,$C$17:$CV$19)))</f>
        <v>3814.0372299999999</v>
      </c>
      <c r="V132" s="8">
        <f t="array" ref="V132">SUM(IF($C$9:$CV$9=V$128,IF($C$12:$CV$12=V$130,$C$17:$CV$19)))</f>
        <v>2010.0397400000002</v>
      </c>
      <c r="W132" s="8">
        <f t="array" ref="W132">SUM(IF($C$9:$CV$9=W$128,IF($C$12:$CV$12=W$130,$C$17:$CV$19)))</f>
        <v>850.90415000000007</v>
      </c>
      <c r="X132" s="8">
        <f t="array" ref="X132">SUM(IF($C$9:$CV$9=X$128,IF($C$12:$CV$12=X$130,$C$17:$CV$19)))</f>
        <v>583.97057000000007</v>
      </c>
      <c r="Y132" s="8">
        <f t="array" ref="Y132">SUM(IF($C$9:$CV$9=Y$128,IF($C$12:$CV$12=Y$130,$C$17:$CV$19)))</f>
        <v>369.10496999999998</v>
      </c>
      <c r="Z132" s="8">
        <f t="array" ref="Z132">SUM(IF($C$9:$CV$9=Z$128,IF($C$12:$CV$12=Z$130,$C$17:$CV$19)))</f>
        <v>157.72227000000001</v>
      </c>
      <c r="AA132" s="8">
        <f t="array" ref="AA132">SUM(IF($C$9:$CV$9=AA$128,IF($C$12:$CV$12=AA$130,$C$17:$CV$19)))</f>
        <v>55.046610000000001</v>
      </c>
      <c r="AB132" s="8">
        <f t="array" ref="AB132">SUM(IF($C$9:$CV$9=AB$128,IF($C$12:$CV$12=AB$130,$C$17:$CV$19)))</f>
        <v>30.184449999999998</v>
      </c>
      <c r="AC132" s="8">
        <f t="array" ref="AC132">SUM(IF($C$9:$CV$9=AC$128,IF($C$12:$CV$12=AC$130,$C$17:$CV$19)))</f>
        <v>0</v>
      </c>
      <c r="AD132" s="8">
        <f t="array" ref="AD132">SUM(IF($C$9:$CV$9=AD$128,IF($C$12:$CV$12=AD$130,$C$17:$CV$19)))</f>
        <v>17751.370750000002</v>
      </c>
      <c r="AE132" s="8">
        <f t="array" ref="AE132">SUM(IF($C$9:$CV$9=AE$128,IF($C$12:$CV$12=AE$130,$C$17:$CV$19)))</f>
        <v>1228.3228799999999</v>
      </c>
      <c r="AF132" s="8">
        <f t="array" ref="AF132">SUM(IF($C$9:$CV$9=AF$128,IF($C$12:$CV$12=AF$130,$C$17:$CV$19)))</f>
        <v>409.52102000000002</v>
      </c>
      <c r="AG132" s="8">
        <f t="array" ref="AG132">SUM(IF($C$9:$CV$9=AG$128,IF($C$12:$CV$12=AG$130,$C$17:$CV$19)))</f>
        <v>659.89207999999996</v>
      </c>
      <c r="AH132" s="8">
        <f t="array" ref="AH132">SUM(IF($C$9:$CV$9=AH$128,IF($C$12:$CV$12=AH$130,$C$17:$CV$19)))</f>
        <v>1510.8272200000001</v>
      </c>
      <c r="AI132" s="8">
        <f t="array" ref="AI132">SUM(IF($C$9:$CV$9=AI$128,IF($C$12:$CV$12=AI$130,$C$17:$CV$19)))</f>
        <v>1375.5928699999999</v>
      </c>
      <c r="AJ132" s="8">
        <f t="array" ref="AJ132">SUM(IF($C$9:$CV$9=AJ$128,IF($C$12:$CV$12=AJ$130,$C$17:$CV$19)))</f>
        <v>681.71798000000001</v>
      </c>
      <c r="AK132" s="8">
        <f t="array" ref="AK132">SUM(IF($C$9:$CV$9=AK$128,IF($C$12:$CV$12=AK$130,$C$17:$CV$19)))</f>
        <v>415.52532999999994</v>
      </c>
      <c r="AL132" s="8">
        <f t="array" ref="AL132">SUM(IF($C$9:$CV$9=AL$128,IF($C$12:$CV$12=AL$130,$C$17:$CV$19)))</f>
        <v>333.31073000000004</v>
      </c>
      <c r="AM132" s="8">
        <f t="array" ref="AM132">SUM(IF($C$9:$CV$9=AM$128,IF($C$12:$CV$12=AM$130,$C$17:$CV$19)))</f>
        <v>218.83472</v>
      </c>
      <c r="AN132" s="8">
        <f t="array" ref="AN132">SUM(IF($C$9:$CV$9=AN$128,IF($C$12:$CV$12=AN$130,$C$17:$CV$19)))</f>
        <v>97.193509999999989</v>
      </c>
      <c r="AO132" s="8">
        <f t="array" ref="AO132">SUM(IF($C$9:$CV$9=AO$128,IF($C$12:$CV$12=AO$130,$C$17:$CV$19)))</f>
        <v>39.289929999999998</v>
      </c>
      <c r="AP132" s="8">
        <f t="array" ref="AP132">SUM(IF($C$9:$CV$9=AP$128,IF($C$12:$CV$12=AP$130,$C$17:$CV$19)))</f>
        <v>18.761410000000001</v>
      </c>
      <c r="AQ132" s="8">
        <f t="array" ref="AQ132">SUM(IF($C$9:$CV$9=AQ$128,IF($C$12:$CV$12=AQ$130,$C$17:$CV$19)))</f>
        <v>0</v>
      </c>
      <c r="AR132" s="8">
        <f t="array" ref="AR132">SUM(IF($C$9:$CV$9=AR$128,IF($C$12:$CV$12=AR$130,$C$17:$CV$19)))</f>
        <v>8028.7105900000006</v>
      </c>
    </row>
    <row r="133" spans="1:44">
      <c r="A133" t="s">
        <v>607</v>
      </c>
      <c r="B133" s="15"/>
      <c r="C133" s="8">
        <f t="array" ref="C133">SUM(IF($C$9:$CV$9=C$128,IF($C$12:$CV$12=C$130,$C$16:$CV$16)))</f>
        <v>93870.539280000012</v>
      </c>
      <c r="D133" s="8">
        <f t="array" ref="D133">SUM(IF($C$9:$CV$9=D$128,IF($C$12:$CV$12=D$130,$C$16:$CV$16)))</f>
        <v>11186.031129999999</v>
      </c>
      <c r="E133" s="8">
        <f t="array" ref="E133">SUM(IF($C$9:$CV$9=E$128,IF($C$12:$CV$12=E$130,$C$16:$CV$16)))</f>
        <v>17735.574209999999</v>
      </c>
      <c r="F133" s="8">
        <f t="array" ref="F133">SUM(IF($C$9:$CV$9=F$128,IF($C$12:$CV$12=F$130,$C$16:$CV$16)))</f>
        <v>50597.865469999997</v>
      </c>
      <c r="G133" s="8">
        <f t="array" ref="G133">SUM(IF($C$9:$CV$9=G$128,IF($C$12:$CV$12=G$130,$C$16:$CV$16)))</f>
        <v>74994.515050000002</v>
      </c>
      <c r="H133" s="8">
        <f t="array" ref="H133">SUM(IF($C$9:$CV$9=H$128,IF($C$12:$CV$12=H$130,$C$16:$CV$16)))</f>
        <v>96167.43101</v>
      </c>
      <c r="I133" s="8">
        <f t="array" ref="I133">SUM(IF($C$9:$CV$9=I$128,IF($C$12:$CV$12=I$130,$C$16:$CV$16)))</f>
        <v>111965.97564999999</v>
      </c>
      <c r="J133" s="8">
        <f t="array" ref="J133">SUM(IF($C$9:$CV$9=J$128,IF($C$12:$CV$12=J$130,$C$16:$CV$16)))</f>
        <v>104545.47796</v>
      </c>
      <c r="K133" s="8">
        <f t="array" ref="K133">SUM(IF($C$9:$CV$9=K$128,IF($C$12:$CV$12=K$130,$C$16:$CV$16)))</f>
        <v>56991.245819999996</v>
      </c>
      <c r="L133" s="8">
        <f t="array" ref="L133">SUM(IF($C$9:$CV$9=L$128,IF($C$12:$CV$12=L$130,$C$16:$CV$16)))</f>
        <v>16198.26089</v>
      </c>
      <c r="M133" s="8">
        <f t="array" ref="M133">SUM(IF($C$9:$CV$9=M$128,IF($C$12:$CV$12=M$130,$C$16:$CV$16)))</f>
        <v>4412.1353099999997</v>
      </c>
      <c r="N133" s="8">
        <f t="array" ref="N133">SUM(IF($C$9:$CV$9=N$128,IF($C$12:$CV$12=N$130,$C$16:$CV$16)))</f>
        <v>3193.5465599999998</v>
      </c>
      <c r="O133" s="8">
        <f t="array" ref="O133">SUM(IF($C$9:$CV$9=O$128,IF($C$12:$CV$12=O$130,$C$16:$CV$16)))</f>
        <v>24.40502</v>
      </c>
      <c r="P133" s="8">
        <f t="array" ref="P133">SUM(IF($C$9:$CV$9=P$128,IF($C$12:$CV$12=P$130,$C$16:$CV$16)))</f>
        <v>641883.00335999997</v>
      </c>
      <c r="Q133" s="8">
        <f t="array" ref="Q133">SUM(IF($C$9:$CV$9=Q$128,IF($C$12:$CV$12=Q$130,$C$16:$CV$16)))</f>
        <v>9153.7855999999992</v>
      </c>
      <c r="R133" s="8">
        <f t="array" ref="R133">SUM(IF($C$9:$CV$9=R$128,IF($C$12:$CV$12=R$130,$C$16:$CV$16)))</f>
        <v>3154.9031100000002</v>
      </c>
      <c r="S133" s="8">
        <f t="array" ref="S133">SUM(IF($C$9:$CV$9=S$128,IF($C$12:$CV$12=S$130,$C$16:$CV$16)))</f>
        <v>5076.1195900000012</v>
      </c>
      <c r="T133" s="8">
        <f t="array" ref="T133">SUM(IF($C$9:$CV$9=T$128,IF($C$12:$CV$12=T$130,$C$16:$CV$16)))</f>
        <v>10293.381069999999</v>
      </c>
      <c r="U133" s="8">
        <f t="array" ref="U133">SUM(IF($C$9:$CV$9=U$128,IF($C$12:$CV$12=U$130,$C$16:$CV$16)))</f>
        <v>9265.5053699999989</v>
      </c>
      <c r="V133" s="8">
        <f t="array" ref="V133">SUM(IF($C$9:$CV$9=V$128,IF($C$12:$CV$12=V$130,$C$16:$CV$16)))</f>
        <v>4252.7677799999992</v>
      </c>
      <c r="W133" s="8">
        <f t="array" ref="W133">SUM(IF($C$9:$CV$9=W$128,IF($C$12:$CV$12=W$130,$C$16:$CV$16)))</f>
        <v>1766.84978</v>
      </c>
      <c r="X133" s="8">
        <f t="array" ref="X133">SUM(IF($C$9:$CV$9=X$128,IF($C$12:$CV$12=X$130,$C$16:$CV$16)))</f>
        <v>942.42097000000001</v>
      </c>
      <c r="Y133" s="8">
        <f t="array" ref="Y133">SUM(IF($C$9:$CV$9=Y$128,IF($C$12:$CV$12=Y$130,$C$16:$CV$16)))</f>
        <v>376.57740999999999</v>
      </c>
      <c r="Z133" s="8">
        <f t="array" ref="Z133">SUM(IF($C$9:$CV$9=Z$128,IF($C$12:$CV$12=Z$130,$C$16:$CV$16)))</f>
        <v>83.070990000000009</v>
      </c>
      <c r="AA133" s="8">
        <f t="array" ref="AA133">SUM(IF($C$9:$CV$9=AA$128,IF($C$12:$CV$12=AA$130,$C$16:$CV$16)))</f>
        <v>42.901359999999997</v>
      </c>
      <c r="AB133" s="8">
        <f t="array" ref="AB133">SUM(IF($C$9:$CV$9=AB$128,IF($C$12:$CV$12=AB$130,$C$16:$CV$16)))</f>
        <v>55.402879999999996</v>
      </c>
      <c r="AC133" s="8">
        <f t="array" ref="AC133">SUM(IF($C$9:$CV$9=AC$128,IF($C$12:$CV$12=AC$130,$C$16:$CV$16)))</f>
        <v>0</v>
      </c>
      <c r="AD133" s="8">
        <f t="array" ref="AD133">SUM(IF($C$9:$CV$9=AD$128,IF($C$12:$CV$12=AD$130,$C$16:$CV$16)))</f>
        <v>42016.653339999997</v>
      </c>
      <c r="AE133" s="8">
        <f t="array" ref="AE133">SUM(IF($C$9:$CV$9=AE$128,IF($C$12:$CV$12=AE$130,$C$16:$CV$16)))</f>
        <v>6229.5556299999998</v>
      </c>
      <c r="AF133" s="8">
        <f t="array" ref="AF133">SUM(IF($C$9:$CV$9=AF$128,IF($C$12:$CV$12=AF$130,$C$16:$CV$16)))</f>
        <v>2305.0286799999999</v>
      </c>
      <c r="AG133" s="8">
        <f t="array" ref="AG133">SUM(IF($C$9:$CV$9=AG$128,IF($C$12:$CV$12=AG$130,$C$16:$CV$16)))</f>
        <v>4539.4524300000003</v>
      </c>
      <c r="AH133" s="8">
        <f t="array" ref="AH133">SUM(IF($C$9:$CV$9=AH$128,IF($C$12:$CV$12=AH$130,$C$16:$CV$16)))</f>
        <v>8092.5960599999999</v>
      </c>
      <c r="AI133" s="8">
        <f t="array" ref="AI133">SUM(IF($C$9:$CV$9=AI$128,IF($C$12:$CV$12=AI$130,$C$16:$CV$16)))</f>
        <v>6897.80195</v>
      </c>
      <c r="AJ133" s="8">
        <f t="array" ref="AJ133">SUM(IF($C$9:$CV$9=AJ$128,IF($C$12:$CV$12=AJ$130,$C$16:$CV$16)))</f>
        <v>2867.8906499999998</v>
      </c>
      <c r="AK133" s="8">
        <f t="array" ref="AK133">SUM(IF($C$9:$CV$9=AK$128,IF($C$12:$CV$12=AK$130,$C$16:$CV$16)))</f>
        <v>1596.0977600000001</v>
      </c>
      <c r="AL133" s="8">
        <f t="array" ref="AL133">SUM(IF($C$9:$CV$9=AL$128,IF($C$12:$CV$12=AL$130,$C$16:$CV$16)))</f>
        <v>854.21938</v>
      </c>
      <c r="AM133" s="8">
        <f t="array" ref="AM133">SUM(IF($C$9:$CV$9=AM$128,IF($C$12:$CV$12=AM$130,$C$16:$CV$16)))</f>
        <v>424.48977000000002</v>
      </c>
      <c r="AN133" s="8">
        <f t="array" ref="AN133">SUM(IF($C$9:$CV$9=AN$128,IF($C$12:$CV$12=AN$130,$C$16:$CV$16)))</f>
        <v>87.880229999999997</v>
      </c>
      <c r="AO133" s="8">
        <f t="array" ref="AO133">SUM(IF($C$9:$CV$9=AO$128,IF($C$12:$CV$12=AO$130,$C$16:$CV$16)))</f>
        <v>42.425939999999997</v>
      </c>
      <c r="AP133" s="8">
        <f t="array" ref="AP133">SUM(IF($C$9:$CV$9=AP$128,IF($C$12:$CV$12=AP$130,$C$16:$CV$16)))</f>
        <v>42.008629999999997</v>
      </c>
      <c r="AQ133" s="8">
        <f t="array" ref="AQ133">SUM(IF($C$9:$CV$9=AQ$128,IF($C$12:$CV$12=AQ$130,$C$16:$CV$16)))</f>
        <v>1.13269</v>
      </c>
      <c r="AR133" s="8">
        <f t="array" ref="AR133">SUM(IF($C$9:$CV$9=AR$128,IF($C$12:$CV$12=AR$130,$C$16:$CV$16)))</f>
        <v>36427.612370000003</v>
      </c>
    </row>
    <row r="134" spans="1:44">
      <c r="A134" s="302" t="s">
        <v>596</v>
      </c>
      <c r="B134" s="302" t="s">
        <v>596</v>
      </c>
      <c r="C134" s="303">
        <f t="shared" ref="C134:AR134" si="39">C131+C132+C133</f>
        <v>1125119.4040003</v>
      </c>
      <c r="D134" s="303">
        <f t="shared" si="39"/>
        <v>285666.69271989999</v>
      </c>
      <c r="E134" s="303">
        <f t="shared" si="39"/>
        <v>457067.69816979999</v>
      </c>
      <c r="F134" s="303">
        <f t="shared" si="39"/>
        <v>1227560.8823713001</v>
      </c>
      <c r="G134" s="303">
        <f t="shared" si="39"/>
        <v>1479394.5497309</v>
      </c>
      <c r="H134" s="303">
        <f t="shared" si="39"/>
        <v>1254543.6735703</v>
      </c>
      <c r="I134" s="303">
        <f t="shared" si="39"/>
        <v>1084692.7088098</v>
      </c>
      <c r="J134" s="303">
        <f t="shared" si="39"/>
        <v>938709.54304980009</v>
      </c>
      <c r="K134" s="303">
        <f t="shared" si="39"/>
        <v>640334.26201979991</v>
      </c>
      <c r="L134" s="303">
        <f t="shared" si="39"/>
        <v>258913.71714989998</v>
      </c>
      <c r="M134" s="303">
        <f t="shared" si="39"/>
        <v>74385.174329999994</v>
      </c>
      <c r="N134" s="303">
        <f t="shared" si="39"/>
        <v>42641.396119999998</v>
      </c>
      <c r="O134" s="303">
        <f t="shared" si="39"/>
        <v>652.36112000000014</v>
      </c>
      <c r="P134" s="303">
        <f t="shared" si="39"/>
        <v>8869682.0631619003</v>
      </c>
      <c r="Q134" s="303">
        <f t="shared" si="39"/>
        <v>203385.20270989998</v>
      </c>
      <c r="R134" s="303">
        <f t="shared" si="39"/>
        <v>85849.475319999983</v>
      </c>
      <c r="S134" s="303">
        <f t="shared" si="39"/>
        <v>150826.5808999</v>
      </c>
      <c r="T134" s="303">
        <f t="shared" si="39"/>
        <v>299376.97618</v>
      </c>
      <c r="U134" s="303">
        <f t="shared" si="39"/>
        <v>269992.95718999999</v>
      </c>
      <c r="V134" s="303">
        <f t="shared" si="39"/>
        <v>113156.07128999999</v>
      </c>
      <c r="W134" s="303">
        <f t="shared" si="39"/>
        <v>47837.633349999996</v>
      </c>
      <c r="X134" s="303">
        <f t="shared" si="39"/>
        <v>22100.704699999998</v>
      </c>
      <c r="Y134" s="303">
        <f t="shared" si="39"/>
        <v>8464.4380799999999</v>
      </c>
      <c r="Z134" s="303">
        <f t="shared" si="39"/>
        <v>1619.9149299999999</v>
      </c>
      <c r="AA134" s="303">
        <f t="shared" si="39"/>
        <v>1035.7478899999999</v>
      </c>
      <c r="AB134" s="303">
        <f t="shared" si="39"/>
        <v>776.98244</v>
      </c>
      <c r="AC134" s="303">
        <f t="shared" si="39"/>
        <v>11.94665</v>
      </c>
      <c r="AD134" s="303">
        <f t="shared" si="39"/>
        <v>1139535.5006897999</v>
      </c>
      <c r="AE134" s="303">
        <f t="shared" si="39"/>
        <v>96103.642920000013</v>
      </c>
      <c r="AF134" s="303">
        <f t="shared" si="39"/>
        <v>40642.46529</v>
      </c>
      <c r="AG134" s="303">
        <f t="shared" si="39"/>
        <v>74392.679050000006</v>
      </c>
      <c r="AH134" s="303">
        <f t="shared" si="39"/>
        <v>145309.28269990001</v>
      </c>
      <c r="AI134" s="303">
        <f t="shared" si="39"/>
        <v>133927.50988989999</v>
      </c>
      <c r="AJ134" s="303">
        <f t="shared" si="39"/>
        <v>57720.659030000003</v>
      </c>
      <c r="AK134" s="303">
        <f t="shared" si="39"/>
        <v>29517.215980000001</v>
      </c>
      <c r="AL134" s="303">
        <f t="shared" si="39"/>
        <v>16022.358189999999</v>
      </c>
      <c r="AM134" s="303">
        <f t="shared" si="39"/>
        <v>6804.5565299999998</v>
      </c>
      <c r="AN134" s="303">
        <f t="shared" si="39"/>
        <v>1543.5746900000001</v>
      </c>
      <c r="AO134" s="303">
        <f t="shared" si="39"/>
        <v>739.54813999999999</v>
      </c>
      <c r="AP134" s="303">
        <f t="shared" si="39"/>
        <v>563.51369999999997</v>
      </c>
      <c r="AQ134" s="303">
        <f t="shared" si="39"/>
        <v>9.5658500000000011</v>
      </c>
      <c r="AR134" s="303">
        <f t="shared" si="39"/>
        <v>668195.70289970003</v>
      </c>
    </row>
    <row r="137" spans="1:44" ht="22.35">
      <c r="A137" s="313" t="s">
        <v>65</v>
      </c>
      <c r="H137" t="s">
        <v>804</v>
      </c>
    </row>
    <row r="138" spans="1:44">
      <c r="A138" s="5" t="s">
        <v>601</v>
      </c>
      <c r="H138" t="s">
        <v>799</v>
      </c>
    </row>
    <row r="139" spans="1:44">
      <c r="A139" t="s">
        <v>602</v>
      </c>
      <c r="H139" t="s">
        <v>800</v>
      </c>
      <c r="I139">
        <v>27950</v>
      </c>
    </row>
    <row r="140" spans="1:44">
      <c r="A140" t="s">
        <v>604</v>
      </c>
      <c r="H140" t="s">
        <v>801</v>
      </c>
      <c r="I140">
        <v>138095</v>
      </c>
    </row>
    <row r="141" spans="1:44">
      <c r="A141" t="s">
        <v>603</v>
      </c>
      <c r="H141" t="s">
        <v>802</v>
      </c>
    </row>
    <row r="142" spans="1:44">
      <c r="A142" t="s">
        <v>605</v>
      </c>
      <c r="H142" t="s">
        <v>803</v>
      </c>
    </row>
    <row r="144" spans="1:44">
      <c r="A144" s="183"/>
      <c r="B144" s="183"/>
      <c r="C144" s="302" t="s">
        <v>29</v>
      </c>
      <c r="D144" s="302" t="s">
        <v>30</v>
      </c>
      <c r="E144" s="302" t="s">
        <v>31</v>
      </c>
    </row>
    <row r="145" spans="1:17">
      <c r="A145" t="str">
        <f>A131</f>
        <v>L</v>
      </c>
      <c r="C145" s="8">
        <f>SUM(C131:F131)</f>
        <v>2808913.9341313001</v>
      </c>
      <c r="D145" s="8">
        <f>SUM(G131:H131)</f>
        <v>2442873.8185411999</v>
      </c>
      <c r="E145" s="8">
        <f>SUM(I131:N131)</f>
        <v>2428157.1614393</v>
      </c>
    </row>
    <row r="146" spans="1:17">
      <c r="A146" t="str">
        <f>A132</f>
        <v>M</v>
      </c>
      <c r="C146" s="8">
        <f>SUM(C132:F132)</f>
        <v>113110.73303999999</v>
      </c>
      <c r="D146" s="8">
        <f>SUM(G132:H132)</f>
        <v>119902.45869999999</v>
      </c>
      <c r="E146" s="8">
        <f>SUM(I132:N132)</f>
        <v>314212.99784999999</v>
      </c>
    </row>
    <row r="147" spans="1:17">
      <c r="A147" t="str">
        <f>A133</f>
        <v>H, flat only</v>
      </c>
      <c r="C147" s="8">
        <f>SUM(C133:F133)</f>
        <v>173390.01009</v>
      </c>
      <c r="D147" s="8">
        <f>SUM(G133:H133)</f>
        <v>171161.94605999999</v>
      </c>
      <c r="E147" s="8">
        <f>SUM(I133:N133)</f>
        <v>297306.64218999993</v>
      </c>
    </row>
    <row r="148" spans="1:17">
      <c r="A148" s="310" t="s">
        <v>613</v>
      </c>
      <c r="B148" s="310"/>
      <c r="C148" s="311">
        <f>SUM(C145:C147)/(B38+F38+J38)</f>
        <v>0.48609698665338602</v>
      </c>
      <c r="D148" s="311">
        <f>SUM(D145:D147)/(C38+G38+K38)</f>
        <v>0.59178319328093298</v>
      </c>
      <c r="E148" s="311">
        <f>SUM(E145:E147)/(D38+H38+L38)</f>
        <v>0.87790135763040844</v>
      </c>
    </row>
    <row r="149" spans="1:17">
      <c r="A149" t="s">
        <v>631</v>
      </c>
      <c r="C149" s="12">
        <f>C148-0.1</f>
        <v>0.38609698665338599</v>
      </c>
      <c r="D149" s="12">
        <f>D148-0</f>
        <v>0.59178319328093298</v>
      </c>
      <c r="E149" s="12">
        <f>E148-0.1</f>
        <v>0.77790135763040846</v>
      </c>
      <c r="G149" t="s">
        <v>626</v>
      </c>
    </row>
    <row r="150" spans="1:17">
      <c r="A150" t="s">
        <v>623</v>
      </c>
      <c r="G150" t="s">
        <v>625</v>
      </c>
    </row>
    <row r="151" spans="1:17">
      <c r="A151" t="s">
        <v>619</v>
      </c>
    </row>
    <row r="152" spans="1:17">
      <c r="A152" t="s">
        <v>624</v>
      </c>
    </row>
    <row r="154" spans="1:17">
      <c r="A154" s="5" t="s">
        <v>632</v>
      </c>
    </row>
    <row r="155" spans="1:17">
      <c r="A155" t="s">
        <v>718</v>
      </c>
      <c r="B155" s="50">
        <v>0.83</v>
      </c>
    </row>
    <row r="156" spans="1:17">
      <c r="A156" s="361" t="s">
        <v>633</v>
      </c>
      <c r="B156" s="288"/>
      <c r="C156" s="288"/>
      <c r="D156" s="288"/>
      <c r="E156" s="288"/>
      <c r="F156" s="288"/>
      <c r="G156" s="288"/>
      <c r="H156" s="288"/>
      <c r="I156" s="288"/>
      <c r="J156" s="288"/>
    </row>
    <row r="157" spans="1:17">
      <c r="A157" s="312"/>
      <c r="B157" s="315">
        <v>2012</v>
      </c>
      <c r="C157" s="315">
        <v>2015</v>
      </c>
      <c r="D157" s="315">
        <v>2020</v>
      </c>
      <c r="E157" s="315">
        <v>2025</v>
      </c>
      <c r="F157" s="315">
        <v>2030</v>
      </c>
      <c r="G157" s="315">
        <v>2035</v>
      </c>
      <c r="H157" s="315">
        <v>2040</v>
      </c>
      <c r="I157" s="315">
        <v>2045</v>
      </c>
      <c r="J157" s="315">
        <v>2050</v>
      </c>
      <c r="M157">
        <v>2012</v>
      </c>
      <c r="N157">
        <v>2020</v>
      </c>
      <c r="O157">
        <v>2030</v>
      </c>
      <c r="P157">
        <v>2040</v>
      </c>
      <c r="Q157">
        <v>2050</v>
      </c>
    </row>
    <row r="158" spans="1:17">
      <c r="A158" s="314" t="s">
        <v>634</v>
      </c>
      <c r="B158" s="250">
        <f>'Census 2011_17'!F220/('Census 2011_17'!F220+'Census 2011_17'!F229+'Census 2011_17'!F238)</f>
        <v>0.44069965049004917</v>
      </c>
      <c r="C158" s="250">
        <v>0.41203514982295875</v>
      </c>
      <c r="D158" s="250">
        <v>0.35841205617429067</v>
      </c>
      <c r="E158" s="250">
        <v>0.3047889625256226</v>
      </c>
      <c r="F158" s="250">
        <v>0.24671281551815871</v>
      </c>
      <c r="G158" s="250">
        <v>0.21584791228647512</v>
      </c>
      <c r="H158" s="250">
        <v>0.20515725707689483</v>
      </c>
      <c r="I158" s="250">
        <v>0.19441851591517359</v>
      </c>
      <c r="J158" s="250">
        <v>0.19075610893566883</v>
      </c>
      <c r="M158" s="2">
        <v>23.44</v>
      </c>
      <c r="N158" s="2">
        <v>20.226802058814879</v>
      </c>
      <c r="O158" s="2">
        <v>15.010894352378211</v>
      </c>
      <c r="P158" s="2">
        <v>13.07165739636244</v>
      </c>
      <c r="Q158" s="7">
        <v>12.483029453011316</v>
      </c>
    </row>
    <row r="159" spans="1:17">
      <c r="A159" s="314" t="s">
        <v>635</v>
      </c>
      <c r="B159" s="250">
        <f>'Census 2011_17'!F229/('Census 2011_17'!F220+'Census 2011_17'!F229+'Census 2011_17'!F238)</f>
        <v>0.31972350159976914</v>
      </c>
      <c r="C159" s="250">
        <v>0.32170745877369533</v>
      </c>
      <c r="D159" s="250">
        <v>0.33129150255763584</v>
      </c>
      <c r="E159" s="250">
        <v>0.34314891259928809</v>
      </c>
      <c r="F159" s="250">
        <v>0.35479631169860942</v>
      </c>
      <c r="G159" s="250">
        <v>0.36295328626438511</v>
      </c>
      <c r="H159" s="250">
        <v>0.37032066697161542</v>
      </c>
      <c r="I159" s="250">
        <v>0.37804529564254075</v>
      </c>
      <c r="J159" s="250">
        <v>0.38542687989671309</v>
      </c>
      <c r="M159" s="2">
        <v>16.970364490783776</v>
      </c>
      <c r="N159" s="2">
        <v>18.696267412226998</v>
      </c>
      <c r="O159" s="2">
        <v>21.587082699112084</v>
      </c>
      <c r="P159" s="2">
        <v>23.595094584594914</v>
      </c>
      <c r="Q159" s="7">
        <v>25.222233356392799</v>
      </c>
    </row>
    <row r="160" spans="1:17">
      <c r="A160" s="314" t="s">
        <v>636</v>
      </c>
      <c r="B160" s="250">
        <f>'Census 2011_17'!F238/('Census 2011_17'!F220+'Census 2011_17'!F229+'Census 2011_17'!F238)</f>
        <v>0.23957684791018166</v>
      </c>
      <c r="C160" s="250">
        <v>0.26625739140334592</v>
      </c>
      <c r="D160" s="250">
        <v>0.31029644126807354</v>
      </c>
      <c r="E160" s="250">
        <v>0.35206212487508926</v>
      </c>
      <c r="F160" s="250">
        <v>0.39849087278323192</v>
      </c>
      <c r="G160" s="250">
        <v>0.42119880144913979</v>
      </c>
      <c r="H160" s="250">
        <v>0.42452207595148972</v>
      </c>
      <c r="I160" s="250">
        <v>0.42753618844228569</v>
      </c>
      <c r="J160" s="250">
        <v>0.42381701116761805</v>
      </c>
      <c r="M160" s="2">
        <v>12.622024542915524</v>
      </c>
      <c r="N160" s="2">
        <v>17.511421808958129</v>
      </c>
      <c r="O160" s="2">
        <v>24.245616828509707</v>
      </c>
      <c r="P160" s="2">
        <v>27.048553939042641</v>
      </c>
      <c r="Q160" s="7">
        <v>27.734473420595894</v>
      </c>
    </row>
    <row r="161" spans="1:20" ht="14.35">
      <c r="A161" s="302" t="s">
        <v>722</v>
      </c>
      <c r="B161" s="303">
        <f>M161*1000000</f>
        <v>53032389.033699304</v>
      </c>
      <c r="C161" s="303">
        <f>(B161+D161)/2</f>
        <v>54733440.156849653</v>
      </c>
      <c r="D161" s="303">
        <f>N161*1000000</f>
        <v>56434491.280000001</v>
      </c>
      <c r="E161" s="303">
        <f>(D161+F161)/2</f>
        <v>60074898.600000001</v>
      </c>
      <c r="F161" s="303">
        <f>P161*1000000</f>
        <v>63715305.920000002</v>
      </c>
      <c r="G161" s="303">
        <f>(F161+H161)/2</f>
        <v>63715305.920000002</v>
      </c>
      <c r="H161" s="303">
        <f>P161*1000000</f>
        <v>63715305.920000002</v>
      </c>
      <c r="I161" s="303">
        <f>(H161+J161)/2</f>
        <v>64577521.075000003</v>
      </c>
      <c r="J161" s="303">
        <f>Q161*1000000</f>
        <v>65439736.230000012</v>
      </c>
      <c r="M161" s="316">
        <v>53.032389033699303</v>
      </c>
      <c r="N161" s="316">
        <v>56.434491280000003</v>
      </c>
      <c r="O161" s="316">
        <v>60.84359388</v>
      </c>
      <c r="P161" s="316">
        <v>63.715305919999999</v>
      </c>
      <c r="Q161" s="316">
        <v>65.439736230000008</v>
      </c>
    </row>
    <row r="162" spans="1:20" ht="14.35">
      <c r="A162" s="355" t="s">
        <v>659</v>
      </c>
      <c r="B162" s="356">
        <f>('Census 2011_17'!F220+'Census 2011_17'!F229+'Census 2011_17'!F238)</f>
        <v>14450161.490948498</v>
      </c>
      <c r="C162" s="356">
        <f>B162*C161/B161</f>
        <v>14913660.569186559</v>
      </c>
      <c r="D162" s="356">
        <f t="shared" ref="D162:J162" si="40">C162*D161/C161</f>
        <v>15377159.64742462</v>
      </c>
      <c r="E162" s="356">
        <f t="shared" si="40"/>
        <v>16369090.703621307</v>
      </c>
      <c r="F162" s="356">
        <f t="shared" si="40"/>
        <v>17361021.759817995</v>
      </c>
      <c r="G162" s="356">
        <f t="shared" si="40"/>
        <v>17361021.759817995</v>
      </c>
      <c r="H162" s="356">
        <f t="shared" si="40"/>
        <v>17361021.759817995</v>
      </c>
      <c r="I162" s="356">
        <f t="shared" si="40"/>
        <v>17595956.456457365</v>
      </c>
      <c r="J162" s="356">
        <f t="shared" si="40"/>
        <v>17830891.153096739</v>
      </c>
      <c r="M162" s="316"/>
      <c r="N162" s="316"/>
      <c r="O162" s="316"/>
      <c r="P162" s="316"/>
      <c r="Q162" s="316"/>
    </row>
    <row r="163" spans="1:20" ht="14.35">
      <c r="A163" s="355" t="s">
        <v>855</v>
      </c>
      <c r="B163" s="356"/>
      <c r="C163" s="356"/>
      <c r="D163" s="356"/>
      <c r="E163" s="356"/>
      <c r="F163" s="356"/>
      <c r="G163" s="356"/>
      <c r="H163" s="356"/>
      <c r="I163" s="356"/>
      <c r="J163" s="356"/>
      <c r="M163" s="316"/>
      <c r="N163" s="316"/>
      <c r="O163" s="316"/>
      <c r="P163" s="316"/>
      <c r="Q163" s="316"/>
    </row>
    <row r="164" spans="1:20" ht="14.35">
      <c r="A164" s="279" t="s">
        <v>856</v>
      </c>
      <c r="B164" s="24"/>
      <c r="C164" s="24"/>
      <c r="D164" s="24"/>
      <c r="E164" s="24"/>
      <c r="F164" s="24"/>
      <c r="G164" s="24"/>
      <c r="H164" s="24"/>
      <c r="I164" s="24"/>
      <c r="J164" s="24"/>
      <c r="M164" s="316"/>
      <c r="N164" s="316"/>
      <c r="O164" s="316"/>
      <c r="P164" s="316"/>
      <c r="Q164" s="316"/>
    </row>
    <row r="165" spans="1:20" ht="14.35">
      <c r="A165" s="279" t="s">
        <v>645</v>
      </c>
      <c r="B165" s="278" t="e">
        <f>[7]Sheet1!G32</f>
        <v>#REF!</v>
      </c>
      <c r="C165" s="278" t="e">
        <f>B165</f>
        <v>#REF!</v>
      </c>
      <c r="D165" s="278" t="e">
        <f t="shared" ref="D165:J165" si="41">C165</f>
        <v>#REF!</v>
      </c>
      <c r="E165" s="278" t="e">
        <f t="shared" si="41"/>
        <v>#REF!</v>
      </c>
      <c r="F165" s="278" t="e">
        <f t="shared" si="41"/>
        <v>#REF!</v>
      </c>
      <c r="G165" s="278" t="e">
        <f t="shared" si="41"/>
        <v>#REF!</v>
      </c>
      <c r="H165" s="278" t="e">
        <f t="shared" si="41"/>
        <v>#REF!</v>
      </c>
      <c r="I165" s="278" t="e">
        <f t="shared" si="41"/>
        <v>#REF!</v>
      </c>
      <c r="J165" s="278" t="e">
        <f t="shared" si="41"/>
        <v>#REF!</v>
      </c>
      <c r="K165" s="24" t="s">
        <v>857</v>
      </c>
      <c r="M165" s="316"/>
      <c r="N165" s="316"/>
      <c r="O165" s="316"/>
      <c r="P165" s="316"/>
      <c r="Q165" s="316"/>
    </row>
    <row r="166" spans="1:20" ht="14.35">
      <c r="A166" s="318" t="s">
        <v>644</v>
      </c>
      <c r="B166" s="319">
        <f>B$162*B158</f>
        <v>6368181.1185857709</v>
      </c>
      <c r="C166" s="319">
        <f t="shared" ref="C166:J166" si="42">C$162*C158</f>
        <v>6144952.3670335356</v>
      </c>
      <c r="D166" s="319">
        <f t="shared" si="42"/>
        <v>5511359.4073537886</v>
      </c>
      <c r="E166" s="319">
        <f t="shared" si="42"/>
        <v>4989118.1730445521</v>
      </c>
      <c r="F166" s="319">
        <f t="shared" si="42"/>
        <v>4283186.5586367166</v>
      </c>
      <c r="G166" s="319">
        <f t="shared" si="42"/>
        <v>3747340.3020167807</v>
      </c>
      <c r="H166" s="319">
        <f t="shared" si="42"/>
        <v>3561739.6042965455</v>
      </c>
      <c r="I166" s="319">
        <f t="shared" si="42"/>
        <v>3420979.7403724575</v>
      </c>
      <c r="J166" s="319">
        <f t="shared" si="42"/>
        <v>3401351.4152201749</v>
      </c>
      <c r="M166" s="316"/>
      <c r="N166" s="316"/>
      <c r="O166" s="316"/>
      <c r="P166" s="316"/>
      <c r="Q166" s="316"/>
    </row>
    <row r="167" spans="1:20" ht="14.35">
      <c r="A167" s="318" t="s">
        <v>739</v>
      </c>
      <c r="B167" s="319">
        <f>B159*B162</f>
        <v>4620056.2305681948</v>
      </c>
      <c r="C167" s="319">
        <f t="shared" ref="C167:J167" si="43">C159*C162</f>
        <v>4797835.8427264709</v>
      </c>
      <c r="D167" s="319">
        <f t="shared" si="43"/>
        <v>5094322.3246639483</v>
      </c>
      <c r="E167" s="319">
        <f t="shared" si="43"/>
        <v>5617035.6751867672</v>
      </c>
      <c r="F167" s="319">
        <f t="shared" si="43"/>
        <v>6159626.4877027264</v>
      </c>
      <c r="G167" s="319">
        <f t="shared" si="43"/>
        <v>6301239.9006334394</v>
      </c>
      <c r="H167" s="319">
        <f t="shared" si="43"/>
        <v>6429145.157404528</v>
      </c>
      <c r="I167" s="319">
        <f t="shared" si="43"/>
        <v>6652068.5606946982</v>
      </c>
      <c r="J167" s="319">
        <f t="shared" si="43"/>
        <v>6872504.7429159805</v>
      </c>
      <c r="K167" s="6" t="s">
        <v>652</v>
      </c>
      <c r="M167" s="316"/>
      <c r="N167" s="316"/>
      <c r="O167" s="316"/>
      <c r="P167" s="316"/>
      <c r="Q167" s="316"/>
    </row>
    <row r="168" spans="1:20" ht="14.35">
      <c r="A168" s="318" t="s">
        <v>645</v>
      </c>
      <c r="B168" s="319" t="e">
        <f>B$162*B160*B165</f>
        <v>#REF!</v>
      </c>
      <c r="C168" s="319" t="e">
        <f>C$162*C160*C165</f>
        <v>#REF!</v>
      </c>
      <c r="D168" s="319" t="e">
        <f t="shared" ref="D168:J168" si="44">D$162*D160*D165</f>
        <v>#REF!</v>
      </c>
      <c r="E168" s="319" t="e">
        <f t="shared" si="44"/>
        <v>#REF!</v>
      </c>
      <c r="F168" s="319" t="e">
        <f t="shared" si="44"/>
        <v>#REF!</v>
      </c>
      <c r="G168" s="319" t="e">
        <f t="shared" si="44"/>
        <v>#REF!</v>
      </c>
      <c r="H168" s="319" t="e">
        <f t="shared" si="44"/>
        <v>#REF!</v>
      </c>
      <c r="I168" s="319" t="e">
        <f t="shared" si="44"/>
        <v>#REF!</v>
      </c>
      <c r="J168" s="319" t="e">
        <f t="shared" si="44"/>
        <v>#REF!</v>
      </c>
      <c r="M168" s="316"/>
      <c r="N168" s="316"/>
      <c r="O168" s="316"/>
      <c r="P168" s="316"/>
      <c r="Q168" s="316"/>
      <c r="T168" t="e">
        <f>D181/B168</f>
        <v>#REF!</v>
      </c>
    </row>
    <row r="169" spans="1:20" ht="14.35">
      <c r="A169" s="353" t="s">
        <v>719</v>
      </c>
      <c r="B169" s="354"/>
      <c r="C169" s="354"/>
      <c r="D169" s="354"/>
      <c r="E169" s="354"/>
      <c r="F169" s="354"/>
      <c r="G169" s="354"/>
      <c r="H169" s="354"/>
      <c r="I169" s="354"/>
      <c r="J169" s="354"/>
      <c r="M169" s="357">
        <v>2012</v>
      </c>
      <c r="N169" s="357">
        <v>2020</v>
      </c>
      <c r="O169" s="357">
        <v>2030</v>
      </c>
      <c r="P169" s="357">
        <v>2040</v>
      </c>
      <c r="Q169" s="357">
        <v>2050</v>
      </c>
    </row>
    <row r="170" spans="1:20">
      <c r="A170" s="318" t="s">
        <v>18</v>
      </c>
      <c r="B170" s="358">
        <f>M170</f>
        <v>0.77484957211901018</v>
      </c>
      <c r="C170" s="360">
        <f>B170+(D170-B170)*(C$157-B$157)/(D$157-B$157)</f>
        <v>0.78428098257438139</v>
      </c>
      <c r="D170" s="358">
        <f>N170</f>
        <v>0.8</v>
      </c>
      <c r="E170" s="360">
        <f>D170+(F170-D170)*(E$157-D$157)/(F$157-D$157)</f>
        <v>0.82499999999999996</v>
      </c>
      <c r="F170" s="358">
        <f>O170</f>
        <v>0.85</v>
      </c>
      <c r="G170" s="360">
        <f>F170+(H170-F170)*(G$157-F$157)/(H$157-F$157)</f>
        <v>0.875</v>
      </c>
      <c r="H170" s="358">
        <f>P170</f>
        <v>0.9</v>
      </c>
      <c r="I170" s="360">
        <f>H170+(J170-H170)*(I$157-H$157)/(J$157-H$157)</f>
        <v>0.92500000000000004</v>
      </c>
      <c r="J170" s="358">
        <f>Q170</f>
        <v>0.95</v>
      </c>
      <c r="M170" s="358">
        <f>'Census 2011_17'!D220/'Census 2011_17'!F220</f>
        <v>0.77484957211901018</v>
      </c>
      <c r="N170" s="358">
        <v>0.8</v>
      </c>
      <c r="O170" s="358">
        <v>0.85</v>
      </c>
      <c r="P170" s="358">
        <v>0.9</v>
      </c>
      <c r="Q170" s="358">
        <v>0.95</v>
      </c>
    </row>
    <row r="171" spans="1:20" ht="14.35">
      <c r="A171" s="318" t="s">
        <v>720</v>
      </c>
      <c r="B171" s="358">
        <f>M171</f>
        <v>0.85487365806023408</v>
      </c>
      <c r="C171" s="360">
        <f>B171+(D171-B171)*(C$157-B$157)/(D$157-B$157)</f>
        <v>0.87179603628764635</v>
      </c>
      <c r="D171" s="358">
        <f>N171</f>
        <v>0.9</v>
      </c>
      <c r="E171" s="360">
        <f>D171+(F171-D171)*(E$157-D$157)/(F$157-D$157)</f>
        <v>0.92500000000000004</v>
      </c>
      <c r="F171" s="358">
        <f>O171</f>
        <v>0.95</v>
      </c>
      <c r="G171" s="360">
        <f>F171+(H171-F171)*(G$157-F$157)/(H$157-F$157)</f>
        <v>0.95</v>
      </c>
      <c r="H171" s="358">
        <f>P171</f>
        <v>0.95</v>
      </c>
      <c r="I171" s="360">
        <f>H171+(J171-H171)*(I$157-H$157)/(J$157-H$157)</f>
        <v>0.97499999999999998</v>
      </c>
      <c r="J171" s="358">
        <f>Q171</f>
        <v>1</v>
      </c>
      <c r="M171" s="359">
        <f>'Census 2011_17'!D229/'Census 2011_17'!F229</f>
        <v>0.85487365806023408</v>
      </c>
      <c r="N171" s="359">
        <v>0.9</v>
      </c>
      <c r="O171" s="359">
        <v>0.95</v>
      </c>
      <c r="P171" s="359">
        <v>0.95</v>
      </c>
      <c r="Q171" s="359">
        <v>1</v>
      </c>
    </row>
    <row r="172" spans="1:20" ht="14.35">
      <c r="A172" s="353" t="s">
        <v>721</v>
      </c>
      <c r="B172" s="354"/>
      <c r="C172" s="354"/>
      <c r="D172" s="354"/>
      <c r="E172" s="354"/>
      <c r="F172" s="354"/>
      <c r="G172" s="354"/>
      <c r="H172" s="354"/>
      <c r="I172" s="354"/>
      <c r="J172" s="354"/>
      <c r="M172" s="316"/>
      <c r="N172" s="316"/>
      <c r="O172" s="316"/>
      <c r="P172" s="316"/>
      <c r="Q172" s="316"/>
    </row>
    <row r="173" spans="1:20" ht="14.35">
      <c r="A173" s="318" t="str">
        <f>A170</f>
        <v>Low income</v>
      </c>
      <c r="B173" s="319">
        <f>B170*B166</f>
        <v>4934382.4149125442</v>
      </c>
      <c r="C173" s="319">
        <f t="shared" ref="C173:J173" si="45">C170*C166</f>
        <v>4819369.2802898316</v>
      </c>
      <c r="D173" s="319">
        <f t="shared" si="45"/>
        <v>4409087.5258830311</v>
      </c>
      <c r="E173" s="319">
        <f t="shared" si="45"/>
        <v>4116022.4927617554</v>
      </c>
      <c r="F173" s="319">
        <f t="shared" si="45"/>
        <v>3640708.5748412088</v>
      </c>
      <c r="G173" s="319">
        <f t="shared" si="45"/>
        <v>3278922.7642646832</v>
      </c>
      <c r="H173" s="319">
        <f t="shared" si="45"/>
        <v>3205565.643866891</v>
      </c>
      <c r="I173" s="319">
        <f t="shared" si="45"/>
        <v>3164406.2598445234</v>
      </c>
      <c r="J173" s="319">
        <f t="shared" si="45"/>
        <v>3231283.8444591658</v>
      </c>
      <c r="M173" s="316"/>
      <c r="N173" s="316"/>
      <c r="O173" s="316"/>
      <c r="P173" s="316"/>
      <c r="Q173" s="316"/>
    </row>
    <row r="174" spans="1:20" ht="14.35">
      <c r="A174" s="318" t="str">
        <f>A171</f>
        <v>Middlel income</v>
      </c>
      <c r="B174" s="319">
        <f>B171*B167</f>
        <v>3949564.3702698089</v>
      </c>
      <c r="C174" s="319">
        <f t="shared" ref="C174:J174" si="46">C171*C167</f>
        <v>4182734.2704477366</v>
      </c>
      <c r="D174" s="319">
        <f t="shared" si="46"/>
        <v>4584890.0921975533</v>
      </c>
      <c r="E174" s="319">
        <f t="shared" si="46"/>
        <v>5195757.99954776</v>
      </c>
      <c r="F174" s="319">
        <f t="shared" si="46"/>
        <v>5851645.16331759</v>
      </c>
      <c r="G174" s="319">
        <f t="shared" si="46"/>
        <v>5986177.9056017669</v>
      </c>
      <c r="H174" s="319">
        <f t="shared" si="46"/>
        <v>6107687.8995343009</v>
      </c>
      <c r="I174" s="319">
        <f t="shared" si="46"/>
        <v>6485766.8466773303</v>
      </c>
      <c r="J174" s="319">
        <f t="shared" si="46"/>
        <v>6872504.7429159805</v>
      </c>
      <c r="M174" s="316"/>
      <c r="N174" s="316"/>
      <c r="O174" s="316"/>
      <c r="P174" s="316"/>
      <c r="Q174" s="316"/>
    </row>
    <row r="175" spans="1:20" ht="14.35">
      <c r="A175" s="353" t="s">
        <v>741</v>
      </c>
      <c r="B175" s="354"/>
      <c r="C175" s="354"/>
      <c r="D175" s="354"/>
      <c r="E175" s="354"/>
      <c r="F175" s="354"/>
      <c r="G175" s="354"/>
      <c r="H175" s="354"/>
      <c r="I175" s="354"/>
      <c r="J175" s="354"/>
      <c r="K175" t="s">
        <v>740</v>
      </c>
      <c r="M175" s="316"/>
      <c r="N175" s="316"/>
      <c r="O175" s="316"/>
      <c r="P175" s="316"/>
      <c r="Q175" s="316"/>
    </row>
    <row r="176" spans="1:20" ht="14.35">
      <c r="A176" s="318" t="s">
        <v>438</v>
      </c>
      <c r="B176" s="358" t="e">
        <f>[8]Sheet1!E142</f>
        <v>#REF!</v>
      </c>
      <c r="C176" s="250" t="e">
        <f>$M176*$N176*EXP($O176*C$179)/($M176+$N176*(EXP($O176*C$179)-1))</f>
        <v>#REF!</v>
      </c>
      <c r="D176" s="250" t="e">
        <f t="shared" ref="D176:J176" si="47">$M176*$N176*EXP($O176*D$179)/($M176+$N176*(EXP($O176*D$179)-1))</f>
        <v>#REF!</v>
      </c>
      <c r="E176" s="250" t="e">
        <f t="shared" si="47"/>
        <v>#REF!</v>
      </c>
      <c r="F176" s="250" t="e">
        <f t="shared" si="47"/>
        <v>#REF!</v>
      </c>
      <c r="G176" s="250" t="e">
        <f t="shared" si="47"/>
        <v>#REF!</v>
      </c>
      <c r="H176" s="250" t="e">
        <f t="shared" si="47"/>
        <v>#REF!</v>
      </c>
      <c r="I176" s="250" t="e">
        <f t="shared" si="47"/>
        <v>#REF!</v>
      </c>
      <c r="J176" s="250" t="e">
        <f t="shared" si="47"/>
        <v>#REF!</v>
      </c>
      <c r="K176">
        <v>1</v>
      </c>
      <c r="M176" s="316">
        <v>0.7</v>
      </c>
      <c r="N176" s="316" t="e">
        <f>B176</f>
        <v>#REF!</v>
      </c>
      <c r="O176" s="316">
        <v>0.25</v>
      </c>
    </row>
    <row r="177" spans="1:19" ht="14.35">
      <c r="A177" s="318" t="s">
        <v>738</v>
      </c>
      <c r="B177" s="319" t="e">
        <f>B176*B174</f>
        <v>#REF!</v>
      </c>
      <c r="C177" s="319" t="e">
        <f t="shared" ref="C177:J177" si="48">C176*C174</f>
        <v>#REF!</v>
      </c>
      <c r="D177" s="319" t="e">
        <f t="shared" si="48"/>
        <v>#REF!</v>
      </c>
      <c r="E177" s="319" t="e">
        <f t="shared" si="48"/>
        <v>#REF!</v>
      </c>
      <c r="F177" s="319" t="e">
        <f t="shared" si="48"/>
        <v>#REF!</v>
      </c>
      <c r="G177" s="319" t="e">
        <f t="shared" si="48"/>
        <v>#REF!</v>
      </c>
      <c r="H177" s="319" t="e">
        <f t="shared" si="48"/>
        <v>#REF!</v>
      </c>
      <c r="I177" s="319" t="e">
        <f t="shared" si="48"/>
        <v>#REF!</v>
      </c>
      <c r="J177" s="319" t="e">
        <f t="shared" si="48"/>
        <v>#REF!</v>
      </c>
      <c r="M177" s="316"/>
      <c r="N177" s="316"/>
      <c r="O177" s="316"/>
      <c r="P177" s="316"/>
      <c r="Q177" s="316"/>
    </row>
    <row r="178" spans="1:19" ht="14.35">
      <c r="A178" s="2"/>
      <c r="B178" s="2"/>
      <c r="D178" s="2"/>
      <c r="F178" s="2"/>
      <c r="H178" s="2"/>
      <c r="J178" s="2"/>
      <c r="M178" s="316"/>
      <c r="N178" s="316"/>
      <c r="O178" s="316"/>
      <c r="P178" s="316"/>
      <c r="Q178" s="316"/>
    </row>
    <row r="179" spans="1:19">
      <c r="A179" s="314" t="s">
        <v>725</v>
      </c>
      <c r="B179" s="312"/>
      <c r="C179" s="312"/>
      <c r="D179" s="312">
        <v>0</v>
      </c>
      <c r="E179" s="312">
        <f t="shared" ref="E179:L179" si="49">E$180-$D$180</f>
        <v>3</v>
      </c>
      <c r="F179" s="312">
        <f t="shared" si="49"/>
        <v>8</v>
      </c>
      <c r="G179" s="312">
        <f t="shared" si="49"/>
        <v>13</v>
      </c>
      <c r="H179" s="312">
        <f t="shared" si="49"/>
        <v>18</v>
      </c>
      <c r="I179" s="312">
        <f t="shared" si="49"/>
        <v>23</v>
      </c>
      <c r="J179" s="312">
        <f t="shared" si="49"/>
        <v>28</v>
      </c>
      <c r="K179" s="312">
        <f t="shared" si="49"/>
        <v>33</v>
      </c>
      <c r="L179" s="312">
        <f t="shared" si="49"/>
        <v>38</v>
      </c>
      <c r="O179" t="s">
        <v>629</v>
      </c>
    </row>
    <row r="180" spans="1:19">
      <c r="A180" s="314" t="s">
        <v>647</v>
      </c>
      <c r="B180" s="312" t="s">
        <v>622</v>
      </c>
      <c r="C180" s="312"/>
      <c r="D180" s="314">
        <v>2012</v>
      </c>
      <c r="E180" s="314">
        <v>2015</v>
      </c>
      <c r="F180" s="314">
        <v>2020</v>
      </c>
      <c r="G180" s="314">
        <v>2025</v>
      </c>
      <c r="H180" s="314">
        <v>2030</v>
      </c>
      <c r="I180" s="314">
        <v>2035</v>
      </c>
      <c r="J180" s="314">
        <v>2040</v>
      </c>
      <c r="K180" s="314">
        <v>2045</v>
      </c>
      <c r="L180" s="314">
        <v>2050</v>
      </c>
      <c r="N180" s="5" t="s">
        <v>628</v>
      </c>
      <c r="O180" s="14" t="s">
        <v>627</v>
      </c>
      <c r="P180" s="14" t="s">
        <v>470</v>
      </c>
      <c r="Q180" s="14" t="s">
        <v>642</v>
      </c>
      <c r="R180" s="14" t="s">
        <v>630</v>
      </c>
    </row>
    <row r="181" spans="1:19">
      <c r="A181" s="312"/>
      <c r="B181" s="312" t="s">
        <v>59</v>
      </c>
      <c r="C181" s="312" t="s">
        <v>620</v>
      </c>
      <c r="D181" s="250">
        <f t="shared" ref="D181:L186" si="50">$O181*$P181*EXP($Q181*D$179)/($O181+$P181*(EXP($Q181*D$179)-1))</f>
        <v>27950</v>
      </c>
      <c r="E181" s="250">
        <f t="shared" si="50"/>
        <v>58857.570340177561</v>
      </c>
      <c r="F181" s="250">
        <f t="shared" si="50"/>
        <v>200435.52081881356</v>
      </c>
      <c r="G181" s="250">
        <f t="shared" si="50"/>
        <v>644835.81944953371</v>
      </c>
      <c r="H181" s="250">
        <f t="shared" si="50"/>
        <v>1767791.3285220149</v>
      </c>
      <c r="I181" s="250">
        <f t="shared" si="50"/>
        <v>3528078.5781210754</v>
      </c>
      <c r="J181" s="250">
        <f t="shared" si="50"/>
        <v>4936368.239469626</v>
      </c>
      <c r="K181" s="250">
        <f t="shared" si="50"/>
        <v>5573805.5052590463</v>
      </c>
      <c r="L181" s="250">
        <f t="shared" si="50"/>
        <v>5787939.5827813214</v>
      </c>
      <c r="N181">
        <v>100</v>
      </c>
      <c r="O181" s="8">
        <f>$E$149*$J$160*$J$162*N181/100</f>
        <v>5878627.7822403442</v>
      </c>
      <c r="P181">
        <f>I139</f>
        <v>27950</v>
      </c>
      <c r="Q181">
        <v>0.25</v>
      </c>
      <c r="R181">
        <f>J161*J160</f>
        <v>27734473.420595895</v>
      </c>
      <c r="S181" t="s">
        <v>637</v>
      </c>
    </row>
    <row r="182" spans="1:19">
      <c r="A182" s="312"/>
      <c r="B182" s="312"/>
      <c r="C182" s="312" t="s">
        <v>58</v>
      </c>
      <c r="D182" s="250">
        <f t="shared" si="50"/>
        <v>27950</v>
      </c>
      <c r="E182" s="250">
        <f t="shared" si="50"/>
        <v>58548.275416055978</v>
      </c>
      <c r="F182" s="250">
        <f t="shared" si="50"/>
        <v>194695.64237629084</v>
      </c>
      <c r="G182" s="250">
        <f t="shared" si="50"/>
        <v>583330.4215300451</v>
      </c>
      <c r="H182" s="250">
        <f t="shared" si="50"/>
        <v>1362591.5828017865</v>
      </c>
      <c r="I182" s="250">
        <f t="shared" si="50"/>
        <v>2207472.8269972703</v>
      </c>
      <c r="J182" s="250">
        <f t="shared" si="50"/>
        <v>2684342.6181293325</v>
      </c>
      <c r="K182" s="250">
        <f t="shared" si="50"/>
        <v>2861443.845201401</v>
      </c>
      <c r="L182" s="250">
        <f t="shared" si="50"/>
        <v>2916573.9106388506</v>
      </c>
      <c r="N182">
        <v>50</v>
      </c>
      <c r="O182" s="8">
        <f>$E$149*$J$160*$J$162*N182/100</f>
        <v>2939313.8911201721</v>
      </c>
      <c r="P182">
        <f>P181</f>
        <v>27950</v>
      </c>
      <c r="Q182">
        <f>Q181</f>
        <v>0.25</v>
      </c>
    </row>
    <row r="183" spans="1:19">
      <c r="A183" s="312"/>
      <c r="B183" s="312"/>
      <c r="C183" s="312" t="s">
        <v>621</v>
      </c>
      <c r="D183" s="250">
        <f t="shared" si="50"/>
        <v>27950</v>
      </c>
      <c r="E183" s="250">
        <f t="shared" si="50"/>
        <v>58754.109576479277</v>
      </c>
      <c r="F183" s="250">
        <f t="shared" si="50"/>
        <v>198484.98972358942</v>
      </c>
      <c r="G183" s="250">
        <f t="shared" si="50"/>
        <v>622941.83284232824</v>
      </c>
      <c r="H183" s="250">
        <f t="shared" si="50"/>
        <v>1608362.7366748778</v>
      </c>
      <c r="I183" s="250">
        <f t="shared" si="50"/>
        <v>2941500.8811973915</v>
      </c>
      <c r="J183" s="250">
        <f t="shared" si="50"/>
        <v>3857593.8519480298</v>
      </c>
      <c r="K183" s="250">
        <f t="shared" si="50"/>
        <v>4235522.1606349265</v>
      </c>
      <c r="L183" s="250">
        <f t="shared" si="50"/>
        <v>4357841.8257824276</v>
      </c>
      <c r="N183">
        <v>75</v>
      </c>
      <c r="O183" s="8">
        <f>$E$149*$J$160*$J$162*N183/100</f>
        <v>4408970.8366802577</v>
      </c>
      <c r="P183">
        <f>P182</f>
        <v>27950</v>
      </c>
      <c r="Q183">
        <f>Q182</f>
        <v>0.25</v>
      </c>
    </row>
    <row r="184" spans="1:19">
      <c r="A184" s="314" t="s">
        <v>646</v>
      </c>
      <c r="B184" s="312" t="s">
        <v>649</v>
      </c>
      <c r="C184" s="312" t="s">
        <v>620</v>
      </c>
      <c r="D184" s="250" t="e">
        <f t="shared" si="50"/>
        <v>#REF!</v>
      </c>
      <c r="E184" s="250" t="e">
        <f t="shared" si="50"/>
        <v>#REF!</v>
      </c>
      <c r="F184" s="250" t="e">
        <f t="shared" si="50"/>
        <v>#REF!</v>
      </c>
      <c r="G184" s="250" t="e">
        <f t="shared" si="50"/>
        <v>#REF!</v>
      </c>
      <c r="H184" s="250" t="e">
        <f t="shared" si="50"/>
        <v>#REF!</v>
      </c>
      <c r="I184" s="250" t="e">
        <f t="shared" si="50"/>
        <v>#REF!</v>
      </c>
      <c r="J184" s="250" t="e">
        <f t="shared" si="50"/>
        <v>#REF!</v>
      </c>
      <c r="K184" s="250" t="e">
        <f t="shared" si="50"/>
        <v>#REF!</v>
      </c>
      <c r="L184" s="250" t="e">
        <f t="shared" si="50"/>
        <v>#REF!</v>
      </c>
      <c r="N184">
        <v>100</v>
      </c>
      <c r="O184" s="8" t="e">
        <f>J177</f>
        <v>#REF!</v>
      </c>
      <c r="P184">
        <f>I140</f>
        <v>138095</v>
      </c>
      <c r="Q184">
        <v>0.2</v>
      </c>
    </row>
    <row r="185" spans="1:19">
      <c r="A185" s="312"/>
      <c r="B185" s="312"/>
      <c r="C185" s="312" t="s">
        <v>58</v>
      </c>
      <c r="D185" s="250" t="e">
        <f t="shared" si="50"/>
        <v>#REF!</v>
      </c>
      <c r="E185" s="250" t="e">
        <f t="shared" si="50"/>
        <v>#REF!</v>
      </c>
      <c r="F185" s="250" t="e">
        <f t="shared" si="50"/>
        <v>#REF!</v>
      </c>
      <c r="G185" s="250" t="e">
        <f t="shared" si="50"/>
        <v>#REF!</v>
      </c>
      <c r="H185" s="250" t="e">
        <f t="shared" si="50"/>
        <v>#REF!</v>
      </c>
      <c r="I185" s="250" t="e">
        <f t="shared" si="50"/>
        <v>#REF!</v>
      </c>
      <c r="J185" s="250" t="e">
        <f t="shared" si="50"/>
        <v>#REF!</v>
      </c>
      <c r="K185" s="250" t="e">
        <f t="shared" si="50"/>
        <v>#REF!</v>
      </c>
      <c r="L185" s="250" t="e">
        <f t="shared" si="50"/>
        <v>#REF!</v>
      </c>
      <c r="N185">
        <v>50</v>
      </c>
      <c r="O185" s="8" t="e">
        <f>J177*N185/100</f>
        <v>#REF!</v>
      </c>
      <c r="P185">
        <f>P184</f>
        <v>138095</v>
      </c>
      <c r="Q185">
        <f>Q184</f>
        <v>0.2</v>
      </c>
    </row>
    <row r="186" spans="1:19">
      <c r="A186" s="312"/>
      <c r="B186" s="312"/>
      <c r="C186" s="312" t="s">
        <v>621</v>
      </c>
      <c r="D186" s="250" t="e">
        <f t="shared" si="50"/>
        <v>#REF!</v>
      </c>
      <c r="E186" s="250" t="e">
        <f t="shared" si="50"/>
        <v>#REF!</v>
      </c>
      <c r="F186" s="250" t="e">
        <f t="shared" si="50"/>
        <v>#REF!</v>
      </c>
      <c r="G186" s="250" t="e">
        <f t="shared" si="50"/>
        <v>#REF!</v>
      </c>
      <c r="H186" s="250" t="e">
        <f t="shared" si="50"/>
        <v>#REF!</v>
      </c>
      <c r="I186" s="250" t="e">
        <f t="shared" si="50"/>
        <v>#REF!</v>
      </c>
      <c r="J186" s="250" t="e">
        <f t="shared" si="50"/>
        <v>#REF!</v>
      </c>
      <c r="K186" s="250" t="e">
        <f t="shared" si="50"/>
        <v>#REF!</v>
      </c>
      <c r="L186" s="250" t="e">
        <f t="shared" si="50"/>
        <v>#REF!</v>
      </c>
      <c r="N186">
        <v>75</v>
      </c>
      <c r="O186" s="8" t="e">
        <f>N186*J177/100</f>
        <v>#REF!</v>
      </c>
      <c r="P186">
        <f>P185</f>
        <v>138095</v>
      </c>
      <c r="Q186">
        <f>Q185</f>
        <v>0.2</v>
      </c>
    </row>
    <row r="187" spans="1:19">
      <c r="A187" s="312"/>
      <c r="B187" t="s">
        <v>438</v>
      </c>
      <c r="C187" s="312" t="s">
        <v>648</v>
      </c>
      <c r="D187" s="352">
        <v>0</v>
      </c>
      <c r="E187" s="352">
        <v>0</v>
      </c>
      <c r="F187" s="352">
        <v>0.05</v>
      </c>
      <c r="G187" s="352">
        <v>0.1</v>
      </c>
      <c r="H187" s="352">
        <v>0.15</v>
      </c>
      <c r="I187" s="352">
        <v>0.15</v>
      </c>
      <c r="J187" s="352">
        <v>0.15</v>
      </c>
      <c r="K187" s="352">
        <v>0.15</v>
      </c>
      <c r="L187" s="352">
        <v>0.15</v>
      </c>
      <c r="O187" s="8"/>
    </row>
    <row r="188" spans="1:19">
      <c r="A188" s="312"/>
      <c r="B188" s="312" t="s">
        <v>650</v>
      </c>
      <c r="C188" s="312" t="s">
        <v>620</v>
      </c>
      <c r="D188" s="320" t="e">
        <f>D184*D$187</f>
        <v>#REF!</v>
      </c>
      <c r="E188" s="320" t="e">
        <f t="shared" ref="E188:L188" si="51">E184*E$187</f>
        <v>#REF!</v>
      </c>
      <c r="F188" s="320" t="e">
        <f t="shared" si="51"/>
        <v>#REF!</v>
      </c>
      <c r="G188" s="320" t="e">
        <f t="shared" si="51"/>
        <v>#REF!</v>
      </c>
      <c r="H188" s="320" t="e">
        <f t="shared" si="51"/>
        <v>#REF!</v>
      </c>
      <c r="I188" s="320" t="e">
        <f t="shared" si="51"/>
        <v>#REF!</v>
      </c>
      <c r="J188" s="320" t="e">
        <f t="shared" si="51"/>
        <v>#REF!</v>
      </c>
      <c r="K188" s="320" t="e">
        <f t="shared" si="51"/>
        <v>#REF!</v>
      </c>
      <c r="L188" s="320" t="e">
        <f t="shared" si="51"/>
        <v>#REF!</v>
      </c>
      <c r="O188" s="8"/>
    </row>
    <row r="189" spans="1:19">
      <c r="A189" s="312"/>
      <c r="B189" s="312"/>
      <c r="C189" s="312" t="s">
        <v>58</v>
      </c>
      <c r="D189" s="320" t="e">
        <f t="shared" ref="D189:L190" si="52">D185*D$187</f>
        <v>#REF!</v>
      </c>
      <c r="E189" s="320" t="e">
        <f t="shared" si="52"/>
        <v>#REF!</v>
      </c>
      <c r="F189" s="320" t="e">
        <f t="shared" si="52"/>
        <v>#REF!</v>
      </c>
      <c r="G189" s="320" t="e">
        <f t="shared" si="52"/>
        <v>#REF!</v>
      </c>
      <c r="H189" s="320" t="e">
        <f t="shared" si="52"/>
        <v>#REF!</v>
      </c>
      <c r="I189" s="320" t="e">
        <f t="shared" si="52"/>
        <v>#REF!</v>
      </c>
      <c r="J189" s="320" t="e">
        <f t="shared" si="52"/>
        <v>#REF!</v>
      </c>
      <c r="K189" s="320" t="e">
        <f t="shared" si="52"/>
        <v>#REF!</v>
      </c>
      <c r="L189" s="320" t="e">
        <f t="shared" si="52"/>
        <v>#REF!</v>
      </c>
      <c r="O189" s="8"/>
    </row>
    <row r="190" spans="1:19">
      <c r="A190" s="312"/>
      <c r="B190" s="312"/>
      <c r="C190" s="312" t="s">
        <v>621</v>
      </c>
      <c r="D190" s="320" t="e">
        <f t="shared" si="52"/>
        <v>#REF!</v>
      </c>
      <c r="E190" s="320" t="e">
        <f t="shared" si="52"/>
        <v>#REF!</v>
      </c>
      <c r="F190" s="320" t="e">
        <f t="shared" si="52"/>
        <v>#REF!</v>
      </c>
      <c r="G190" s="320" t="e">
        <f t="shared" si="52"/>
        <v>#REF!</v>
      </c>
      <c r="H190" s="320" t="e">
        <f t="shared" si="52"/>
        <v>#REF!</v>
      </c>
      <c r="I190" s="320" t="e">
        <f t="shared" si="52"/>
        <v>#REF!</v>
      </c>
      <c r="J190" s="320" t="e">
        <f t="shared" si="52"/>
        <v>#REF!</v>
      </c>
      <c r="K190" s="320" t="e">
        <f t="shared" si="52"/>
        <v>#REF!</v>
      </c>
      <c r="L190" s="320" t="e">
        <f t="shared" si="52"/>
        <v>#REF!</v>
      </c>
      <c r="O190" s="8"/>
    </row>
    <row r="191" spans="1:19">
      <c r="A191" s="312"/>
      <c r="B191" s="312" t="s">
        <v>651</v>
      </c>
      <c r="C191" s="312" t="s">
        <v>620</v>
      </c>
      <c r="D191" s="320" t="e">
        <f>D184*(1-D$187)</f>
        <v>#REF!</v>
      </c>
      <c r="E191" s="320" t="e">
        <f t="shared" ref="E191:L191" si="53">E184*(1-E$187)</f>
        <v>#REF!</v>
      </c>
      <c r="F191" s="320" t="e">
        <f t="shared" si="53"/>
        <v>#REF!</v>
      </c>
      <c r="G191" s="320" t="e">
        <f t="shared" si="53"/>
        <v>#REF!</v>
      </c>
      <c r="H191" s="320" t="e">
        <f t="shared" si="53"/>
        <v>#REF!</v>
      </c>
      <c r="I191" s="320" t="e">
        <f t="shared" si="53"/>
        <v>#REF!</v>
      </c>
      <c r="J191" s="320" t="e">
        <f t="shared" si="53"/>
        <v>#REF!</v>
      </c>
      <c r="K191" s="320" t="e">
        <f t="shared" si="53"/>
        <v>#REF!</v>
      </c>
      <c r="L191" s="320" t="e">
        <f t="shared" si="53"/>
        <v>#REF!</v>
      </c>
      <c r="O191" s="8"/>
    </row>
    <row r="192" spans="1:19">
      <c r="A192" s="312"/>
      <c r="B192" s="312"/>
      <c r="C192" s="312" t="s">
        <v>58</v>
      </c>
      <c r="D192" s="320" t="e">
        <f t="shared" ref="D192:L193" si="54">D185*(1-D$187)</f>
        <v>#REF!</v>
      </c>
      <c r="E192" s="320" t="e">
        <f t="shared" si="54"/>
        <v>#REF!</v>
      </c>
      <c r="F192" s="320" t="e">
        <f t="shared" si="54"/>
        <v>#REF!</v>
      </c>
      <c r="G192" s="320" t="e">
        <f t="shared" si="54"/>
        <v>#REF!</v>
      </c>
      <c r="H192" s="320" t="e">
        <f t="shared" si="54"/>
        <v>#REF!</v>
      </c>
      <c r="I192" s="320" t="e">
        <f t="shared" si="54"/>
        <v>#REF!</v>
      </c>
      <c r="J192" s="320" t="e">
        <f t="shared" si="54"/>
        <v>#REF!</v>
      </c>
      <c r="K192" s="320" t="e">
        <f t="shared" si="54"/>
        <v>#REF!</v>
      </c>
      <c r="L192" s="320" t="e">
        <f t="shared" si="54"/>
        <v>#REF!</v>
      </c>
      <c r="O192" s="8"/>
    </row>
    <row r="193" spans="1:17">
      <c r="A193" s="312"/>
      <c r="B193" s="312"/>
      <c r="C193" s="312" t="s">
        <v>621</v>
      </c>
      <c r="D193" s="320" t="e">
        <f t="shared" si="54"/>
        <v>#REF!</v>
      </c>
      <c r="E193" s="320" t="e">
        <f t="shared" si="54"/>
        <v>#REF!</v>
      </c>
      <c r="F193" s="320" t="e">
        <f t="shared" si="54"/>
        <v>#REF!</v>
      </c>
      <c r="G193" s="320" t="e">
        <f t="shared" si="54"/>
        <v>#REF!</v>
      </c>
      <c r="H193" s="320" t="e">
        <f t="shared" si="54"/>
        <v>#REF!</v>
      </c>
      <c r="I193" s="320" t="e">
        <f t="shared" si="54"/>
        <v>#REF!</v>
      </c>
      <c r="J193" s="320" t="e">
        <f t="shared" si="54"/>
        <v>#REF!</v>
      </c>
      <c r="K193" s="320" t="e">
        <f t="shared" si="54"/>
        <v>#REF!</v>
      </c>
      <c r="L193" s="320" t="e">
        <f t="shared" si="54"/>
        <v>#REF!</v>
      </c>
      <c r="O193" s="8"/>
    </row>
    <row r="194" spans="1:17">
      <c r="A194" s="314" t="s">
        <v>660</v>
      </c>
      <c r="B194" s="312" t="s">
        <v>661</v>
      </c>
      <c r="C194" s="312" t="s">
        <v>31</v>
      </c>
      <c r="D194" s="320">
        <v>1</v>
      </c>
      <c r="E194" s="320">
        <v>1000</v>
      </c>
      <c r="F194" s="250">
        <f>$O194*$P194*EXP($Q194*F$214)/($O194+$P194*(EXP($Q194*F$214)-1))</f>
        <v>2715.9633440993275</v>
      </c>
      <c r="G194" s="250">
        <f t="shared" ref="F194:L196" si="55">$O194*$P194*EXP($Q194*G$179)/($O194+$P194*(EXP($Q194*G$179)-1))</f>
        <v>13380.882990594493</v>
      </c>
      <c r="H194" s="250">
        <f t="shared" si="55"/>
        <v>35962.22885997744</v>
      </c>
      <c r="I194" s="250">
        <f t="shared" si="55"/>
        <v>94843.844357287977</v>
      </c>
      <c r="J194" s="250">
        <f t="shared" si="55"/>
        <v>238502.31055409231</v>
      </c>
      <c r="K194" s="250">
        <f t="shared" si="55"/>
        <v>538648.8354669346</v>
      </c>
      <c r="L194" s="250">
        <f t="shared" si="55"/>
        <v>1003001.275816632</v>
      </c>
      <c r="N194">
        <v>100</v>
      </c>
      <c r="O194" s="8">
        <f>$D$149*$J$158*$J$162*N194/100</f>
        <v>2012862.6019696158</v>
      </c>
      <c r="P194">
        <v>1000</v>
      </c>
      <c r="Q194">
        <f>Q184</f>
        <v>0.2</v>
      </c>
    </row>
    <row r="195" spans="1:17">
      <c r="A195" s="312"/>
      <c r="B195" s="312"/>
      <c r="C195" s="312" t="s">
        <v>30</v>
      </c>
      <c r="D195" s="320">
        <v>1</v>
      </c>
      <c r="E195" s="320">
        <v>1000</v>
      </c>
      <c r="F195" s="250">
        <f t="shared" si="55"/>
        <v>4933.6541570118015</v>
      </c>
      <c r="G195" s="250">
        <f t="shared" si="55"/>
        <v>13299.041479013369</v>
      </c>
      <c r="H195" s="250">
        <f t="shared" si="55"/>
        <v>35347.950756263112</v>
      </c>
      <c r="I195" s="250">
        <f t="shared" si="55"/>
        <v>90616.991662014232</v>
      </c>
      <c r="J195" s="250">
        <f t="shared" si="55"/>
        <v>213319.71367365413</v>
      </c>
      <c r="K195" s="250">
        <f t="shared" si="55"/>
        <v>425056.90767169988</v>
      </c>
      <c r="L195" s="250">
        <f t="shared" si="55"/>
        <v>669539.44782187312</v>
      </c>
      <c r="N195">
        <v>50</v>
      </c>
      <c r="O195" s="8">
        <f>$D$149*$J$158*$J$162*N195/100</f>
        <v>1006431.3009848079</v>
      </c>
      <c r="P195">
        <v>1000</v>
      </c>
      <c r="Q195">
        <f t="shared" ref="Q195:Q196" si="56">Q194</f>
        <v>0.2</v>
      </c>
    </row>
    <row r="196" spans="1:17">
      <c r="A196" s="312"/>
      <c r="B196" s="312"/>
      <c r="C196" s="312" t="s">
        <v>29</v>
      </c>
      <c r="D196" s="320">
        <v>1</v>
      </c>
      <c r="E196" s="320">
        <v>1000</v>
      </c>
      <c r="F196" s="250">
        <f t="shared" si="55"/>
        <v>4940.0967095556862</v>
      </c>
      <c r="G196" s="250">
        <f t="shared" si="55"/>
        <v>13353.49079411678</v>
      </c>
      <c r="H196" s="250">
        <f t="shared" si="55"/>
        <v>35755.110943393913</v>
      </c>
      <c r="I196" s="250">
        <f t="shared" si="55"/>
        <v>93391.75034988916</v>
      </c>
      <c r="J196" s="250">
        <f t="shared" si="55"/>
        <v>229472.49450212307</v>
      </c>
      <c r="K196" s="250">
        <f t="shared" si="55"/>
        <v>494590.79603907018</v>
      </c>
      <c r="L196" s="250">
        <f t="shared" si="55"/>
        <v>860195.47309881181</v>
      </c>
      <c r="N196">
        <v>75</v>
      </c>
      <c r="O196" s="8">
        <f>$D$149*$J$158*$J$162*N196/100</f>
        <v>1509646.9514772117</v>
      </c>
      <c r="P196">
        <v>1000</v>
      </c>
      <c r="Q196">
        <f t="shared" si="56"/>
        <v>0.2</v>
      </c>
    </row>
    <row r="197" spans="1:17">
      <c r="A197" s="312" t="s">
        <v>643</v>
      </c>
      <c r="B197" s="312" t="s">
        <v>710</v>
      </c>
      <c r="C197" s="312" t="s">
        <v>640</v>
      </c>
      <c r="D197" s="250"/>
      <c r="E197" s="250">
        <f>(E181-D181)/E179</f>
        <v>10302.523446725854</v>
      </c>
      <c r="F197" s="250">
        <f>(F181-E181)/F179</f>
        <v>17697.243809829499</v>
      </c>
      <c r="G197" s="250">
        <f t="shared" ref="G197:L197" si="57">(G181-F181)/G179</f>
        <v>34184.638356209238</v>
      </c>
      <c r="H197" s="250">
        <f t="shared" si="57"/>
        <v>62386.417170693399</v>
      </c>
      <c r="I197" s="250">
        <f t="shared" si="57"/>
        <v>76534.228243437406</v>
      </c>
      <c r="J197" s="250">
        <f t="shared" si="57"/>
        <v>50296.059333876809</v>
      </c>
      <c r="K197" s="250">
        <f t="shared" si="57"/>
        <v>19316.280781497586</v>
      </c>
      <c r="L197" s="250">
        <f t="shared" si="57"/>
        <v>5635.1073032177637</v>
      </c>
      <c r="O197" s="8"/>
    </row>
    <row r="198" spans="1:17">
      <c r="A198" s="312"/>
      <c r="B198" s="312" t="s">
        <v>711</v>
      </c>
      <c r="C198" s="312" t="s">
        <v>640</v>
      </c>
      <c r="D198" s="250"/>
      <c r="E198" s="250">
        <f>(E182-D182)/E179</f>
        <v>10199.425138685327</v>
      </c>
      <c r="F198" s="250">
        <f t="shared" ref="F198:L198" si="58">(F182-E182)/F179</f>
        <v>17018.420870029357</v>
      </c>
      <c r="G198" s="250">
        <f t="shared" si="58"/>
        <v>29894.983011827248</v>
      </c>
      <c r="H198" s="250">
        <f t="shared" si="58"/>
        <v>43292.286737318966</v>
      </c>
      <c r="I198" s="250">
        <f t="shared" si="58"/>
        <v>36733.96713893408</v>
      </c>
      <c r="J198" s="250">
        <f t="shared" si="58"/>
        <v>17031.063969002222</v>
      </c>
      <c r="K198" s="250">
        <f t="shared" si="58"/>
        <v>5366.7038506687422</v>
      </c>
      <c r="L198" s="250">
        <f t="shared" si="58"/>
        <v>1450.791195722358</v>
      </c>
      <c r="O198" s="8"/>
    </row>
    <row r="199" spans="1:17">
      <c r="A199" s="312"/>
      <c r="B199" s="312" t="s">
        <v>711</v>
      </c>
      <c r="C199" s="312" t="s">
        <v>641</v>
      </c>
      <c r="D199" s="250"/>
      <c r="E199" s="250"/>
      <c r="F199" s="250"/>
      <c r="G199" s="250"/>
      <c r="H199" s="250"/>
      <c r="I199" s="250"/>
      <c r="J199" s="250"/>
      <c r="K199" s="250"/>
      <c r="L199" s="250"/>
      <c r="O199" s="8"/>
    </row>
    <row r="200" spans="1:17">
      <c r="F200" t="e">
        <f>F181+F184</f>
        <v>#REF!</v>
      </c>
    </row>
    <row r="201" spans="1:17">
      <c r="A201" s="314" t="s">
        <v>725</v>
      </c>
      <c r="B201" s="312"/>
      <c r="C201" s="312"/>
      <c r="D201" s="312" t="s">
        <v>638</v>
      </c>
      <c r="E201" s="312"/>
      <c r="F201" s="312"/>
      <c r="G201" s="312"/>
      <c r="H201" s="312"/>
      <c r="I201" s="312"/>
      <c r="J201" s="312"/>
      <c r="K201" s="312"/>
      <c r="L201" s="312"/>
    </row>
    <row r="202" spans="1:17">
      <c r="A202" s="314" t="s">
        <v>639</v>
      </c>
      <c r="B202" s="312" t="s">
        <v>622</v>
      </c>
      <c r="C202" s="312"/>
      <c r="D202" s="314">
        <v>2012</v>
      </c>
      <c r="E202" s="314">
        <v>2015</v>
      </c>
      <c r="F202" s="314">
        <v>2020</v>
      </c>
      <c r="G202" s="314">
        <v>2025</v>
      </c>
      <c r="H202" s="314">
        <v>2030</v>
      </c>
      <c r="I202" s="314">
        <v>2035</v>
      </c>
      <c r="J202" s="314">
        <v>2040</v>
      </c>
      <c r="K202" s="314">
        <v>2045</v>
      </c>
      <c r="L202" s="314">
        <v>2050</v>
      </c>
      <c r="M202" t="s">
        <v>734</v>
      </c>
    </row>
    <row r="203" spans="1:17">
      <c r="A203" s="312" t="s">
        <v>59</v>
      </c>
      <c r="B203" s="312" t="s">
        <v>640</v>
      </c>
      <c r="C203" s="312" t="s">
        <v>620</v>
      </c>
      <c r="D203" s="317" t="e">
        <f>D181/$B$168</f>
        <v>#REF!</v>
      </c>
      <c r="E203" s="317" t="e">
        <f>E181/C$168</f>
        <v>#REF!</v>
      </c>
      <c r="F203" s="317" t="e">
        <f t="shared" ref="F203:L205" si="59">F181/D$168</f>
        <v>#REF!</v>
      </c>
      <c r="G203" s="317" t="e">
        <f t="shared" si="59"/>
        <v>#REF!</v>
      </c>
      <c r="H203" s="317" t="e">
        <f t="shared" si="59"/>
        <v>#REF!</v>
      </c>
      <c r="I203" s="317" t="e">
        <f t="shared" si="59"/>
        <v>#REF!</v>
      </c>
      <c r="J203" s="317" t="e">
        <f t="shared" si="59"/>
        <v>#REF!</v>
      </c>
      <c r="K203" s="317" t="e">
        <f t="shared" si="59"/>
        <v>#REF!</v>
      </c>
      <c r="L203" s="317" t="e">
        <f t="shared" si="59"/>
        <v>#REF!</v>
      </c>
    </row>
    <row r="204" spans="1:17">
      <c r="A204" s="312"/>
      <c r="B204" s="312" t="s">
        <v>640</v>
      </c>
      <c r="C204" s="312" t="s">
        <v>58</v>
      </c>
      <c r="D204" s="317" t="e">
        <f t="shared" ref="D204:D205" si="60">D182/$B$168</f>
        <v>#REF!</v>
      </c>
      <c r="E204" s="317" t="e">
        <f t="shared" ref="E204:E205" si="61">E182/C$168</f>
        <v>#REF!</v>
      </c>
      <c r="F204" s="317" t="e">
        <f t="shared" si="59"/>
        <v>#REF!</v>
      </c>
      <c r="G204" s="317" t="e">
        <f t="shared" si="59"/>
        <v>#REF!</v>
      </c>
      <c r="H204" s="317" t="e">
        <f t="shared" si="59"/>
        <v>#REF!</v>
      </c>
      <c r="I204" s="317" t="e">
        <f t="shared" si="59"/>
        <v>#REF!</v>
      </c>
      <c r="J204" s="317" t="e">
        <f t="shared" si="59"/>
        <v>#REF!</v>
      </c>
      <c r="K204" s="317" t="e">
        <f t="shared" si="59"/>
        <v>#REF!</v>
      </c>
      <c r="L204" s="317" t="e">
        <f t="shared" si="59"/>
        <v>#REF!</v>
      </c>
    </row>
    <row r="205" spans="1:17">
      <c r="A205" s="312"/>
      <c r="B205" s="312" t="s">
        <v>640</v>
      </c>
      <c r="C205" s="312" t="s">
        <v>621</v>
      </c>
      <c r="D205" s="317" t="e">
        <f t="shared" si="60"/>
        <v>#REF!</v>
      </c>
      <c r="E205" s="317" t="e">
        <f t="shared" si="61"/>
        <v>#REF!</v>
      </c>
      <c r="F205" s="317" t="e">
        <f t="shared" si="59"/>
        <v>#REF!</v>
      </c>
      <c r="G205" s="317" t="e">
        <f t="shared" si="59"/>
        <v>#REF!</v>
      </c>
      <c r="H205" s="317" t="e">
        <f t="shared" si="59"/>
        <v>#REF!</v>
      </c>
      <c r="I205" s="317" t="e">
        <f t="shared" si="59"/>
        <v>#REF!</v>
      </c>
      <c r="J205" s="317" t="e">
        <f t="shared" si="59"/>
        <v>#REF!</v>
      </c>
      <c r="K205" s="317" t="e">
        <f t="shared" si="59"/>
        <v>#REF!</v>
      </c>
      <c r="L205" s="317" t="e">
        <f t="shared" si="59"/>
        <v>#REF!</v>
      </c>
    </row>
    <row r="206" spans="1:17">
      <c r="A206" s="312" t="s">
        <v>438</v>
      </c>
      <c r="B206" s="312" t="s">
        <v>640</v>
      </c>
      <c r="C206" s="312" t="s">
        <v>620</v>
      </c>
      <c r="D206" s="317" t="e">
        <f>D184/B$177*D$187</f>
        <v>#REF!</v>
      </c>
      <c r="E206" s="317" t="e">
        <f t="shared" ref="E206:L206" si="62">E184/C$174*E$187</f>
        <v>#REF!</v>
      </c>
      <c r="F206" s="317" t="e">
        <f t="shared" si="62"/>
        <v>#REF!</v>
      </c>
      <c r="G206" s="317" t="e">
        <f t="shared" si="62"/>
        <v>#REF!</v>
      </c>
      <c r="H206" s="317" t="e">
        <f t="shared" si="62"/>
        <v>#REF!</v>
      </c>
      <c r="I206" s="317" t="e">
        <f t="shared" si="62"/>
        <v>#REF!</v>
      </c>
      <c r="J206" s="317" t="e">
        <f t="shared" si="62"/>
        <v>#REF!</v>
      </c>
      <c r="K206" s="317" t="e">
        <f t="shared" si="62"/>
        <v>#REF!</v>
      </c>
      <c r="L206" s="317" t="e">
        <f t="shared" si="62"/>
        <v>#REF!</v>
      </c>
      <c r="M206" t="s">
        <v>111</v>
      </c>
    </row>
    <row r="207" spans="1:17">
      <c r="A207" s="312" t="s">
        <v>724</v>
      </c>
      <c r="B207" s="312" t="s">
        <v>640</v>
      </c>
      <c r="C207" s="312" t="s">
        <v>58</v>
      </c>
      <c r="D207" s="317" t="e">
        <f>D185/B$177*D$187</f>
        <v>#REF!</v>
      </c>
      <c r="E207" s="317" t="e">
        <f t="shared" ref="E207:L207" si="63">E185/C$177*E$187</f>
        <v>#REF!</v>
      </c>
      <c r="F207" s="317" t="e">
        <f t="shared" si="63"/>
        <v>#REF!</v>
      </c>
      <c r="G207" s="317" t="e">
        <f t="shared" si="63"/>
        <v>#REF!</v>
      </c>
      <c r="H207" s="317" t="e">
        <f t="shared" si="63"/>
        <v>#REF!</v>
      </c>
      <c r="I207" s="317" t="e">
        <f t="shared" si="63"/>
        <v>#REF!</v>
      </c>
      <c r="J207" s="317" t="e">
        <f t="shared" si="63"/>
        <v>#REF!</v>
      </c>
      <c r="K207" s="317" t="e">
        <f t="shared" si="63"/>
        <v>#REF!</v>
      </c>
      <c r="L207" s="317" t="e">
        <f t="shared" si="63"/>
        <v>#REF!</v>
      </c>
      <c r="M207" t="s">
        <v>733</v>
      </c>
    </row>
    <row r="208" spans="1:17">
      <c r="A208" s="312"/>
      <c r="B208" s="312" t="s">
        <v>640</v>
      </c>
      <c r="C208" s="312" t="s">
        <v>621</v>
      </c>
      <c r="D208" s="317" t="e">
        <f>D186/B$177*D$187</f>
        <v>#REF!</v>
      </c>
      <c r="E208" s="317" t="e">
        <f t="shared" ref="E208:L208" si="64">E186/C$177*E$187</f>
        <v>#REF!</v>
      </c>
      <c r="F208" s="317" t="e">
        <f t="shared" si="64"/>
        <v>#REF!</v>
      </c>
      <c r="G208" s="317" t="e">
        <f t="shared" si="64"/>
        <v>#REF!</v>
      </c>
      <c r="H208" s="317" t="e">
        <f t="shared" si="64"/>
        <v>#REF!</v>
      </c>
      <c r="I208" s="317" t="e">
        <f t="shared" si="64"/>
        <v>#REF!</v>
      </c>
      <c r="J208" s="317" t="e">
        <f t="shared" si="64"/>
        <v>#REF!</v>
      </c>
      <c r="K208" s="317" t="e">
        <f t="shared" si="64"/>
        <v>#REF!</v>
      </c>
      <c r="L208" s="317" t="e">
        <f t="shared" si="64"/>
        <v>#REF!</v>
      </c>
      <c r="M208" t="s">
        <v>129</v>
      </c>
    </row>
    <row r="209" spans="1:15">
      <c r="A209" s="312"/>
      <c r="B209" s="312" t="s">
        <v>729</v>
      </c>
      <c r="C209" s="312" t="s">
        <v>620</v>
      </c>
      <c r="D209" s="317" t="e">
        <f>D184/B$177*(1-D$187)</f>
        <v>#REF!</v>
      </c>
      <c r="E209" s="317" t="e">
        <f t="shared" ref="E209:L209" si="65">E184/C$177*(1-E$187)</f>
        <v>#REF!</v>
      </c>
      <c r="F209" s="317" t="e">
        <f t="shared" si="65"/>
        <v>#REF!</v>
      </c>
      <c r="G209" s="317" t="e">
        <f t="shared" si="65"/>
        <v>#REF!</v>
      </c>
      <c r="H209" s="317" t="e">
        <f t="shared" si="65"/>
        <v>#REF!</v>
      </c>
      <c r="I209" s="317" t="e">
        <f t="shared" si="65"/>
        <v>#REF!</v>
      </c>
      <c r="J209" s="317" t="e">
        <f t="shared" si="65"/>
        <v>#REF!</v>
      </c>
      <c r="K209" s="317" t="e">
        <f t="shared" si="65"/>
        <v>#REF!</v>
      </c>
      <c r="L209" s="317" t="e">
        <f t="shared" si="65"/>
        <v>#REF!</v>
      </c>
      <c r="M209" t="s">
        <v>111</v>
      </c>
    </row>
    <row r="210" spans="1:15">
      <c r="A210" s="312"/>
      <c r="B210" s="312" t="s">
        <v>729</v>
      </c>
      <c r="C210" s="312" t="s">
        <v>58</v>
      </c>
      <c r="D210" s="317" t="e">
        <f t="shared" ref="D210" si="66">D185/B$174*(1-D$187)</f>
        <v>#REF!</v>
      </c>
      <c r="E210" s="317" t="e">
        <f t="shared" ref="E210" si="67">E185/C$174*(1-E$187)</f>
        <v>#REF!</v>
      </c>
      <c r="F210" s="317" t="e">
        <f t="shared" ref="F210" si="68">F185/D$174*(1-F$187)</f>
        <v>#REF!</v>
      </c>
      <c r="G210" s="317" t="e">
        <f t="shared" ref="G210" si="69">G185/E$174*(1-G$187)</f>
        <v>#REF!</v>
      </c>
      <c r="H210" s="317" t="e">
        <f t="shared" ref="H210" si="70">H185/F$174*(1-H$187)</f>
        <v>#REF!</v>
      </c>
      <c r="I210" s="317" t="e">
        <f t="shared" ref="I210" si="71">I185/G$174*(1-I$187)</f>
        <v>#REF!</v>
      </c>
      <c r="J210" s="317" t="e">
        <f t="shared" ref="J210" si="72">J185/H$174*(1-J$187)</f>
        <v>#REF!</v>
      </c>
      <c r="K210" s="317" t="e">
        <f t="shared" ref="K210" si="73">K185/I$174*(1-K$187)</f>
        <v>#REF!</v>
      </c>
      <c r="L210" s="317" t="e">
        <f t="shared" ref="L210" si="74">L185/J$174*(1-L$187)</f>
        <v>#REF!</v>
      </c>
      <c r="M210" t="s">
        <v>733</v>
      </c>
    </row>
    <row r="211" spans="1:15">
      <c r="A211" s="312"/>
      <c r="B211" s="312" t="s">
        <v>729</v>
      </c>
      <c r="C211" s="312" t="s">
        <v>621</v>
      </c>
      <c r="D211" s="317" t="e">
        <f>D186/B$177*(1-D$187)</f>
        <v>#REF!</v>
      </c>
      <c r="E211" s="317" t="e">
        <f t="shared" ref="E211:L211" si="75">E186/C$177*(1-E$187)</f>
        <v>#REF!</v>
      </c>
      <c r="F211" s="317" t="e">
        <f t="shared" si="75"/>
        <v>#REF!</v>
      </c>
      <c r="G211" s="317" t="e">
        <f t="shared" si="75"/>
        <v>#REF!</v>
      </c>
      <c r="H211" s="317" t="e">
        <f t="shared" si="75"/>
        <v>#REF!</v>
      </c>
      <c r="I211" s="317" t="e">
        <f t="shared" si="75"/>
        <v>#REF!</v>
      </c>
      <c r="J211" s="317" t="e">
        <f t="shared" si="75"/>
        <v>#REF!</v>
      </c>
      <c r="K211" s="317" t="e">
        <f t="shared" si="75"/>
        <v>#REF!</v>
      </c>
      <c r="L211" s="317" t="e">
        <f t="shared" si="75"/>
        <v>#REF!</v>
      </c>
      <c r="M211" t="s">
        <v>129</v>
      </c>
    </row>
    <row r="212" spans="1:15">
      <c r="A212" s="312" t="s">
        <v>18</v>
      </c>
      <c r="B212" s="312" t="s">
        <v>729</v>
      </c>
      <c r="C212" s="312" t="s">
        <v>620</v>
      </c>
      <c r="D212" s="370">
        <v>0</v>
      </c>
      <c r="E212" s="371">
        <f>E194/C173</f>
        <v>2.0749603150142109E-4</v>
      </c>
      <c r="F212" s="371">
        <f t="shared" ref="F212:L212" si="76">F194/D173</f>
        <v>6.1599215895705931E-4</v>
      </c>
      <c r="G212" s="371">
        <f t="shared" si="76"/>
        <v>3.2509256239793365E-3</v>
      </c>
      <c r="H212" s="371">
        <f t="shared" si="76"/>
        <v>9.8778103549652975E-3</v>
      </c>
      <c r="I212" s="371">
        <f t="shared" si="76"/>
        <v>2.8925306015421575E-2</v>
      </c>
      <c r="J212" s="371">
        <f t="shared" si="76"/>
        <v>7.4402566364663705E-2</v>
      </c>
      <c r="K212" s="371">
        <f t="shared" si="76"/>
        <v>0.17022113825972524</v>
      </c>
      <c r="L212" s="371">
        <f t="shared" si="76"/>
        <v>0.31040333319418079</v>
      </c>
      <c r="M212" t="s">
        <v>733</v>
      </c>
    </row>
    <row r="214" spans="1:15">
      <c r="F214">
        <f>F215-E215</f>
        <v>5</v>
      </c>
      <c r="G214" s="312">
        <f>G$215-$E$215</f>
        <v>10</v>
      </c>
      <c r="H214" s="312">
        <f t="shared" ref="H214:L214" si="77">H$215-$E$215</f>
        <v>15</v>
      </c>
      <c r="I214" s="312">
        <f t="shared" si="77"/>
        <v>20</v>
      </c>
      <c r="J214" s="312">
        <f t="shared" si="77"/>
        <v>25</v>
      </c>
      <c r="K214" s="312">
        <f t="shared" si="77"/>
        <v>30</v>
      </c>
      <c r="L214" s="312">
        <f t="shared" si="77"/>
        <v>35</v>
      </c>
    </row>
    <row r="215" spans="1:15">
      <c r="A215" s="82" t="s">
        <v>657</v>
      </c>
      <c r="B215" s="82"/>
      <c r="C215" s="82"/>
      <c r="D215" s="372">
        <f>D180</f>
        <v>2012</v>
      </c>
      <c r="E215" s="372">
        <f t="shared" ref="E215:L215" si="78">E180</f>
        <v>2015</v>
      </c>
      <c r="F215" s="372">
        <f t="shared" si="78"/>
        <v>2020</v>
      </c>
      <c r="G215" s="372">
        <f t="shared" si="78"/>
        <v>2025</v>
      </c>
      <c r="H215" s="372">
        <f t="shared" si="78"/>
        <v>2030</v>
      </c>
      <c r="I215" s="372">
        <f t="shared" si="78"/>
        <v>2035</v>
      </c>
      <c r="J215" s="372">
        <f t="shared" si="78"/>
        <v>2040</v>
      </c>
      <c r="K215" s="372">
        <f t="shared" si="78"/>
        <v>2045</v>
      </c>
      <c r="L215" s="372">
        <f t="shared" si="78"/>
        <v>2050</v>
      </c>
    </row>
    <row r="216" spans="1:15" ht="14" customHeight="1">
      <c r="A216" s="82"/>
      <c r="B216" s="82" t="s">
        <v>59</v>
      </c>
      <c r="C216" s="82" t="s">
        <v>662</v>
      </c>
      <c r="D216" s="250">
        <f>D181</f>
        <v>27950</v>
      </c>
      <c r="E216" s="250">
        <f>E181</f>
        <v>58857.570340177561</v>
      </c>
      <c r="F216" s="250">
        <f>$O181*$P181*EXP($N216*F$214)/($O181+$P181*(EXP($N216*F$214)-1))</f>
        <v>254895.88484757452</v>
      </c>
      <c r="G216" s="250">
        <f t="shared" ref="G216:L216" si="79">$O181*$F216*EXP($O216*G$214)/($O181+$F216*(EXP($O216*G$214)-1))</f>
        <v>1474862.0157627151</v>
      </c>
      <c r="H216" s="250">
        <f t="shared" si="79"/>
        <v>2801420.8739724793</v>
      </c>
      <c r="I216" s="250">
        <f t="shared" si="79"/>
        <v>4186772.4784253244</v>
      </c>
      <c r="J216" s="250">
        <f t="shared" si="79"/>
        <v>5117820.8610229595</v>
      </c>
      <c r="K216" s="250">
        <f t="shared" si="79"/>
        <v>5573805.5052590473</v>
      </c>
      <c r="L216" s="250">
        <f t="shared" si="79"/>
        <v>5762689.8220821638</v>
      </c>
      <c r="N216">
        <v>0.45</v>
      </c>
      <c r="O216">
        <v>0.2</v>
      </c>
    </row>
    <row r="217" spans="1:15">
      <c r="A217" s="82" t="s">
        <v>658</v>
      </c>
      <c r="B217" s="82" t="s">
        <v>715</v>
      </c>
      <c r="C217" s="82" t="s">
        <v>716</v>
      </c>
      <c r="D217" s="319" t="e">
        <f>D191</f>
        <v>#REF!</v>
      </c>
      <c r="E217" s="319" t="e">
        <f>E191</f>
        <v>#REF!</v>
      </c>
      <c r="F217" s="250" t="e">
        <f>$O184*$P184*EXP($N217*F$214)/($O184+$P184*(EXP($N217*F$214)-1))</f>
        <v>#REF!</v>
      </c>
      <c r="G217" s="250" t="e">
        <f t="shared" ref="G217:L217" si="80">$O184*$F217*EXP($O217*G$214)/($O184+$F217*(EXP($O217*G$214)-1))</f>
        <v>#REF!</v>
      </c>
      <c r="H217" s="250" t="e">
        <f t="shared" si="80"/>
        <v>#REF!</v>
      </c>
      <c r="I217" s="250" t="e">
        <f t="shared" si="80"/>
        <v>#REF!</v>
      </c>
      <c r="J217" s="250" t="e">
        <f t="shared" si="80"/>
        <v>#REF!</v>
      </c>
      <c r="K217" s="250" t="e">
        <f t="shared" si="80"/>
        <v>#REF!</v>
      </c>
      <c r="L217" s="250" t="e">
        <f t="shared" si="80"/>
        <v>#REF!</v>
      </c>
      <c r="N217">
        <v>0.45</v>
      </c>
      <c r="O217">
        <v>0.15</v>
      </c>
    </row>
    <row r="218" spans="1:15">
      <c r="A218" s="82"/>
      <c r="B218" s="82"/>
      <c r="C218" s="82" t="s">
        <v>714</v>
      </c>
      <c r="D218" s="319" t="e">
        <f>D217*(1-D187)</f>
        <v>#REF!</v>
      </c>
      <c r="E218" s="319" t="e">
        <f t="shared" ref="E218:L218" si="81">E217*(1-E187)</f>
        <v>#REF!</v>
      </c>
      <c r="F218" s="319" t="e">
        <f t="shared" si="81"/>
        <v>#REF!</v>
      </c>
      <c r="G218" s="319" t="e">
        <f t="shared" si="81"/>
        <v>#REF!</v>
      </c>
      <c r="H218" s="319" t="e">
        <f t="shared" si="81"/>
        <v>#REF!</v>
      </c>
      <c r="I218" s="319" t="e">
        <f t="shared" si="81"/>
        <v>#REF!</v>
      </c>
      <c r="J218" s="319" t="e">
        <f t="shared" si="81"/>
        <v>#REF!</v>
      </c>
      <c r="K218" s="319" t="e">
        <f t="shared" si="81"/>
        <v>#REF!</v>
      </c>
      <c r="L218" s="319" t="e">
        <f t="shared" si="81"/>
        <v>#REF!</v>
      </c>
    </row>
    <row r="219" spans="1:15">
      <c r="A219" s="82"/>
      <c r="B219" s="82"/>
      <c r="C219" s="82" t="s">
        <v>713</v>
      </c>
      <c r="D219" s="250" t="e">
        <f>D217*D187</f>
        <v>#REF!</v>
      </c>
      <c r="E219" s="250" t="e">
        <f t="shared" ref="E219:L219" si="82">E217*E187</f>
        <v>#REF!</v>
      </c>
      <c r="F219" s="250" t="e">
        <f t="shared" si="82"/>
        <v>#REF!</v>
      </c>
      <c r="G219" s="250" t="e">
        <f t="shared" si="82"/>
        <v>#REF!</v>
      </c>
      <c r="H219" s="250" t="e">
        <f t="shared" si="82"/>
        <v>#REF!</v>
      </c>
      <c r="I219" s="250" t="e">
        <f t="shared" si="82"/>
        <v>#REF!</v>
      </c>
      <c r="J219" s="250" t="e">
        <f t="shared" si="82"/>
        <v>#REF!</v>
      </c>
      <c r="K219" s="250" t="e">
        <f t="shared" si="82"/>
        <v>#REF!</v>
      </c>
      <c r="L219" s="250" t="e">
        <f t="shared" si="82"/>
        <v>#REF!</v>
      </c>
    </row>
    <row r="220" spans="1:15">
      <c r="A220" s="82"/>
      <c r="B220" s="82"/>
      <c r="C220" s="82" t="s">
        <v>663</v>
      </c>
      <c r="D220" s="319">
        <f>D194</f>
        <v>1</v>
      </c>
      <c r="E220" s="319">
        <f t="shared" ref="E220:L220" si="83">E194</f>
        <v>1000</v>
      </c>
      <c r="F220" s="319">
        <f t="shared" si="83"/>
        <v>2715.9633440993275</v>
      </c>
      <c r="G220" s="319">
        <f t="shared" si="83"/>
        <v>13380.882990594493</v>
      </c>
      <c r="H220" s="319">
        <f t="shared" si="83"/>
        <v>35962.22885997744</v>
      </c>
      <c r="I220" s="319">
        <f t="shared" si="83"/>
        <v>94843.844357287977</v>
      </c>
      <c r="J220" s="319">
        <f t="shared" si="83"/>
        <v>238502.31055409231</v>
      </c>
      <c r="K220" s="319">
        <f t="shared" si="83"/>
        <v>538648.8354669346</v>
      </c>
      <c r="L220" s="319">
        <f t="shared" si="83"/>
        <v>1003001.275816632</v>
      </c>
    </row>
    <row r="221" spans="1:15">
      <c r="A221" s="82"/>
      <c r="B221" s="82"/>
      <c r="C221" s="82" t="s">
        <v>27</v>
      </c>
      <c r="D221" s="250" t="e">
        <f>SUM(D216:D220)</f>
        <v>#REF!</v>
      </c>
      <c r="E221" s="250" t="e">
        <f t="shared" ref="E221:L221" si="84">SUM(E216:E220)</f>
        <v>#REF!</v>
      </c>
      <c r="F221" s="250" t="e">
        <f t="shared" si="84"/>
        <v>#REF!</v>
      </c>
      <c r="G221" s="250" t="e">
        <f t="shared" si="84"/>
        <v>#REF!</v>
      </c>
      <c r="H221" s="250" t="e">
        <f t="shared" si="84"/>
        <v>#REF!</v>
      </c>
      <c r="I221" s="250" t="e">
        <f t="shared" si="84"/>
        <v>#REF!</v>
      </c>
      <c r="J221" s="250" t="e">
        <f t="shared" si="84"/>
        <v>#REF!</v>
      </c>
      <c r="K221" s="250" t="e">
        <f t="shared" si="84"/>
        <v>#REF!</v>
      </c>
      <c r="L221" s="250" t="e">
        <f t="shared" si="84"/>
        <v>#REF!</v>
      </c>
    </row>
    <row r="222" spans="1:15">
      <c r="A222" s="82" t="s">
        <v>709</v>
      </c>
      <c r="B222" s="82" t="s">
        <v>662</v>
      </c>
      <c r="C222" s="82" t="s">
        <v>736</v>
      </c>
      <c r="D222" s="317">
        <f>D216/(B$162*B$160)</f>
        <v>8.0735449002391386E-3</v>
      </c>
      <c r="E222" s="317">
        <f t="shared" ref="E222:L222" si="85">E216/(C$162*C$160)</f>
        <v>1.4822327441589532E-2</v>
      </c>
      <c r="F222" s="317">
        <f t="shared" si="85"/>
        <v>5.3420740778140748E-2</v>
      </c>
      <c r="G222" s="317">
        <f t="shared" si="85"/>
        <v>0.25592194618327269</v>
      </c>
      <c r="H222" s="317">
        <f t="shared" si="85"/>
        <v>0.40493442594678425</v>
      </c>
      <c r="I222" s="317">
        <f t="shared" si="85"/>
        <v>0.57255465848084375</v>
      </c>
      <c r="J222" s="317">
        <f t="shared" si="85"/>
        <v>0.69439969193660434</v>
      </c>
      <c r="K222" s="317">
        <f t="shared" si="85"/>
        <v>0.74091101341778065</v>
      </c>
      <c r="L222" s="317">
        <f t="shared" si="85"/>
        <v>0.76255963164455631</v>
      </c>
    </row>
    <row r="223" spans="1:15">
      <c r="A223" s="82"/>
      <c r="B223" s="82"/>
      <c r="C223" s="82" t="s">
        <v>640</v>
      </c>
      <c r="D223" s="317" t="e">
        <f t="shared" ref="D223:L223" si="86">D219/B174</f>
        <v>#REF!</v>
      </c>
      <c r="E223" s="317" t="e">
        <f t="shared" si="86"/>
        <v>#REF!</v>
      </c>
      <c r="F223" s="317" t="e">
        <f t="shared" si="86"/>
        <v>#REF!</v>
      </c>
      <c r="G223" s="317" t="e">
        <f t="shared" si="86"/>
        <v>#REF!</v>
      </c>
      <c r="H223" s="317" t="e">
        <f t="shared" si="86"/>
        <v>#REF!</v>
      </c>
      <c r="I223" s="317" t="e">
        <f t="shared" si="86"/>
        <v>#REF!</v>
      </c>
      <c r="J223" s="317" t="e">
        <f t="shared" si="86"/>
        <v>#REF!</v>
      </c>
      <c r="K223" s="317" t="e">
        <f t="shared" si="86"/>
        <v>#REF!</v>
      </c>
      <c r="L223" s="317" t="e">
        <f t="shared" si="86"/>
        <v>#REF!</v>
      </c>
    </row>
    <row r="224" spans="1:15">
      <c r="A224" s="82"/>
      <c r="B224" s="82"/>
      <c r="C224" s="82" t="s">
        <v>641</v>
      </c>
      <c r="D224" s="317" t="e">
        <f>D218/B177</f>
        <v>#REF!</v>
      </c>
      <c r="E224" s="317" t="e">
        <f t="shared" ref="E224:L224" si="87">E218/C177</f>
        <v>#REF!</v>
      </c>
      <c r="F224" s="317" t="e">
        <f t="shared" si="87"/>
        <v>#REF!</v>
      </c>
      <c r="G224" s="317" t="e">
        <f t="shared" si="87"/>
        <v>#REF!</v>
      </c>
      <c r="H224" s="317" t="e">
        <f t="shared" si="87"/>
        <v>#REF!</v>
      </c>
      <c r="I224" s="317" t="e">
        <f t="shared" si="87"/>
        <v>#REF!</v>
      </c>
      <c r="J224" s="317" t="e">
        <f t="shared" si="87"/>
        <v>#REF!</v>
      </c>
      <c r="K224" s="317" t="e">
        <f t="shared" si="87"/>
        <v>#REF!</v>
      </c>
      <c r="L224" s="317" t="e">
        <f t="shared" si="87"/>
        <v>#REF!</v>
      </c>
    </row>
    <row r="225" spans="1:20">
      <c r="A225" s="82"/>
      <c r="B225" s="82" t="s">
        <v>712</v>
      </c>
      <c r="C225" s="82" t="s">
        <v>662</v>
      </c>
      <c r="D225" s="362"/>
      <c r="E225" s="362"/>
      <c r="F225" s="362"/>
      <c r="G225" s="362"/>
      <c r="H225" s="362"/>
      <c r="I225" s="362"/>
      <c r="J225" s="362"/>
      <c r="K225" s="362"/>
      <c r="L225" s="362"/>
    </row>
    <row r="226" spans="1:20">
      <c r="A226" s="82"/>
      <c r="B226" s="82"/>
      <c r="C226" s="82" t="s">
        <v>713</v>
      </c>
      <c r="D226" s="362"/>
      <c r="E226" s="362"/>
      <c r="F226" s="362"/>
      <c r="G226" s="362"/>
      <c r="H226" s="362"/>
      <c r="I226" s="362"/>
      <c r="J226" s="362"/>
      <c r="K226" s="362"/>
      <c r="L226" s="362"/>
    </row>
    <row r="228" spans="1:20" ht="13" thickBot="1"/>
    <row r="229" spans="1:20" s="15" customFormat="1" ht="13" thickBot="1">
      <c r="B229" s="349" t="s">
        <v>708</v>
      </c>
      <c r="C229" s="350"/>
      <c r="D229" s="351" t="s">
        <v>723</v>
      </c>
    </row>
    <row r="230" spans="1:20">
      <c r="A230" s="5" t="s">
        <v>707</v>
      </c>
      <c r="D230" s="5">
        <f t="shared" ref="D230:L230" si="88">D202</f>
        <v>2012</v>
      </c>
      <c r="E230" s="5">
        <f t="shared" si="88"/>
        <v>2015</v>
      </c>
      <c r="F230" s="5">
        <f t="shared" si="88"/>
        <v>2020</v>
      </c>
      <c r="G230" s="5">
        <f t="shared" si="88"/>
        <v>2025</v>
      </c>
      <c r="H230" s="5">
        <f t="shared" si="88"/>
        <v>2030</v>
      </c>
      <c r="I230" s="5">
        <f t="shared" si="88"/>
        <v>2035</v>
      </c>
      <c r="J230" s="5">
        <f t="shared" si="88"/>
        <v>2040</v>
      </c>
      <c r="K230" s="5">
        <f t="shared" si="88"/>
        <v>2045</v>
      </c>
      <c r="L230" s="5">
        <f t="shared" si="88"/>
        <v>2050</v>
      </c>
      <c r="N230">
        <f>F230</f>
        <v>2020</v>
      </c>
      <c r="O230">
        <f t="shared" ref="O230:S230" si="89">G230</f>
        <v>2025</v>
      </c>
      <c r="P230">
        <f t="shared" si="89"/>
        <v>2030</v>
      </c>
      <c r="Q230">
        <f t="shared" si="89"/>
        <v>2035</v>
      </c>
      <c r="R230">
        <f t="shared" si="89"/>
        <v>2040</v>
      </c>
      <c r="S230">
        <f t="shared" si="89"/>
        <v>2045</v>
      </c>
      <c r="T230">
        <f>L230</f>
        <v>2050</v>
      </c>
    </row>
    <row r="231" spans="1:20">
      <c r="A231" s="250" t="s">
        <v>717</v>
      </c>
      <c r="B231" s="250" t="s">
        <v>704</v>
      </c>
      <c r="C231" s="250" t="s">
        <v>703</v>
      </c>
      <c r="D231" s="367" t="e">
        <f t="shared" ref="D231:E231" si="90">-D203</f>
        <v>#REF!</v>
      </c>
      <c r="E231" s="367" t="e">
        <f t="shared" si="90"/>
        <v>#REF!</v>
      </c>
      <c r="F231" s="367" t="e">
        <f>-F203</f>
        <v>#REF!</v>
      </c>
      <c r="G231" s="367" t="e">
        <f>-G205*1.05</f>
        <v>#REF!</v>
      </c>
      <c r="H231" s="367" t="e">
        <f t="shared" ref="H231:L231" si="91">-H205*1.05</f>
        <v>#REF!</v>
      </c>
      <c r="I231" s="367" t="e">
        <f t="shared" si="91"/>
        <v>#REF!</v>
      </c>
      <c r="J231" s="367" t="e">
        <f t="shared" si="91"/>
        <v>#REF!</v>
      </c>
      <c r="K231" s="367" t="e">
        <f t="shared" si="91"/>
        <v>#REF!</v>
      </c>
      <c r="L231" s="367" t="e">
        <f t="shared" si="91"/>
        <v>#REF!</v>
      </c>
      <c r="N231" s="367" t="e">
        <f>-(F231+F232)/2</f>
        <v>#REF!</v>
      </c>
      <c r="O231" s="367" t="e">
        <f t="shared" ref="O231:T231" si="92">-(G231+G232)/2</f>
        <v>#REF!</v>
      </c>
      <c r="P231" s="367" t="e">
        <f t="shared" si="92"/>
        <v>#REF!</v>
      </c>
      <c r="Q231" s="367" t="e">
        <f t="shared" si="92"/>
        <v>#REF!</v>
      </c>
      <c r="R231" s="367" t="e">
        <f t="shared" si="92"/>
        <v>#REF!</v>
      </c>
      <c r="S231" s="367" t="e">
        <f t="shared" si="92"/>
        <v>#REF!</v>
      </c>
      <c r="T231" s="367" t="e">
        <f t="shared" si="92"/>
        <v>#REF!</v>
      </c>
    </row>
    <row r="232" spans="1:20">
      <c r="A232" s="250"/>
      <c r="B232" s="250" t="s">
        <v>705</v>
      </c>
      <c r="C232" s="250" t="s">
        <v>703</v>
      </c>
      <c r="D232" s="367" t="e">
        <f t="shared" ref="D232:L232" si="93">-D205</f>
        <v>#REF!</v>
      </c>
      <c r="E232" s="367" t="e">
        <f t="shared" si="93"/>
        <v>#REF!</v>
      </c>
      <c r="F232" s="367" t="e">
        <f t="shared" si="93"/>
        <v>#REF!</v>
      </c>
      <c r="G232" s="367" t="e">
        <f t="shared" si="93"/>
        <v>#REF!</v>
      </c>
      <c r="H232" s="367" t="e">
        <f t="shared" si="93"/>
        <v>#REF!</v>
      </c>
      <c r="I232" s="367" t="e">
        <f t="shared" si="93"/>
        <v>#REF!</v>
      </c>
      <c r="J232" s="367" t="e">
        <f t="shared" si="93"/>
        <v>#REF!</v>
      </c>
      <c r="K232" s="367" t="e">
        <f t="shared" si="93"/>
        <v>#REF!</v>
      </c>
      <c r="L232" s="367" t="e">
        <f t="shared" si="93"/>
        <v>#REF!</v>
      </c>
    </row>
    <row r="233" spans="1:20">
      <c r="A233" s="250" t="s">
        <v>874</v>
      </c>
      <c r="B233" s="250" t="s">
        <v>704</v>
      </c>
      <c r="C233" s="250" t="s">
        <v>703</v>
      </c>
      <c r="D233" s="367">
        <f t="shared" ref="D233:L233" si="94">-D222</f>
        <v>-8.0735449002391386E-3</v>
      </c>
      <c r="E233" s="367">
        <f t="shared" si="94"/>
        <v>-1.4822327441589532E-2</v>
      </c>
      <c r="F233" s="367">
        <f t="shared" si="94"/>
        <v>-5.3420740778140748E-2</v>
      </c>
      <c r="G233" s="367">
        <f t="shared" si="94"/>
        <v>-0.25592194618327269</v>
      </c>
      <c r="H233" s="367">
        <f t="shared" si="94"/>
        <v>-0.40493442594678425</v>
      </c>
      <c r="I233" s="367">
        <f t="shared" si="94"/>
        <v>-0.57255465848084375</v>
      </c>
      <c r="J233" s="367">
        <f t="shared" si="94"/>
        <v>-0.69439969193660434</v>
      </c>
      <c r="K233" s="367">
        <f t="shared" si="94"/>
        <v>-0.74091101341778065</v>
      </c>
      <c r="L233" s="367">
        <f t="shared" si="94"/>
        <v>-0.76255963164455631</v>
      </c>
    </row>
    <row r="234" spans="1:20">
      <c r="A234" s="250"/>
      <c r="B234" s="250" t="s">
        <v>705</v>
      </c>
      <c r="C234" s="250" t="s">
        <v>703</v>
      </c>
      <c r="D234" s="368">
        <f>D233*0.99</f>
        <v>-7.9928094512367476E-3</v>
      </c>
      <c r="E234" s="368">
        <f t="shared" ref="E234:L234" si="95">E233*0.99</f>
        <v>-1.4674104167173636E-2</v>
      </c>
      <c r="F234" s="368">
        <f t="shared" si="95"/>
        <v>-5.288653337035934E-2</v>
      </c>
      <c r="G234" s="368">
        <f t="shared" si="95"/>
        <v>-0.25336272672143995</v>
      </c>
      <c r="H234" s="368">
        <f t="shared" si="95"/>
        <v>-0.4008850816873164</v>
      </c>
      <c r="I234" s="368">
        <f t="shared" si="95"/>
        <v>-0.56682911189603535</v>
      </c>
      <c r="J234" s="368">
        <f t="shared" si="95"/>
        <v>-0.68745569501723824</v>
      </c>
      <c r="K234" s="368">
        <f t="shared" si="95"/>
        <v>-0.73350190328360287</v>
      </c>
      <c r="L234" s="368">
        <f t="shared" si="95"/>
        <v>-0.75493403532811076</v>
      </c>
    </row>
    <row r="235" spans="1:20">
      <c r="A235" s="250" t="s">
        <v>875</v>
      </c>
      <c r="B235" s="250" t="s">
        <v>704</v>
      </c>
      <c r="C235" s="250" t="s">
        <v>703</v>
      </c>
      <c r="D235" s="367">
        <f>D233</f>
        <v>-8.0735449002391386E-3</v>
      </c>
      <c r="E235" s="367">
        <f>E233</f>
        <v>-1.4822327441589532E-2</v>
      </c>
      <c r="F235" s="367" t="e">
        <f>(F231+F233)/2</f>
        <v>#REF!</v>
      </c>
      <c r="G235" s="367" t="e">
        <f t="shared" ref="G235:L235" si="96">(G231+G233)/2</f>
        <v>#REF!</v>
      </c>
      <c r="H235" s="367" t="e">
        <f t="shared" si="96"/>
        <v>#REF!</v>
      </c>
      <c r="I235" s="367" t="e">
        <f t="shared" si="96"/>
        <v>#REF!</v>
      </c>
      <c r="J235" s="367" t="e">
        <f t="shared" si="96"/>
        <v>#REF!</v>
      </c>
      <c r="K235" s="367" t="e">
        <f t="shared" si="96"/>
        <v>#REF!</v>
      </c>
      <c r="L235" s="367" t="e">
        <f t="shared" si="96"/>
        <v>#REF!</v>
      </c>
    </row>
    <row r="236" spans="1:20">
      <c r="A236" s="250"/>
      <c r="B236" s="250" t="s">
        <v>705</v>
      </c>
      <c r="C236" s="250" t="s">
        <v>703</v>
      </c>
      <c r="D236" s="367">
        <f>D234</f>
        <v>-7.9928094512367476E-3</v>
      </c>
      <c r="E236" s="367">
        <f>E234</f>
        <v>-1.4674104167173636E-2</v>
      </c>
      <c r="F236" s="367" t="e">
        <f>(F232+F234)/2</f>
        <v>#REF!</v>
      </c>
      <c r="G236" s="367" t="e">
        <f t="shared" ref="G236:L236" si="97">(G232+G234)/2</f>
        <v>#REF!</v>
      </c>
      <c r="H236" s="367" t="e">
        <f t="shared" si="97"/>
        <v>#REF!</v>
      </c>
      <c r="I236" s="367" t="e">
        <f t="shared" si="97"/>
        <v>#REF!</v>
      </c>
      <c r="J236" s="367" t="e">
        <f t="shared" si="97"/>
        <v>#REF!</v>
      </c>
      <c r="K236" s="367" t="e">
        <f t="shared" si="97"/>
        <v>#REF!</v>
      </c>
      <c r="L236" s="367" t="e">
        <f t="shared" si="97"/>
        <v>#REF!</v>
      </c>
    </row>
    <row r="237" spans="1:20">
      <c r="D237" s="5">
        <f>D230</f>
        <v>2012</v>
      </c>
      <c r="E237" s="5">
        <f t="shared" ref="E237:L237" si="98">E230</f>
        <v>2015</v>
      </c>
      <c r="F237" s="5">
        <f t="shared" si="98"/>
        <v>2020</v>
      </c>
      <c r="G237" s="5">
        <f t="shared" si="98"/>
        <v>2025</v>
      </c>
      <c r="H237" s="5">
        <f t="shared" si="98"/>
        <v>2030</v>
      </c>
      <c r="I237" s="5">
        <f t="shared" si="98"/>
        <v>2035</v>
      </c>
      <c r="J237" s="5">
        <f t="shared" si="98"/>
        <v>2040</v>
      </c>
      <c r="K237" s="5">
        <f t="shared" si="98"/>
        <v>2045</v>
      </c>
      <c r="L237" s="5">
        <f t="shared" si="98"/>
        <v>2050</v>
      </c>
    </row>
    <row r="238" spans="1:20" ht="15">
      <c r="A238" s="369" t="s">
        <v>726</v>
      </c>
      <c r="B238" s="169" t="str">
        <f>B231</f>
        <v>RHIEW-UP</v>
      </c>
      <c r="C238" s="169" t="str">
        <f>C231</f>
        <v>S-RHWEG-ALL</v>
      </c>
      <c r="D238" s="169" t="e">
        <f>IF(RES!$G$16=0,D231,IF(OR(RES!$G$16=3,RES!$G$16=1),D233,D235))</f>
        <v>#REF!</v>
      </c>
      <c r="E238" s="169" t="e">
        <f>IF(RES!$G$16=0,E231,IF(OR(RES!$G$16=3,RES!$G$16=1),E233,E235))</f>
        <v>#REF!</v>
      </c>
      <c r="F238" s="169" t="e">
        <f>IF(RES!$G$16=0,F231,IF(OR(RES!$G$16=3,RES!$G$16=1),F233,F235))</f>
        <v>#REF!</v>
      </c>
      <c r="G238" s="169" t="e">
        <f>IF(RES!$G$16=0,G231,IF(OR(RES!$G$16=3,RES!$G$16=1),G233,G235))</f>
        <v>#REF!</v>
      </c>
      <c r="H238" s="169" t="e">
        <f>IF(RES!$G$16=0,H231,IF(OR(RES!$G$16=3,RES!$G$16=1),H233,H235))</f>
        <v>#REF!</v>
      </c>
      <c r="I238" s="169" t="e">
        <f>IF(RES!$G$16=0,I231,IF(OR(RES!$G$16=3,RES!$G$16=1),I233,I235))</f>
        <v>#REF!</v>
      </c>
      <c r="J238" s="169" t="e">
        <f>IF(RES!$G$16=0,J231,IF(OR(RES!$G$16=3,RES!$G$16=1),J233,J235))</f>
        <v>#REF!</v>
      </c>
      <c r="K238" s="169" t="e">
        <f>IF(RES!$G$16=0,K231,IF(OR(RES!$G$16=3,RES!$G$16=1),K233,K235))</f>
        <v>#REF!</v>
      </c>
      <c r="L238" s="169" t="e">
        <f>IF(RES!$G$16=0,L231,IF(OR(RES!$G$16=3,RES!$G$16=1),L233,L235))</f>
        <v>#REF!</v>
      </c>
    </row>
    <row r="239" spans="1:20">
      <c r="A239" s="169"/>
      <c r="B239" s="169" t="str">
        <f>B232</f>
        <v>RHIEW-LO</v>
      </c>
      <c r="C239" s="169" t="str">
        <f>C232</f>
        <v>S-RHWEG-ALL</v>
      </c>
      <c r="D239" s="169" t="e">
        <f>IF(RES!$G$16=0,D232,IF(OR(RES!$G$16=3,RES!$G$16=1),D234,D236))</f>
        <v>#REF!</v>
      </c>
      <c r="E239" s="169" t="e">
        <f>IF(RES!$G$16=0,E232,IF(OR(RES!$G$16=3,RES!$G$16=1),E234,E236))</f>
        <v>#REF!</v>
      </c>
      <c r="F239" s="169" t="e">
        <f>IF(RES!$G$16=0,F232,IF(OR(RES!$G$16=3,RES!$G$16=1),F234,F236))</f>
        <v>#REF!</v>
      </c>
      <c r="G239" s="169" t="e">
        <f>IF(RES!$G$16=0,G232,IF(OR(RES!$G$16=3,RES!$G$16=1),G234,G236))</f>
        <v>#REF!</v>
      </c>
      <c r="H239" s="169" t="e">
        <f>IF(RES!$G$16=0,H232,IF(OR(RES!$G$16=3,RES!$G$16=1),H234,H236))</f>
        <v>#REF!</v>
      </c>
      <c r="I239" s="169" t="e">
        <f>IF(RES!$G$16=0,I232,IF(OR(RES!$G$16=3,RES!$G$16=1),I234,I236))</f>
        <v>#REF!</v>
      </c>
      <c r="J239" s="169" t="e">
        <f>IF(RES!$G$16=0,J232,IF(OR(RES!$G$16=3,RES!$G$16=1),J234,J236))</f>
        <v>#REF!</v>
      </c>
      <c r="K239" s="169" t="e">
        <f>IF(RES!$G$16=0,K232,IF(OR(RES!$G$16=3,RES!$G$16=1),K234,K236))</f>
        <v>#REF!</v>
      </c>
      <c r="L239" s="169" t="e">
        <f>IF(RES!$G$16=0,L232,IF(OR(RES!$G$16=3,RES!$G$16=1),L234,L236))</f>
        <v>#REF!</v>
      </c>
    </row>
    <row r="240" spans="1:20">
      <c r="F240" s="5">
        <v>2012</v>
      </c>
      <c r="G240" s="5">
        <v>2020</v>
      </c>
      <c r="H240" s="5">
        <v>2030</v>
      </c>
      <c r="I240" s="5">
        <v>2040</v>
      </c>
      <c r="J240" s="5">
        <v>2050</v>
      </c>
    </row>
    <row r="241" spans="1:12" ht="15">
      <c r="A241" s="369" t="s">
        <v>735</v>
      </c>
      <c r="B241" s="169" t="str">
        <f>RES!B96</f>
        <v>RMEWELCSWH-E</v>
      </c>
      <c r="C241" s="169" t="s">
        <v>111</v>
      </c>
      <c r="D241" s="169" t="s">
        <v>725</v>
      </c>
      <c r="E241" s="169" t="s">
        <v>729</v>
      </c>
      <c r="F241" s="373" t="e">
        <f>SUMIFS(D$206:D$212,$B$206:$B$212,$E241,$M$206:$M$212,$C241)</f>
        <v>#REF!</v>
      </c>
      <c r="G241" s="373" t="e">
        <f>SUMIFS(F$206:F$212,$B$206:$B$212,$E241,$M$206:$M$212,$C241)</f>
        <v>#REF!</v>
      </c>
      <c r="H241" s="373" t="e">
        <f>SUMIFS(H$206:H$212,$B$206:$B$212,$E241,$M$206:$M$212,$C241)</f>
        <v>#REF!</v>
      </c>
      <c r="I241" s="373" t="e">
        <f>SUMIFS(J$206:J$212,$B$206:$B$212,$E241,$M$206:$M$212,$C241)</f>
        <v>#REF!</v>
      </c>
      <c r="J241" s="373" t="e">
        <f>SUMIFS(L$206:L$212,$B$206:$B$212,$E241,$M$206:$M$212,$C241)</f>
        <v>#REF!</v>
      </c>
    </row>
    <row r="242" spans="1:12" ht="15">
      <c r="A242" s="369" t="s">
        <v>726</v>
      </c>
      <c r="B242" s="169" t="str">
        <f>RES!B96</f>
        <v>RMEWELCSWH-E</v>
      </c>
      <c r="C242" s="169" t="s">
        <v>129</v>
      </c>
      <c r="D242" s="169" t="s">
        <v>725</v>
      </c>
      <c r="E242" s="169" t="str">
        <f>E241</f>
        <v>Low pressure</v>
      </c>
      <c r="F242" s="373" t="e">
        <f>SUMIFS(D$206:D$212,$B$206:$B$212,$E242,$M$206:$M$212,$C242)</f>
        <v>#REF!</v>
      </c>
      <c r="G242" s="373" t="e">
        <f>SUMIFS(F$206:F$212,$B$206:$B$212,$E242,$M$206:$M$212,$C242)</f>
        <v>#REF!</v>
      </c>
      <c r="H242" s="373" t="e">
        <f>SUMIFS(H$206:H$212,$B$206:$B$212,$E242,$M$206:$M$212,$C242)</f>
        <v>#REF!</v>
      </c>
      <c r="I242" s="373" t="e">
        <f>SUMIFS(J$206:J$212,$B$206:$B$212,$E242,$M$206:$M$212,$C242)</f>
        <v>#REF!</v>
      </c>
      <c r="J242" s="373" t="e">
        <f>SUMIFS(L$206:L$212,$B$206:$B$212,$E242,$M$206:$M$212,$C242)</f>
        <v>#REF!</v>
      </c>
    </row>
    <row r="243" spans="1:12">
      <c r="A243" s="169"/>
      <c r="B243" s="169" t="e">
        <f>RES!#REF!</f>
        <v>#REF!</v>
      </c>
      <c r="C243" s="169" t="s">
        <v>111</v>
      </c>
      <c r="D243" s="169" t="s">
        <v>725</v>
      </c>
      <c r="E243" s="169" t="s">
        <v>742</v>
      </c>
      <c r="F243" s="373">
        <f>SUMIFS(D$206:D$212,$B$206:$B$212,$E243,$M$206:$M$212,$C243)</f>
        <v>0</v>
      </c>
      <c r="G243" s="373">
        <f>SUMIFS(F$206:F$212,$B$206:$B$212,$E243,$M$206:$M$212,$C243)</f>
        <v>0</v>
      </c>
      <c r="H243" s="373">
        <f>SUMIFS(H$206:H$212,$B$206:$B$212,$E243,$M$206:$M$212,$C243)</f>
        <v>0</v>
      </c>
      <c r="I243" s="373">
        <f>SUMIFS(J$206:J$212,$B$206:$B$212,$E243,$M$206:$M$212,$C243)</f>
        <v>0</v>
      </c>
      <c r="J243" s="373">
        <f>SUMIFS(L$206:L$212,$B$206:$B$212,$E243,$M$206:$M$212,$C243)</f>
        <v>0</v>
      </c>
    </row>
    <row r="244" spans="1:12">
      <c r="A244" s="169"/>
      <c r="B244" s="169" t="e">
        <f>RES!#REF!</f>
        <v>#REF!</v>
      </c>
      <c r="C244" s="169" t="s">
        <v>129</v>
      </c>
      <c r="D244" s="169" t="s">
        <v>725</v>
      </c>
      <c r="E244" s="169" t="str">
        <f>E243</f>
        <v>High pressusre</v>
      </c>
      <c r="F244" s="373">
        <f>SUMIFS(D$206:D$212,$B$206:$B$212,$E244,$M$206:$M$212,$C244)</f>
        <v>0</v>
      </c>
      <c r="G244" s="373">
        <f>SUMIFS(F$206:F$212,$B$206:$B$212,$E244,$M$206:$M$212,$C244)</f>
        <v>0</v>
      </c>
      <c r="H244" s="373">
        <f>SUMIFS(H$206:H$212,$B$206:$B$212,$E244,$M$206:$M$212,$C244)</f>
        <v>0</v>
      </c>
      <c r="I244" s="373">
        <f>SUMIFS(J$206:J$212,$B$206:$B$212,$E244,$M$206:$M$212,$C244)</f>
        <v>0</v>
      </c>
      <c r="J244" s="373">
        <f>SUMIFS(L$206:L$212,$B$206:$B$212,$E244,$M$206:$M$212,$C244)</f>
        <v>0</v>
      </c>
      <c r="L244" t="s">
        <v>737</v>
      </c>
    </row>
    <row r="245" spans="1:12">
      <c r="A245" s="169" t="s">
        <v>728</v>
      </c>
      <c r="B245" s="169" t="str">
        <f>B241</f>
        <v>RMEWELCSWH-E</v>
      </c>
      <c r="C245" s="169" t="str">
        <f t="shared" ref="C245" si="99">C241</f>
        <v>UP</v>
      </c>
      <c r="D245" s="169" t="s">
        <v>65</v>
      </c>
      <c r="E245" s="169" t="str">
        <f>E241</f>
        <v>Low pressure</v>
      </c>
      <c r="F245" s="373" t="e">
        <f>D224</f>
        <v>#REF!</v>
      </c>
      <c r="G245" s="373" t="e">
        <f>F224</f>
        <v>#REF!</v>
      </c>
      <c r="H245" s="373" t="e">
        <f>H224</f>
        <v>#REF!</v>
      </c>
      <c r="I245" s="373" t="e">
        <f>J224</f>
        <v>#REF!</v>
      </c>
      <c r="J245" s="373" t="e">
        <f>L224</f>
        <v>#REF!</v>
      </c>
    </row>
    <row r="246" spans="1:12">
      <c r="A246" s="169"/>
      <c r="B246" s="169" t="str">
        <f t="shared" ref="B246:C248" si="100">B242</f>
        <v>RMEWELCSWH-E</v>
      </c>
      <c r="C246" s="169" t="str">
        <f t="shared" si="100"/>
        <v>LO</v>
      </c>
      <c r="D246" s="169" t="s">
        <v>65</v>
      </c>
      <c r="E246" s="169" t="str">
        <f>E242</f>
        <v>Low pressure</v>
      </c>
      <c r="F246" s="373" t="e">
        <f>MAX(F245-0.001,0)</f>
        <v>#REF!</v>
      </c>
      <c r="G246" s="373" t="e">
        <f t="shared" ref="G246:J246" si="101">MAX(G245-0.001,0)</f>
        <v>#REF!</v>
      </c>
      <c r="H246" s="373" t="e">
        <f t="shared" si="101"/>
        <v>#REF!</v>
      </c>
      <c r="I246" s="373" t="e">
        <f t="shared" si="101"/>
        <v>#REF!</v>
      </c>
      <c r="J246" s="373" t="e">
        <f t="shared" si="101"/>
        <v>#REF!</v>
      </c>
    </row>
    <row r="247" spans="1:12">
      <c r="A247" s="169"/>
      <c r="B247" s="169" t="e">
        <f t="shared" si="100"/>
        <v>#REF!</v>
      </c>
      <c r="C247" s="169" t="str">
        <f t="shared" si="100"/>
        <v>UP</v>
      </c>
      <c r="D247" s="169" t="s">
        <v>65</v>
      </c>
      <c r="E247" s="169" t="str">
        <f>E243</f>
        <v>High pressusre</v>
      </c>
      <c r="F247" s="373" t="e">
        <f>D223</f>
        <v>#REF!</v>
      </c>
      <c r="G247" s="373" t="e">
        <f>F223</f>
        <v>#REF!</v>
      </c>
      <c r="H247" s="373" t="e">
        <f>H223</f>
        <v>#REF!</v>
      </c>
      <c r="I247" s="373" t="e">
        <f>J223</f>
        <v>#REF!</v>
      </c>
      <c r="J247" s="373" t="e">
        <f>L223</f>
        <v>#REF!</v>
      </c>
    </row>
    <row r="248" spans="1:12">
      <c r="A248" s="169"/>
      <c r="B248" s="169" t="e">
        <f t="shared" si="100"/>
        <v>#REF!</v>
      </c>
      <c r="C248" s="169" t="str">
        <f t="shared" si="100"/>
        <v>LO</v>
      </c>
      <c r="D248" s="169" t="s">
        <v>65</v>
      </c>
      <c r="E248" s="169" t="str">
        <f>E244</f>
        <v>High pressusre</v>
      </c>
      <c r="F248" s="373" t="e">
        <f>MAX(F247-0.001,0)</f>
        <v>#REF!</v>
      </c>
      <c r="G248" s="373" t="e">
        <f t="shared" ref="G248:J248" si="102">MAX(G247-0.001,0)</f>
        <v>#REF!</v>
      </c>
      <c r="H248" s="373" t="e">
        <f t="shared" si="102"/>
        <v>#REF!</v>
      </c>
      <c r="I248" s="373" t="e">
        <f t="shared" si="102"/>
        <v>#REF!</v>
      </c>
      <c r="J248" s="373" t="e">
        <f t="shared" si="102"/>
        <v>#REF!</v>
      </c>
    </row>
    <row r="250" spans="1:12" ht="22.35">
      <c r="A250" s="313" t="s">
        <v>618</v>
      </c>
    </row>
    <row r="251" spans="1:12">
      <c r="A251" s="5" t="s">
        <v>598</v>
      </c>
    </row>
    <row r="252" spans="1:12" ht="50.7">
      <c r="A252" s="304"/>
      <c r="B252" s="304"/>
      <c r="C252" s="309" t="s">
        <v>599</v>
      </c>
      <c r="D252" s="15"/>
      <c r="E252" s="305" t="s">
        <v>611</v>
      </c>
      <c r="F252" s="305" t="s">
        <v>612</v>
      </c>
    </row>
    <row r="253" spans="1:12">
      <c r="A253" s="256" t="s">
        <v>608</v>
      </c>
      <c r="B253" s="256"/>
      <c r="C253" s="308">
        <f>SUM(I131:O131)+SUM(W131:AC131)+SUM(AK131:AQ131)</f>
        <v>2556297.3557393001</v>
      </c>
      <c r="E253" s="256">
        <v>0.25</v>
      </c>
      <c r="F253" s="256">
        <f>E253*C253</f>
        <v>639074.33893482503</v>
      </c>
    </row>
    <row r="254" spans="1:12">
      <c r="A254" s="256" t="s">
        <v>609</v>
      </c>
      <c r="B254" s="256"/>
      <c r="C254" s="308">
        <f>SUM(I132:O132)+SUM(W132:AC132)+SUM(AK132:AQ132)</f>
        <v>317432.98297999997</v>
      </c>
      <c r="E254" s="256">
        <v>0.2</v>
      </c>
      <c r="F254" s="256">
        <f t="shared" ref="F254:F255" si="103">E254*C254</f>
        <v>63486.596595999996</v>
      </c>
    </row>
    <row r="255" spans="1:12">
      <c r="A255" s="256" t="s">
        <v>610</v>
      </c>
      <c r="B255" s="256"/>
      <c r="C255" s="308">
        <f>SUM(I133:O133)+SUM(W133:AC133)+SUM(AK133:AQ133)</f>
        <v>303646.52499999991</v>
      </c>
      <c r="E255" s="256">
        <v>0.5</v>
      </c>
      <c r="F255" s="256">
        <f t="shared" si="103"/>
        <v>151823.26249999995</v>
      </c>
    </row>
    <row r="256" spans="1:12">
      <c r="C256" s="8"/>
    </row>
    <row r="258" spans="1:1">
      <c r="A258" t="s">
        <v>600</v>
      </c>
    </row>
  </sheetData>
  <mergeCells count="10">
    <mergeCell ref="BU11:CH11"/>
    <mergeCell ref="CI11:CV11"/>
    <mergeCell ref="A12:B12"/>
    <mergeCell ref="A88:B88"/>
    <mergeCell ref="A11:B11"/>
    <mergeCell ref="C11:P11"/>
    <mergeCell ref="Q11:AD11"/>
    <mergeCell ref="AE11:AR11"/>
    <mergeCell ref="AS11:BF11"/>
    <mergeCell ref="BG11:BT11"/>
  </mergeCells>
  <conditionalFormatting sqref="P43:R48 B44:D44 F44:H44 J44:L44">
    <cfRule type="dataBar" priority="3">
      <dataBar>
        <cfvo type="min"/>
        <cfvo type="max"/>
        <color rgb="FF638EC6"/>
      </dataBar>
      <extLst>
        <ext xmlns:x14="http://schemas.microsoft.com/office/spreadsheetml/2009/9/main" uri="{B025F937-C7B1-47D3-B67F-A62EFF666E3E}">
          <x14:id>{74D34CF1-9076-5F4D-82A9-93E7B7A9EA4D}</x14:id>
        </ext>
      </extLst>
    </cfRule>
  </conditionalFormatting>
  <conditionalFormatting sqref="D106:D111">
    <cfRule type="dataBar" priority="1">
      <dataBar>
        <cfvo type="min"/>
        <cfvo type="max"/>
        <color rgb="FF638EC6"/>
      </dataBar>
      <extLst>
        <ext xmlns:x14="http://schemas.microsoft.com/office/spreadsheetml/2009/9/main" uri="{B025F937-C7B1-47D3-B67F-A62EFF666E3E}">
          <x14:id>{041C147F-D585-A64B-9954-CB785B3AADF0}</x14:id>
        </ext>
      </extLst>
    </cfRule>
  </conditionalFormatting>
  <conditionalFormatting sqref="C115:L125 C129:AR129">
    <cfRule type="dataBar" priority="537">
      <dataBar>
        <cfvo type="min"/>
        <cfvo type="max"/>
        <color rgb="FF638EC6"/>
      </dataBar>
      <extLst>
        <ext xmlns:x14="http://schemas.microsoft.com/office/spreadsheetml/2009/9/main" uri="{B025F937-C7B1-47D3-B67F-A62EFF666E3E}">
          <x14:id>{E860D7BE-B721-3A44-9866-7E99BCA6735E}</x14:id>
        </ext>
      </extLst>
    </cfRule>
  </conditionalFormatting>
  <pageMargins left="0.75" right="0.75" top="1" bottom="1" header="0.5" footer="0.5"/>
  <pageSetup paperSize="9" orientation="portrait" horizontalDpi="4294967292" verticalDpi="4294967292" r:id="rId1"/>
  <drawing r:id="rId2"/>
  <extLst>
    <ext xmlns:x14="http://schemas.microsoft.com/office/spreadsheetml/2009/9/main" uri="{78C0D931-6437-407d-A8EE-F0AAD7539E65}">
      <x14:conditionalFormattings>
        <x14:conditionalFormatting xmlns:xm="http://schemas.microsoft.com/office/excel/2006/main">
          <x14:cfRule type="dataBar" id="{74D34CF1-9076-5F4D-82A9-93E7B7A9EA4D}">
            <x14:dataBar minLength="0" maxLength="100" border="1" negativeBarBorderColorSameAsPositive="0">
              <x14:cfvo type="autoMin"/>
              <x14:cfvo type="autoMax"/>
              <x14:borderColor rgb="FF638EC6"/>
              <x14:negativeFillColor rgb="FFFF0000"/>
              <x14:negativeBorderColor rgb="FFFF0000"/>
              <x14:axisColor rgb="FF000000"/>
            </x14:dataBar>
          </x14:cfRule>
          <xm:sqref>P43:R48 B44:D44 F44:H44 J44:L44</xm:sqref>
        </x14:conditionalFormatting>
        <x14:conditionalFormatting xmlns:xm="http://schemas.microsoft.com/office/excel/2006/main">
          <x14:cfRule type="dataBar" id="{041C147F-D585-A64B-9954-CB785B3AADF0}">
            <x14:dataBar minLength="0" maxLength="100" gradient="0">
              <x14:cfvo type="autoMin"/>
              <x14:cfvo type="autoMax"/>
              <x14:negativeFillColor rgb="FFFF0000"/>
              <x14:axisColor rgb="FF000000"/>
            </x14:dataBar>
          </x14:cfRule>
          <xm:sqref>D106:D111</xm:sqref>
        </x14:conditionalFormatting>
        <x14:conditionalFormatting xmlns:xm="http://schemas.microsoft.com/office/excel/2006/main">
          <x14:cfRule type="dataBar" id="{E860D7BE-B721-3A44-9866-7E99BCA6735E}">
            <x14:dataBar minLength="0" maxLength="100" gradient="0">
              <x14:cfvo type="autoMin"/>
              <x14:cfvo type="autoMax"/>
              <x14:negativeFillColor rgb="FFFF0000"/>
              <x14:axisColor rgb="FF000000"/>
            </x14:dataBar>
          </x14:cfRule>
          <xm:sqref>C115:L125 C129:AR129</xm:sqref>
        </x14:conditionalFormatting>
      </x14:conditionalFormatting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0">
    <tabColor theme="6" tint="0.79998168889431442"/>
  </sheetPr>
  <dimension ref="A2:P132"/>
  <sheetViews>
    <sheetView workbookViewId="0">
      <selection activeCell="H11" sqref="H11"/>
    </sheetView>
  </sheetViews>
  <sheetFormatPr defaultColWidth="11.46875" defaultRowHeight="12.7" outlineLevelRow="1"/>
  <cols>
    <col min="3" max="3" width="19.46875" customWidth="1"/>
    <col min="8" max="8" width="13" bestFit="1" customWidth="1"/>
  </cols>
  <sheetData>
    <row r="2" spans="1:15" s="9" customFormat="1" ht="14.7" thickBot="1">
      <c r="A2" s="81" t="s">
        <v>274</v>
      </c>
      <c r="B2" s="81" t="s">
        <v>275</v>
      </c>
      <c r="C2" s="76" t="s">
        <v>0</v>
      </c>
      <c r="D2" s="77"/>
      <c r="E2" s="77" t="s">
        <v>23</v>
      </c>
    </row>
    <row r="3" spans="1:15" s="9" customFormat="1" ht="15" thickTop="1" thickBot="1">
      <c r="A3" s="80" t="s">
        <v>242</v>
      </c>
      <c r="B3" s="80" t="s">
        <v>259</v>
      </c>
      <c r="C3" s="80" t="s">
        <v>42</v>
      </c>
      <c r="D3" s="78"/>
      <c r="E3" s="79">
        <f>Fridges!F17</f>
        <v>1.1879983500000002</v>
      </c>
    </row>
    <row r="4" spans="1:15" s="9" customFormat="1" ht="15" thickTop="1" thickBot="1">
      <c r="A4" s="80" t="s">
        <v>242</v>
      </c>
      <c r="B4" s="80" t="s">
        <v>265</v>
      </c>
      <c r="C4" s="80" t="s">
        <v>42</v>
      </c>
      <c r="D4" s="78"/>
      <c r="E4" s="79">
        <f>Fridges!F20</f>
        <v>1.6055999600000002</v>
      </c>
    </row>
    <row r="5" spans="1:15" s="9" customFormat="1" ht="15" thickTop="1" thickBot="1">
      <c r="A5" s="80" t="s">
        <v>242</v>
      </c>
      <c r="B5" s="80" t="s">
        <v>270</v>
      </c>
      <c r="C5" s="80" t="s">
        <v>42</v>
      </c>
      <c r="D5" s="78"/>
      <c r="E5" s="79">
        <f>Fridges!F23</f>
        <v>2.9051999999999998</v>
      </c>
    </row>
    <row r="6" spans="1:15" s="9" customFormat="1" ht="15" thickTop="1" thickBot="1">
      <c r="A6" s="80" t="s">
        <v>242</v>
      </c>
      <c r="B6" s="80" t="s">
        <v>260</v>
      </c>
      <c r="C6" s="80" t="s">
        <v>42</v>
      </c>
      <c r="D6" s="78"/>
      <c r="E6" s="79" t="e">
        <f>[8]Sheet1!G174</f>
        <v>#REF!</v>
      </c>
    </row>
    <row r="7" spans="1:15" s="9" customFormat="1" ht="15" thickTop="1" thickBot="1">
      <c r="A7" s="80" t="s">
        <v>242</v>
      </c>
      <c r="B7" s="80" t="s">
        <v>266</v>
      </c>
      <c r="C7" s="80" t="s">
        <v>42</v>
      </c>
      <c r="D7" s="78"/>
      <c r="E7" s="79" t="e">
        <f>[8]Sheet1!G184</f>
        <v>#REF!</v>
      </c>
    </row>
    <row r="8" spans="1:15" s="9" customFormat="1" ht="15" thickTop="1" thickBot="1">
      <c r="A8" s="80" t="s">
        <v>242</v>
      </c>
      <c r="B8" s="80" t="s">
        <v>271</v>
      </c>
      <c r="C8" s="80" t="s">
        <v>42</v>
      </c>
      <c r="D8" s="78"/>
      <c r="E8" s="79" t="e">
        <f>[8]Sheet1!G198</f>
        <v>#REF!</v>
      </c>
    </row>
    <row r="9" spans="1:15" s="9" customFormat="1" ht="15" thickTop="1" thickBot="1">
      <c r="A9" s="80" t="s">
        <v>244</v>
      </c>
      <c r="B9" s="80" t="s">
        <v>300</v>
      </c>
      <c r="C9" s="80" t="s">
        <v>17</v>
      </c>
      <c r="D9" s="78"/>
      <c r="E9" s="109" t="e">
        <f>[8]Sheet1!D160</f>
        <v>#REF!</v>
      </c>
    </row>
    <row r="10" spans="1:15" s="9" customFormat="1" ht="15" thickTop="1" thickBot="1">
      <c r="A10" s="80" t="s">
        <v>244</v>
      </c>
      <c r="B10" s="80" t="s">
        <v>301</v>
      </c>
      <c r="C10" s="80" t="s">
        <v>17</v>
      </c>
      <c r="D10" s="78"/>
      <c r="E10" s="79" t="e">
        <f>[8]Sheet1!D163</f>
        <v>#REF!</v>
      </c>
    </row>
    <row r="11" spans="1:15" s="9" customFormat="1" ht="15" thickTop="1" thickBot="1">
      <c r="A11" s="80" t="s">
        <v>244</v>
      </c>
      <c r="B11" s="80" t="s">
        <v>302</v>
      </c>
      <c r="C11" s="80" t="s">
        <v>17</v>
      </c>
      <c r="D11" s="78"/>
      <c r="E11" s="79" t="e">
        <f>[8]Sheet1!D164</f>
        <v>#REF!</v>
      </c>
    </row>
    <row r="12" spans="1:15" s="9" customFormat="1" ht="15" thickTop="1" thickBot="1">
      <c r="A12" s="80" t="s">
        <v>244</v>
      </c>
      <c r="B12" s="80" t="s">
        <v>304</v>
      </c>
      <c r="C12" s="80" t="s">
        <v>17</v>
      </c>
      <c r="D12" s="78"/>
      <c r="E12" s="109" t="e">
        <f>E9</f>
        <v>#REF!</v>
      </c>
    </row>
    <row r="13" spans="1:15" s="9" customFormat="1" ht="14.7" thickTop="1">
      <c r="A13" s="80" t="s">
        <v>244</v>
      </c>
      <c r="B13" s="80" t="s">
        <v>303</v>
      </c>
      <c r="C13" s="80" t="s">
        <v>17</v>
      </c>
      <c r="D13" s="78"/>
      <c r="E13" s="79" t="e">
        <f>E10</f>
        <v>#REF!</v>
      </c>
      <c r="F13" s="10"/>
      <c r="G13" s="10"/>
      <c r="H13" s="10"/>
      <c r="I13" s="10"/>
      <c r="J13" s="10"/>
      <c r="K13" s="10"/>
      <c r="L13" s="10"/>
      <c r="M13" s="10"/>
    </row>
    <row r="14" spans="1:15" s="9" customFormat="1" ht="14.35">
      <c r="A14" s="83"/>
      <c r="B14" s="83"/>
      <c r="C14" s="83"/>
      <c r="D14" s="83"/>
      <c r="E14" s="84"/>
      <c r="F14" s="10"/>
      <c r="G14" s="10"/>
      <c r="H14" s="10"/>
      <c r="I14" s="10"/>
      <c r="J14" s="10"/>
      <c r="K14" s="10"/>
      <c r="L14" s="10"/>
      <c r="M14" s="10"/>
    </row>
    <row r="15" spans="1:15">
      <c r="A15" s="5" t="s">
        <v>840</v>
      </c>
      <c r="D15" s="22"/>
      <c r="E15" s="22"/>
      <c r="F15" s="22"/>
      <c r="K15" s="1"/>
      <c r="L15" s="1"/>
    </row>
    <row r="16" spans="1:15" outlineLevel="1">
      <c r="A16" s="22"/>
      <c r="B16" s="75" t="s">
        <v>29</v>
      </c>
      <c r="C16" s="22"/>
      <c r="D16" s="16" t="s">
        <v>66</v>
      </c>
      <c r="E16" s="16" t="s">
        <v>67</v>
      </c>
      <c r="F16" s="16" t="s">
        <v>23</v>
      </c>
      <c r="G16" s="1"/>
      <c r="O16" s="1"/>
    </row>
    <row r="17" spans="1:16" outlineLevel="1">
      <c r="A17" s="16" t="s">
        <v>68</v>
      </c>
      <c r="B17" s="16" t="s">
        <v>69</v>
      </c>
      <c r="C17" s="16" t="s">
        <v>16</v>
      </c>
      <c r="D17" s="110">
        <v>0.56999999999999995</v>
      </c>
      <c r="E17" s="111" t="e">
        <f>D17*[8]Sheet1!B$160</f>
        <v>#REF!</v>
      </c>
      <c r="F17" s="23">
        <f>3254.79*365/10^6</f>
        <v>1.1879983500000002</v>
      </c>
      <c r="G17" s="1">
        <f>F17/3.6*1000</f>
        <v>329.99954166666674</v>
      </c>
      <c r="H17" s="1"/>
    </row>
    <row r="18" spans="1:16" outlineLevel="1">
      <c r="A18" s="18"/>
      <c r="B18" s="16" t="s">
        <v>70</v>
      </c>
      <c r="C18" s="16" t="s">
        <v>16</v>
      </c>
      <c r="D18" s="110">
        <v>0.09</v>
      </c>
      <c r="E18" s="111" t="e">
        <f>D18*[8]Sheet1!B$160</f>
        <v>#REF!</v>
      </c>
      <c r="F18" s="23">
        <f>3945.2055*365/10^6</f>
        <v>1.4400000075000001</v>
      </c>
      <c r="G18" s="1">
        <f>F18/3.6*1000</f>
        <v>400.00000208333336</v>
      </c>
      <c r="H18" s="1"/>
    </row>
    <row r="19" spans="1:16" outlineLevel="1">
      <c r="A19" s="16" t="s">
        <v>71</v>
      </c>
      <c r="B19" s="16" t="s">
        <v>30</v>
      </c>
      <c r="C19" s="16"/>
      <c r="D19" s="18"/>
      <c r="E19" s="111"/>
      <c r="F19" s="23"/>
      <c r="G19" s="1"/>
      <c r="H19" s="1"/>
    </row>
    <row r="20" spans="1:16" outlineLevel="1">
      <c r="A20" s="18"/>
      <c r="B20" s="16" t="s">
        <v>69</v>
      </c>
      <c r="C20" s="16" t="s">
        <v>16</v>
      </c>
      <c r="D20" s="110">
        <v>0.87</v>
      </c>
      <c r="E20" s="111" t="e">
        <f>Fridges!D20*[8]Sheet1!B$162</f>
        <v>#REF!</v>
      </c>
      <c r="F20" s="23">
        <f>4398.904*365/10^6</f>
        <v>1.6055999600000002</v>
      </c>
      <c r="G20" s="1">
        <f>F20/3.6*1000</f>
        <v>445.99998888888894</v>
      </c>
      <c r="H20" s="1"/>
    </row>
    <row r="21" spans="1:16" outlineLevel="1">
      <c r="A21" s="18"/>
      <c r="B21" s="16" t="s">
        <v>70</v>
      </c>
      <c r="C21" s="16" t="s">
        <v>16</v>
      </c>
      <c r="D21" s="110">
        <v>0.22</v>
      </c>
      <c r="E21" s="111" t="e">
        <f>Fridges!D21*[8]Sheet1!B$162</f>
        <v>#REF!</v>
      </c>
      <c r="F21" s="23">
        <f>3945.2055*365/10^6</f>
        <v>1.4400000075000001</v>
      </c>
      <c r="G21" s="1">
        <f>F21/3.6*1000</f>
        <v>400.00000208333336</v>
      </c>
      <c r="H21" s="1"/>
    </row>
    <row r="22" spans="1:16" outlineLevel="1">
      <c r="A22" s="18"/>
      <c r="B22" s="16" t="s">
        <v>31</v>
      </c>
      <c r="C22" s="16"/>
      <c r="D22" s="18"/>
      <c r="E22" s="111"/>
      <c r="F22" s="23"/>
      <c r="G22" s="1"/>
      <c r="H22" s="1"/>
    </row>
    <row r="23" spans="1:16" outlineLevel="1">
      <c r="A23" s="16" t="s">
        <v>72</v>
      </c>
      <c r="B23" s="16" t="s">
        <v>69</v>
      </c>
      <c r="C23" s="16" t="s">
        <v>16</v>
      </c>
      <c r="D23" s="110">
        <v>0.98</v>
      </c>
      <c r="E23" s="111" t="e">
        <f>D23*[8]Sheet1!B$164</f>
        <v>#REF!</v>
      </c>
      <c r="F23" s="23">
        <f>7959.45205479452*365/10^6</f>
        <v>2.9051999999999998</v>
      </c>
      <c r="G23" s="1">
        <f>F23/3.6*1000</f>
        <v>806.99999999999989</v>
      </c>
      <c r="H23" s="1"/>
    </row>
    <row r="24" spans="1:16" outlineLevel="1">
      <c r="A24" s="18"/>
      <c r="B24" s="16" t="s">
        <v>70</v>
      </c>
      <c r="C24" s="16" t="s">
        <v>16</v>
      </c>
      <c r="D24" s="110">
        <v>0.53</v>
      </c>
      <c r="E24" s="111" t="e">
        <f>D24*[8]Sheet1!B$164</f>
        <v>#REF!</v>
      </c>
      <c r="F24" s="23">
        <f>3945.20547945205*365/10^6</f>
        <v>1.4399999999999982</v>
      </c>
      <c r="G24" s="1">
        <f>F24/3.6*1000</f>
        <v>399.99999999999949</v>
      </c>
      <c r="H24" s="1"/>
    </row>
    <row r="25" spans="1:16" outlineLevel="1">
      <c r="A25" s="18"/>
      <c r="B25" s="18"/>
      <c r="C25" s="18"/>
      <c r="P25" s="114"/>
    </row>
    <row r="27" spans="1:16" s="183" customFormat="1" ht="20">
      <c r="A27" s="332" t="s">
        <v>699</v>
      </c>
    </row>
    <row r="29" spans="1:16">
      <c r="F29" t="s">
        <v>687</v>
      </c>
    </row>
    <row r="30" spans="1:16">
      <c r="A30" t="s">
        <v>685</v>
      </c>
      <c r="F30" t="s">
        <v>686</v>
      </c>
    </row>
    <row r="31" spans="1:16">
      <c r="A31" s="329" t="s">
        <v>50</v>
      </c>
      <c r="B31" s="328">
        <v>9886238</v>
      </c>
      <c r="F31" s="329" t="s">
        <v>50</v>
      </c>
      <c r="G31" s="328">
        <v>44170365</v>
      </c>
      <c r="H31" s="330">
        <f>G31/(51800000/'Census 2011_17'!$C$47)</f>
        <v>12321793.578458289</v>
      </c>
    </row>
    <row r="32" spans="1:16">
      <c r="A32" s="329" t="s">
        <v>51</v>
      </c>
      <c r="B32" s="328">
        <v>4563924</v>
      </c>
      <c r="F32" s="329" t="s">
        <v>51</v>
      </c>
      <c r="G32" s="328">
        <v>7896323</v>
      </c>
      <c r="H32" s="330">
        <f>G32/(51800000/'Census 2011_17'!$C$47)</f>
        <v>2202763.3693955778</v>
      </c>
    </row>
    <row r="33" spans="1:8">
      <c r="A33" s="329" t="s">
        <v>27</v>
      </c>
      <c r="B33" s="328">
        <v>14450161</v>
      </c>
      <c r="F33" s="329" t="s">
        <v>292</v>
      </c>
      <c r="G33" s="328">
        <v>3586966</v>
      </c>
      <c r="H33" s="330">
        <f>G33/(51800000/'Census 2011_17'!$C$47)</f>
        <v>1000622.3544892195</v>
      </c>
    </row>
    <row r="34" spans="1:8">
      <c r="A34" s="329"/>
      <c r="B34" s="328"/>
      <c r="F34" s="329" t="s">
        <v>27</v>
      </c>
      <c r="G34" s="328">
        <v>55653654</v>
      </c>
      <c r="H34" s="330">
        <f>G34/(51800000/'Census 2011_17'!$C$47)</f>
        <v>15525179.302343085</v>
      </c>
    </row>
    <row r="35" spans="1:8">
      <c r="A35" s="329"/>
      <c r="B35" s="328"/>
      <c r="F35" s="329"/>
      <c r="G35" s="328"/>
    </row>
    <row r="36" spans="1:8">
      <c r="A36" s="329"/>
      <c r="B36" s="328"/>
      <c r="F36" s="329"/>
      <c r="G36" s="328"/>
    </row>
    <row r="37" spans="1:8">
      <c r="A37" s="329"/>
      <c r="B37" s="328"/>
      <c r="F37" s="329"/>
      <c r="G37" s="328"/>
    </row>
    <row r="38" spans="1:8" s="183" customFormat="1" ht="22.7">
      <c r="A38" s="331" t="s">
        <v>698</v>
      </c>
    </row>
    <row r="40" spans="1:8" ht="19.7">
      <c r="A40" s="286" t="s">
        <v>688</v>
      </c>
      <c r="B40" s="282"/>
      <c r="C40" s="282"/>
    </row>
    <row r="41" spans="1:8" ht="19.7">
      <c r="A41" s="286" t="s">
        <v>689</v>
      </c>
      <c r="B41" s="282"/>
      <c r="C41" s="282"/>
    </row>
    <row r="42" spans="1:8" ht="19.7">
      <c r="A42" s="286" t="s">
        <v>690</v>
      </c>
      <c r="B42" s="282"/>
      <c r="C42" s="282"/>
    </row>
    <row r="43" spans="1:8">
      <c r="A43" s="282"/>
      <c r="B43" s="282"/>
      <c r="C43" s="282"/>
    </row>
    <row r="44" spans="1:8" ht="19.7">
      <c r="A44" s="286" t="s">
        <v>474</v>
      </c>
      <c r="B44" s="282"/>
      <c r="C44" s="282" t="s">
        <v>688</v>
      </c>
    </row>
    <row r="45" spans="1:8">
      <c r="A45" s="282" t="s">
        <v>475</v>
      </c>
      <c r="B45" s="282" t="s">
        <v>691</v>
      </c>
      <c r="C45" s="282"/>
    </row>
    <row r="46" spans="1:8">
      <c r="A46" s="282"/>
      <c r="B46" s="282"/>
      <c r="C46" s="282"/>
    </row>
    <row r="47" spans="1:8">
      <c r="A47" s="652" t="s">
        <v>692</v>
      </c>
      <c r="B47" s="651"/>
      <c r="C47" s="281" t="s">
        <v>691</v>
      </c>
    </row>
    <row r="48" spans="1:8" ht="63.35">
      <c r="A48" s="283" t="s">
        <v>693</v>
      </c>
      <c r="B48" s="283" t="s">
        <v>694</v>
      </c>
      <c r="C48" s="282"/>
    </row>
    <row r="49" spans="1:3">
      <c r="A49" s="655" t="s">
        <v>695</v>
      </c>
      <c r="B49" s="284" t="s">
        <v>695</v>
      </c>
      <c r="C49" s="285">
        <v>10346108.0580603</v>
      </c>
    </row>
    <row r="50" spans="1:3" ht="38">
      <c r="A50" s="651"/>
      <c r="B50" s="284" t="s">
        <v>696</v>
      </c>
      <c r="C50" s="285">
        <v>3346922.7480302001</v>
      </c>
    </row>
    <row r="51" spans="1:3" ht="38">
      <c r="A51" s="651"/>
      <c r="B51" s="284" t="s">
        <v>697</v>
      </c>
      <c r="C51" s="285">
        <v>26403112.9382765</v>
      </c>
    </row>
    <row r="52" spans="1:3">
      <c r="A52" s="651"/>
      <c r="B52" s="284" t="s">
        <v>292</v>
      </c>
      <c r="C52" s="285">
        <v>530920.0628971</v>
      </c>
    </row>
    <row r="53" spans="1:3">
      <c r="A53" s="651"/>
      <c r="B53" s="284" t="s">
        <v>27</v>
      </c>
      <c r="C53" s="285">
        <v>40627063.807263501</v>
      </c>
    </row>
    <row r="54" spans="1:3">
      <c r="A54" s="655" t="s">
        <v>696</v>
      </c>
      <c r="B54" s="284" t="s">
        <v>695</v>
      </c>
      <c r="C54" s="285">
        <v>318793.32804669999</v>
      </c>
    </row>
    <row r="55" spans="1:3" ht="38">
      <c r="A55" s="651"/>
      <c r="B55" s="284" t="s">
        <v>696</v>
      </c>
      <c r="C55" s="285">
        <v>975904.78942289995</v>
      </c>
    </row>
    <row r="56" spans="1:3" ht="38">
      <c r="A56" s="651"/>
      <c r="B56" s="284" t="s">
        <v>697</v>
      </c>
      <c r="C56" s="285">
        <v>836656.96756200003</v>
      </c>
    </row>
    <row r="57" spans="1:3">
      <c r="A57" s="651"/>
      <c r="B57" s="284" t="s">
        <v>292</v>
      </c>
      <c r="C57" s="285">
        <v>11121.95803</v>
      </c>
    </row>
    <row r="58" spans="1:3">
      <c r="A58" s="651"/>
      <c r="B58" s="284" t="s">
        <v>27</v>
      </c>
      <c r="C58" s="285">
        <v>2142477.0430616001</v>
      </c>
    </row>
    <row r="59" spans="1:3">
      <c r="A59" s="655" t="s">
        <v>697</v>
      </c>
      <c r="B59" s="284" t="s">
        <v>695</v>
      </c>
      <c r="C59" s="285">
        <v>3515718.7135239998</v>
      </c>
    </row>
    <row r="60" spans="1:3" ht="38">
      <c r="A60" s="651"/>
      <c r="B60" s="284" t="s">
        <v>696</v>
      </c>
      <c r="C60" s="285">
        <v>128364.63808030001</v>
      </c>
    </row>
    <row r="61" spans="1:3" ht="38">
      <c r="A61" s="651"/>
      <c r="B61" s="284" t="s">
        <v>697</v>
      </c>
      <c r="C61" s="285">
        <v>8042799.6635534</v>
      </c>
    </row>
    <row r="62" spans="1:3">
      <c r="A62" s="651"/>
      <c r="B62" s="284" t="s">
        <v>292</v>
      </c>
      <c r="C62" s="285">
        <v>6784.6686466000001</v>
      </c>
    </row>
    <row r="63" spans="1:3">
      <c r="A63" s="651"/>
      <c r="B63" s="284" t="s">
        <v>27</v>
      </c>
      <c r="C63" s="285">
        <v>11693667.6838043</v>
      </c>
    </row>
    <row r="64" spans="1:3">
      <c r="A64" s="655" t="s">
        <v>292</v>
      </c>
      <c r="B64" s="284" t="s">
        <v>695</v>
      </c>
      <c r="C64" s="285">
        <v>85636.514467800007</v>
      </c>
    </row>
    <row r="65" spans="1:7" ht="38">
      <c r="A65" s="651"/>
      <c r="B65" s="284" t="s">
        <v>696</v>
      </c>
      <c r="C65" s="285">
        <v>7633.0913972999997</v>
      </c>
    </row>
    <row r="66" spans="1:7" ht="38">
      <c r="A66" s="651"/>
      <c r="B66" s="284" t="s">
        <v>697</v>
      </c>
      <c r="C66" s="285">
        <v>26830.0804675</v>
      </c>
    </row>
    <row r="67" spans="1:7">
      <c r="A67" s="651"/>
      <c r="B67" s="284" t="s">
        <v>292</v>
      </c>
      <c r="C67" s="285">
        <v>184119.02966619999</v>
      </c>
    </row>
    <row r="68" spans="1:7">
      <c r="A68" s="651"/>
      <c r="B68" s="284" t="s">
        <v>27</v>
      </c>
      <c r="C68" s="285">
        <v>304218.71599880001</v>
      </c>
    </row>
    <row r="69" spans="1:7">
      <c r="A69" s="329"/>
      <c r="B69" s="328"/>
      <c r="F69" s="329"/>
      <c r="G69" s="328"/>
    </row>
    <row r="70" spans="1:7">
      <c r="A70" s="329"/>
      <c r="B70" s="328"/>
      <c r="F70" s="329"/>
      <c r="G70" s="328"/>
    </row>
    <row r="71" spans="1:7">
      <c r="A71" s="329"/>
      <c r="B71" s="328"/>
      <c r="F71" s="329"/>
      <c r="G71" s="328"/>
    </row>
    <row r="72" spans="1:7">
      <c r="A72" s="329"/>
      <c r="B72" s="328"/>
      <c r="F72" s="329"/>
      <c r="G72" s="328"/>
    </row>
    <row r="73" spans="1:7" s="183" customFormat="1" ht="21" customHeight="1">
      <c r="A73" s="656" t="s">
        <v>700</v>
      </c>
      <c r="B73" s="656"/>
      <c r="C73" s="656"/>
      <c r="D73" s="656"/>
      <c r="E73" s="656"/>
      <c r="F73" s="656"/>
      <c r="G73" s="656"/>
    </row>
    <row r="74" spans="1:7">
      <c r="A74" s="329"/>
      <c r="B74" s="328"/>
      <c r="F74" s="329"/>
      <c r="G74" s="328"/>
    </row>
    <row r="75" spans="1:7">
      <c r="A75" s="329"/>
      <c r="B75" s="328"/>
      <c r="F75" s="329"/>
      <c r="G75" s="328"/>
    </row>
    <row r="77" spans="1:7">
      <c r="A77" s="653" t="s">
        <v>664</v>
      </c>
      <c r="B77" s="653"/>
      <c r="C77" s="653"/>
      <c r="D77" s="323" t="s">
        <v>665</v>
      </c>
    </row>
    <row r="78" spans="1:7" ht="44" customHeight="1">
      <c r="A78" s="653"/>
      <c r="B78" s="653"/>
      <c r="C78" s="653"/>
      <c r="D78" s="323" t="s">
        <v>666</v>
      </c>
    </row>
    <row r="79" spans="1:7" ht="20.7">
      <c r="A79" s="654" t="s">
        <v>667</v>
      </c>
      <c r="B79" s="323" t="s">
        <v>668</v>
      </c>
      <c r="C79" s="324" t="s">
        <v>50</v>
      </c>
      <c r="D79" s="325">
        <v>8552460</v>
      </c>
    </row>
    <row r="80" spans="1:7" ht="31">
      <c r="A80" s="654"/>
      <c r="B80" s="323" t="s">
        <v>669</v>
      </c>
      <c r="C80" s="324" t="s">
        <v>50</v>
      </c>
      <c r="D80" s="325">
        <v>35278358</v>
      </c>
    </row>
    <row r="81" spans="1:12">
      <c r="A81" s="654" t="s">
        <v>665</v>
      </c>
      <c r="B81" s="654"/>
      <c r="C81" s="654"/>
      <c r="D81" s="325">
        <v>39777584</v>
      </c>
    </row>
    <row r="83" spans="1:12">
      <c r="A83" s="141" t="s">
        <v>670</v>
      </c>
    </row>
    <row r="84" spans="1:12">
      <c r="A84" s="326" t="s">
        <v>47</v>
      </c>
    </row>
    <row r="85" spans="1:12">
      <c r="A85" s="326" t="s">
        <v>47</v>
      </c>
    </row>
    <row r="88" spans="1:12">
      <c r="A88" s="653" t="s">
        <v>664</v>
      </c>
      <c r="B88" s="653"/>
      <c r="C88" s="653"/>
      <c r="D88" s="654" t="s">
        <v>671</v>
      </c>
      <c r="E88" s="654"/>
      <c r="F88" s="654"/>
      <c r="G88" s="654"/>
      <c r="H88" s="654"/>
      <c r="I88" s="654"/>
      <c r="J88" s="654"/>
      <c r="K88" s="654"/>
      <c r="L88" s="654" t="s">
        <v>665</v>
      </c>
    </row>
    <row r="89" spans="1:12">
      <c r="A89" s="653"/>
      <c r="B89" s="653"/>
      <c r="C89" s="653"/>
      <c r="D89" s="654" t="s">
        <v>672</v>
      </c>
      <c r="E89" s="654"/>
      <c r="F89" s="654"/>
      <c r="G89" s="654"/>
      <c r="H89" s="654"/>
      <c r="I89" s="654"/>
      <c r="J89" s="654"/>
      <c r="K89" s="654"/>
      <c r="L89" s="654"/>
    </row>
    <row r="90" spans="1:12" ht="33" customHeight="1">
      <c r="A90" s="653"/>
      <c r="B90" s="653"/>
      <c r="C90" s="653"/>
      <c r="D90" s="323" t="s">
        <v>673</v>
      </c>
      <c r="E90" s="323" t="s">
        <v>674</v>
      </c>
      <c r="F90" s="323" t="s">
        <v>675</v>
      </c>
      <c r="G90" s="323" t="s">
        <v>676</v>
      </c>
      <c r="H90" s="323" t="s">
        <v>677</v>
      </c>
      <c r="I90" s="323" t="s">
        <v>678</v>
      </c>
      <c r="J90" s="323" t="s">
        <v>679</v>
      </c>
      <c r="K90" s="323" t="s">
        <v>680</v>
      </c>
      <c r="L90" s="654"/>
    </row>
    <row r="91" spans="1:12" ht="37" customHeight="1">
      <c r="A91" s="653"/>
      <c r="B91" s="653"/>
      <c r="C91" s="653"/>
      <c r="D91" s="323" t="s">
        <v>666</v>
      </c>
      <c r="E91" s="323" t="s">
        <v>666</v>
      </c>
      <c r="F91" s="323" t="s">
        <v>666</v>
      </c>
      <c r="G91" s="323" t="s">
        <v>666</v>
      </c>
      <c r="H91" s="323" t="s">
        <v>666</v>
      </c>
      <c r="I91" s="323" t="s">
        <v>666</v>
      </c>
      <c r="J91" s="323" t="s">
        <v>666</v>
      </c>
      <c r="K91" s="323" t="s">
        <v>666</v>
      </c>
      <c r="L91" s="323" t="s">
        <v>666</v>
      </c>
    </row>
    <row r="92" spans="1:12" ht="20.7">
      <c r="A92" s="654" t="s">
        <v>667</v>
      </c>
      <c r="B92" s="323" t="s">
        <v>668</v>
      </c>
      <c r="C92" s="324" t="s">
        <v>50</v>
      </c>
      <c r="D92" s="327">
        <v>37240</v>
      </c>
      <c r="E92" s="327">
        <v>147268</v>
      </c>
      <c r="F92" s="327">
        <v>223917</v>
      </c>
      <c r="G92" s="327">
        <v>722622</v>
      </c>
      <c r="H92" s="327">
        <v>1029437</v>
      </c>
      <c r="I92" s="327">
        <v>1050461</v>
      </c>
      <c r="J92" s="327">
        <v>1718699</v>
      </c>
      <c r="K92" s="327">
        <v>3622817</v>
      </c>
      <c r="L92" s="325">
        <v>8552460</v>
      </c>
    </row>
    <row r="93" spans="1:12" ht="31">
      <c r="A93" s="654"/>
      <c r="B93" s="323" t="s">
        <v>669</v>
      </c>
      <c r="C93" s="324" t="s">
        <v>50</v>
      </c>
      <c r="D93" s="327">
        <v>449916</v>
      </c>
      <c r="E93" s="327">
        <v>1508549</v>
      </c>
      <c r="F93" s="327">
        <v>2550018</v>
      </c>
      <c r="G93" s="327">
        <v>6943361</v>
      </c>
      <c r="H93" s="327">
        <v>6641290</v>
      </c>
      <c r="I93" s="327">
        <v>4555341</v>
      </c>
      <c r="J93" s="327">
        <v>5498111</v>
      </c>
      <c r="K93" s="327">
        <v>7131771</v>
      </c>
      <c r="L93" s="325">
        <v>35278358</v>
      </c>
    </row>
    <row r="94" spans="1:12">
      <c r="A94" s="654" t="s">
        <v>665</v>
      </c>
      <c r="B94" s="654"/>
      <c r="C94" s="654"/>
      <c r="D94" s="325">
        <v>717324</v>
      </c>
      <c r="E94" s="325">
        <v>2122183</v>
      </c>
      <c r="F94" s="325">
        <v>3302482</v>
      </c>
      <c r="G94" s="325">
        <v>8479119</v>
      </c>
      <c r="H94" s="325">
        <v>7389817</v>
      </c>
      <c r="I94" s="325">
        <v>4793786</v>
      </c>
      <c r="J94" s="325">
        <v>5721839</v>
      </c>
      <c r="K94" s="325">
        <v>7251035</v>
      </c>
      <c r="L94" s="325">
        <v>39777584</v>
      </c>
    </row>
    <row r="95" spans="1:12">
      <c r="E95">
        <f>1300*12</f>
        <v>15600</v>
      </c>
    </row>
    <row r="96" spans="1:12">
      <c r="A96" s="141" t="s">
        <v>670</v>
      </c>
      <c r="D96" s="429"/>
      <c r="F96" s="429"/>
    </row>
    <row r="97" spans="1:12">
      <c r="A97" s="326" t="s">
        <v>47</v>
      </c>
    </row>
    <row r="99" spans="1:12">
      <c r="A99" t="s">
        <v>681</v>
      </c>
    </row>
    <row r="101" spans="1:12">
      <c r="A101" s="653" t="s">
        <v>682</v>
      </c>
      <c r="B101" s="653"/>
      <c r="C101" s="653"/>
      <c r="D101" s="654" t="s">
        <v>671</v>
      </c>
      <c r="E101" s="654"/>
      <c r="F101" s="654"/>
      <c r="G101" s="654"/>
      <c r="H101" s="654"/>
      <c r="I101" s="654"/>
      <c r="J101" s="654"/>
      <c r="K101" s="654"/>
      <c r="L101" s="654" t="s">
        <v>665</v>
      </c>
    </row>
    <row r="102" spans="1:12">
      <c r="A102" s="653"/>
      <c r="B102" s="653"/>
      <c r="C102" s="653"/>
      <c r="D102" s="654" t="s">
        <v>672</v>
      </c>
      <c r="E102" s="654"/>
      <c r="F102" s="654"/>
      <c r="G102" s="654"/>
      <c r="H102" s="654"/>
      <c r="I102" s="654"/>
      <c r="J102" s="654"/>
      <c r="K102" s="654"/>
      <c r="L102" s="654"/>
    </row>
    <row r="103" spans="1:12" ht="20.7">
      <c r="A103" s="653"/>
      <c r="B103" s="653"/>
      <c r="C103" s="653"/>
      <c r="D103" s="323" t="s">
        <v>673</v>
      </c>
      <c r="E103" s="323" t="s">
        <v>674</v>
      </c>
      <c r="F103" s="323" t="s">
        <v>675</v>
      </c>
      <c r="G103" s="323" t="s">
        <v>676</v>
      </c>
      <c r="H103" s="323" t="s">
        <v>677</v>
      </c>
      <c r="I103" s="323" t="s">
        <v>678</v>
      </c>
      <c r="J103" s="323" t="s">
        <v>679</v>
      </c>
      <c r="K103" s="323" t="s">
        <v>680</v>
      </c>
      <c r="L103" s="654"/>
    </row>
    <row r="104" spans="1:12" ht="34" customHeight="1">
      <c r="A104" s="653"/>
      <c r="B104" s="653"/>
      <c r="C104" s="653"/>
      <c r="D104" s="323" t="s">
        <v>683</v>
      </c>
      <c r="E104" s="323" t="s">
        <v>683</v>
      </c>
      <c r="F104" s="323" t="s">
        <v>683</v>
      </c>
      <c r="G104" s="323" t="s">
        <v>683</v>
      </c>
      <c r="H104" s="323" t="s">
        <v>683</v>
      </c>
      <c r="I104" s="323" t="s">
        <v>683</v>
      </c>
      <c r="J104" s="323" t="s">
        <v>683</v>
      </c>
      <c r="K104" s="323" t="s">
        <v>683</v>
      </c>
      <c r="L104" s="323" t="s">
        <v>683</v>
      </c>
    </row>
    <row r="105" spans="1:12" ht="20.7">
      <c r="A105" s="654" t="s">
        <v>667</v>
      </c>
      <c r="B105" s="323" t="s">
        <v>668</v>
      </c>
      <c r="C105" s="324" t="s">
        <v>50</v>
      </c>
      <c r="D105" s="327">
        <v>29784</v>
      </c>
      <c r="E105" s="327">
        <v>119814</v>
      </c>
      <c r="F105" s="327">
        <v>174612</v>
      </c>
      <c r="G105" s="327">
        <v>343089</v>
      </c>
      <c r="H105" s="327">
        <v>409753</v>
      </c>
      <c r="I105" s="327">
        <v>432865</v>
      </c>
      <c r="J105" s="327">
        <v>639753</v>
      </c>
      <c r="K105" s="327">
        <v>960988</v>
      </c>
      <c r="L105" s="325">
        <v>3110657</v>
      </c>
    </row>
    <row r="106" spans="1:12" ht="31">
      <c r="A106" s="654"/>
      <c r="B106" s="323" t="s">
        <v>669</v>
      </c>
      <c r="C106" s="324" t="s">
        <v>50</v>
      </c>
      <c r="D106" s="327">
        <v>369562</v>
      </c>
      <c r="E106" s="327">
        <v>1193435</v>
      </c>
      <c r="F106" s="327">
        <v>1205061</v>
      </c>
      <c r="G106" s="327">
        <v>2205503</v>
      </c>
      <c r="H106" s="327">
        <v>1968756</v>
      </c>
      <c r="I106" s="327">
        <v>1499413</v>
      </c>
      <c r="J106" s="327">
        <v>1584164</v>
      </c>
      <c r="K106" s="327">
        <v>1616276</v>
      </c>
      <c r="L106" s="325">
        <v>11642170</v>
      </c>
    </row>
    <row r="107" spans="1:12">
      <c r="A107" s="654" t="s">
        <v>665</v>
      </c>
      <c r="B107" s="654"/>
      <c r="C107" s="654"/>
      <c r="D107" s="325">
        <v>782499</v>
      </c>
      <c r="E107" s="325">
        <v>1930279</v>
      </c>
      <c r="F107" s="325">
        <v>1754582</v>
      </c>
      <c r="G107" s="325">
        <v>2719903</v>
      </c>
      <c r="H107" s="325">
        <v>2106324</v>
      </c>
      <c r="I107" s="325">
        <v>1544792</v>
      </c>
      <c r="J107" s="325">
        <v>1607226</v>
      </c>
      <c r="K107" s="325">
        <v>1628646</v>
      </c>
      <c r="L107" s="325">
        <v>14074251</v>
      </c>
    </row>
    <row r="109" spans="1:12">
      <c r="A109" s="141" t="s">
        <v>670</v>
      </c>
    </row>
    <row r="110" spans="1:12">
      <c r="A110" s="326" t="s">
        <v>47</v>
      </c>
    </row>
    <row r="113" spans="1:12">
      <c r="A113" t="s">
        <v>684</v>
      </c>
    </row>
    <row r="114" spans="1:12">
      <c r="D114">
        <v>799</v>
      </c>
      <c r="E114">
        <v>1399</v>
      </c>
      <c r="F114">
        <v>2499</v>
      </c>
      <c r="G114">
        <v>4999</v>
      </c>
      <c r="H114">
        <v>7999</v>
      </c>
      <c r="I114">
        <v>19999</v>
      </c>
    </row>
    <row r="115" spans="1:12">
      <c r="D115" t="e">
        <f>D114*#REF!</f>
        <v>#REF!</v>
      </c>
      <c r="E115" t="e">
        <f>E114*#REF!</f>
        <v>#REF!</v>
      </c>
      <c r="F115" t="e">
        <f>F114*#REF!</f>
        <v>#REF!</v>
      </c>
      <c r="G115" t="e">
        <f>G114*#REF!</f>
        <v>#REF!</v>
      </c>
      <c r="H115" t="e">
        <f>H114*#REF!</f>
        <v>#REF!</v>
      </c>
      <c r="I115" t="e">
        <f>I114*#REF!</f>
        <v>#REF!</v>
      </c>
    </row>
    <row r="119" spans="1:12" s="183" customFormat="1" ht="21" customHeight="1">
      <c r="A119" s="656" t="s">
        <v>749</v>
      </c>
      <c r="B119" s="656"/>
      <c r="C119" s="656"/>
      <c r="D119" s="656"/>
      <c r="E119" s="656"/>
      <c r="F119" s="656"/>
      <c r="G119" s="656"/>
    </row>
    <row r="120" spans="1:12">
      <c r="A120" t="s">
        <v>743</v>
      </c>
    </row>
    <row r="121" spans="1:12">
      <c r="A121" t="s">
        <v>744</v>
      </c>
    </row>
    <row r="123" spans="1:12">
      <c r="A123" t="s">
        <v>745</v>
      </c>
      <c r="C123" t="s">
        <v>746</v>
      </c>
    </row>
    <row r="125" spans="1:12">
      <c r="A125" t="s">
        <v>747</v>
      </c>
    </row>
    <row r="127" spans="1:12">
      <c r="A127" t="s">
        <v>748</v>
      </c>
    </row>
    <row r="128" spans="1:12">
      <c r="B128">
        <v>2003</v>
      </c>
      <c r="C128">
        <v>2004</v>
      </c>
      <c r="D128">
        <v>2005</v>
      </c>
      <c r="E128" s="376">
        <v>2006</v>
      </c>
      <c r="F128">
        <v>2007</v>
      </c>
      <c r="G128">
        <v>2008</v>
      </c>
      <c r="H128">
        <v>2009</v>
      </c>
      <c r="I128" s="376">
        <v>2010</v>
      </c>
      <c r="J128">
        <v>2011</v>
      </c>
      <c r="K128">
        <v>2012</v>
      </c>
      <c r="L128" s="376">
        <v>2013</v>
      </c>
    </row>
    <row r="129" spans="1:12">
      <c r="A129">
        <v>5</v>
      </c>
      <c r="B129">
        <v>100</v>
      </c>
      <c r="C129">
        <f>IF(B129-$B129/$A129&gt;0,B129-$B129/$A129,0)</f>
        <v>80</v>
      </c>
      <c r="D129">
        <f t="shared" ref="D129:L130" si="0">IF(C129-$B129/$A129&gt;0,C129-$B129/$A129,0)</f>
        <v>60</v>
      </c>
      <c r="E129">
        <f t="shared" si="0"/>
        <v>40</v>
      </c>
      <c r="F129">
        <f t="shared" si="0"/>
        <v>20</v>
      </c>
      <c r="G129">
        <f t="shared" si="0"/>
        <v>0</v>
      </c>
      <c r="H129">
        <f t="shared" si="0"/>
        <v>0</v>
      </c>
      <c r="I129">
        <f t="shared" si="0"/>
        <v>0</v>
      </c>
      <c r="J129">
        <f t="shared" si="0"/>
        <v>0</v>
      </c>
      <c r="K129">
        <f t="shared" si="0"/>
        <v>0</v>
      </c>
      <c r="L129">
        <f t="shared" si="0"/>
        <v>0</v>
      </c>
    </row>
    <row r="130" spans="1:12">
      <c r="A130">
        <v>9</v>
      </c>
      <c r="B130">
        <v>100</v>
      </c>
      <c r="C130">
        <f>IF(B130-$B130/$A130&gt;0,B130-$B130/$A130,0)</f>
        <v>88.888888888888886</v>
      </c>
      <c r="D130">
        <f t="shared" si="0"/>
        <v>77.777777777777771</v>
      </c>
      <c r="E130">
        <f t="shared" si="0"/>
        <v>66.666666666666657</v>
      </c>
      <c r="F130">
        <f t="shared" si="0"/>
        <v>55.555555555555543</v>
      </c>
      <c r="G130">
        <f t="shared" si="0"/>
        <v>44.444444444444429</v>
      </c>
      <c r="H130">
        <f t="shared" si="0"/>
        <v>33.333333333333314</v>
      </c>
      <c r="I130">
        <f t="shared" si="0"/>
        <v>22.222222222222204</v>
      </c>
      <c r="J130">
        <f t="shared" si="0"/>
        <v>11.111111111111093</v>
      </c>
      <c r="K130">
        <f t="shared" si="0"/>
        <v>0</v>
      </c>
      <c r="L130">
        <f t="shared" si="0"/>
        <v>0</v>
      </c>
    </row>
    <row r="131" spans="1:12">
      <c r="A131">
        <v>10</v>
      </c>
      <c r="B131">
        <v>100</v>
      </c>
      <c r="C131">
        <f t="shared" ref="C131:L132" si="1">IF(B131-$B131/$A131&gt;0,B131-$B131/$A131,0)</f>
        <v>90</v>
      </c>
      <c r="D131">
        <f t="shared" si="1"/>
        <v>80</v>
      </c>
      <c r="E131">
        <f t="shared" si="1"/>
        <v>70</v>
      </c>
      <c r="F131">
        <f t="shared" si="1"/>
        <v>60</v>
      </c>
      <c r="G131">
        <f t="shared" si="1"/>
        <v>50</v>
      </c>
      <c r="H131">
        <f t="shared" si="1"/>
        <v>40</v>
      </c>
      <c r="I131">
        <f t="shared" si="1"/>
        <v>30</v>
      </c>
      <c r="J131">
        <f t="shared" si="1"/>
        <v>20</v>
      </c>
      <c r="K131">
        <f t="shared" si="1"/>
        <v>10</v>
      </c>
      <c r="L131">
        <f t="shared" si="1"/>
        <v>0</v>
      </c>
    </row>
    <row r="132" spans="1:12">
      <c r="A132">
        <v>15</v>
      </c>
      <c r="B132">
        <v>100</v>
      </c>
      <c r="C132">
        <f t="shared" si="1"/>
        <v>93.333333333333329</v>
      </c>
      <c r="D132">
        <f t="shared" si="1"/>
        <v>86.666666666666657</v>
      </c>
      <c r="E132">
        <f t="shared" si="1"/>
        <v>79.999999999999986</v>
      </c>
      <c r="F132">
        <f t="shared" si="1"/>
        <v>73.333333333333314</v>
      </c>
      <c r="G132">
        <f t="shared" si="1"/>
        <v>66.666666666666643</v>
      </c>
      <c r="H132">
        <f t="shared" si="1"/>
        <v>59.999999999999979</v>
      </c>
      <c r="I132">
        <f t="shared" si="1"/>
        <v>53.333333333333314</v>
      </c>
      <c r="J132">
        <f t="shared" si="1"/>
        <v>46.66666666666665</v>
      </c>
      <c r="K132">
        <f t="shared" si="1"/>
        <v>39.999999999999986</v>
      </c>
      <c r="L132">
        <f t="shared" si="1"/>
        <v>33.333333333333321</v>
      </c>
    </row>
  </sheetData>
  <mergeCells count="22">
    <mergeCell ref="A119:G119"/>
    <mergeCell ref="L101:L103"/>
    <mergeCell ref="D102:K102"/>
    <mergeCell ref="A88:C91"/>
    <mergeCell ref="D88:K88"/>
    <mergeCell ref="L88:L90"/>
    <mergeCell ref="D89:K89"/>
    <mergeCell ref="A105:A106"/>
    <mergeCell ref="A107:C107"/>
    <mergeCell ref="A92:A93"/>
    <mergeCell ref="A94:C94"/>
    <mergeCell ref="A101:C104"/>
    <mergeCell ref="D101:K101"/>
    <mergeCell ref="A77:C78"/>
    <mergeCell ref="A79:A80"/>
    <mergeCell ref="A81:C81"/>
    <mergeCell ref="A47:B47"/>
    <mergeCell ref="A49:A53"/>
    <mergeCell ref="A54:A58"/>
    <mergeCell ref="A59:A63"/>
    <mergeCell ref="A73:G73"/>
    <mergeCell ref="A64:A68"/>
  </mergeCells>
  <hyperlinks>
    <hyperlink ref="A88" r:id="rId1" xr:uid="{00000000-0004-0000-0F00-000000000000}"/>
    <hyperlink ref="A77" r:id="rId2" xr:uid="{00000000-0004-0000-0F00-000001000000}"/>
    <hyperlink ref="A101" r:id="rId3" xr:uid="{00000000-0004-0000-0F00-000002000000}"/>
  </hyperlinks>
  <pageMargins left="0.75" right="0.75" top="1" bottom="1" header="0.5" footer="0.5"/>
  <pageSetup paperSize="9" orientation="portrait" horizontalDpi="4294967292" verticalDpi="4294967292" r:id="rId4"/>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8AEB-66FB-4589-98C3-49667D7E2BA1}">
  <sheetPr codeName="Sheet47"/>
  <dimension ref="A1:DG55"/>
  <sheetViews>
    <sheetView topLeftCell="B18" zoomScale="110" zoomScaleNormal="110" workbookViewId="0">
      <selection activeCell="N25" sqref="N25"/>
    </sheetView>
  </sheetViews>
  <sheetFormatPr defaultColWidth="8.8203125" defaultRowHeight="12.7" outlineLevelRow="1"/>
  <cols>
    <col min="2" max="2" width="15.46875" customWidth="1"/>
    <col min="3" max="3" width="24.46875" bestFit="1" customWidth="1"/>
    <col min="4" max="4" width="12.8203125" customWidth="1"/>
  </cols>
  <sheetData>
    <row r="1" spans="1:52" ht="14.35">
      <c r="A1" s="11" t="s">
        <v>11</v>
      </c>
      <c r="B1" s="142" t="s">
        <v>881</v>
      </c>
      <c r="C1" s="9"/>
      <c r="D1" s="9"/>
      <c r="E1" s="9"/>
    </row>
    <row r="2" spans="1:52">
      <c r="H2" t="s">
        <v>806</v>
      </c>
      <c r="I2" s="14"/>
    </row>
    <row r="3" spans="1:52" ht="12.75" customHeight="1">
      <c r="H3" s="1" t="s">
        <v>807</v>
      </c>
      <c r="I3" s="1" t="s">
        <v>807</v>
      </c>
      <c r="J3" s="1" t="s">
        <v>807</v>
      </c>
      <c r="L3" s="1" t="s">
        <v>321</v>
      </c>
      <c r="P3" s="71"/>
    </row>
    <row r="6" spans="1:52" outlineLevel="1">
      <c r="A6" s="21" t="e">
        <f>IF(COUNTIF(#REF!,D6)=1,"y","")</f>
        <v>#REF!</v>
      </c>
      <c r="B6" s="157" t="s">
        <v>109</v>
      </c>
      <c r="C6" s="158"/>
      <c r="D6" s="33" t="str">
        <f>IF(I6="","",G6&amp;INDEX(#REF!,MATCH(I6,#REF!,0),0)&amp;RIGHT(J6,3)&amp;(E6)&amp;"-"&amp;LEFT(H6,1))</f>
        <v/>
      </c>
      <c r="E6" s="21"/>
      <c r="F6" s="21"/>
      <c r="G6" s="657">
        <v>2017</v>
      </c>
      <c r="H6" s="657"/>
      <c r="I6" s="657"/>
      <c r="J6" s="33" t="str">
        <f>IF(F6="","",INDEX(#REF!,MATCH(F6,#REF!,0),0))</f>
        <v/>
      </c>
      <c r="K6" s="33" t="str">
        <f>IF(I6=""," ",G6&amp;INDEX(#REF!,MATCH(I6,#REF!,0),0))</f>
        <v xml:space="preserve"> </v>
      </c>
      <c r="L6" s="133"/>
      <c r="M6" s="658">
        <v>2012</v>
      </c>
      <c r="N6" s="659"/>
      <c r="O6" s="660"/>
      <c r="P6" s="149"/>
      <c r="Q6" s="149"/>
      <c r="R6" s="149"/>
      <c r="S6" s="49"/>
      <c r="W6" s="150">
        <f>N6*S6</f>
        <v>0</v>
      </c>
      <c r="X6" s="151">
        <f>W6*8760*0.0036</f>
        <v>0</v>
      </c>
      <c r="Y6" s="152">
        <f>X6*(L6*365/8760)</f>
        <v>0</v>
      </c>
      <c r="Z6" s="33">
        <f>SUMIF(AFA!$B$3:$AJ$3,K6,AFA!$B$4:$AJ$4)</f>
        <v>0</v>
      </c>
      <c r="AA6" s="33"/>
      <c r="AB6" s="49" t="str">
        <f>IFERROR(AF6/Z6*(1+RES!$D$31),"")</f>
        <v/>
      </c>
      <c r="AC6" s="153" t="e">
        <f>AW6*((L6*365)/8760)*S6/#REF!*(SUMIF(Energy_Balance!$D$55:$D$160,K6,Energy_Balance!#REF!))/10^6</f>
        <v>#REF!</v>
      </c>
      <c r="AD6" s="148" t="e">
        <f>IF(RES!$G$21=2006,(SUMIFS(Energy_Balance!#REF!,Energy_Balance!$C$55:$C$160,J6,Energy_Balance!$D$55:$D$160,K6)), SUMIFS(Energy_Balance!#REF!,Energy_Balance!$C$55:$C$160,J6,Energy_Balance!$D$55:$D$160,K6))*AW6</f>
        <v>#REF!</v>
      </c>
      <c r="AE6" s="148"/>
      <c r="AF6" s="49" t="str">
        <f>IFERROR(AD6*N6," ")</f>
        <v xml:space="preserve"> </v>
      </c>
      <c r="AG6" s="154" t="str">
        <f>IF(AO6&lt;&gt;0,AO6,IFERROR(AP6/$X6," "))</f>
        <v xml:space="preserve"> </v>
      </c>
      <c r="AH6" s="154" t="str">
        <f>IFERROR(AQ6/$X6," ")</f>
        <v xml:space="preserve"> </v>
      </c>
      <c r="AI6" s="154"/>
      <c r="AJ6" s="154"/>
      <c r="AK6" s="21"/>
      <c r="AL6" s="21"/>
      <c r="AM6" s="155"/>
      <c r="AN6" s="155"/>
      <c r="AO6" s="21"/>
      <c r="AP6" s="134"/>
      <c r="AQ6" s="134">
        <f>IF(AM6=0,AO6,AM6*INDEX(#REF!,MATCH(#REF!,#REF!,0))/INDEX(#REF!,MATCH($AR6,#REF!,0)))</f>
        <v>0</v>
      </c>
      <c r="AR6" s="33"/>
      <c r="AS6" s="147"/>
      <c r="AT6" s="21"/>
      <c r="AU6" s="21"/>
      <c r="AV6" s="21"/>
      <c r="AW6" s="21"/>
      <c r="AX6" s="156"/>
      <c r="AY6" s="156"/>
    </row>
    <row r="7" spans="1:52" outlineLevel="1">
      <c r="A7" s="21"/>
      <c r="B7" s="157"/>
      <c r="C7" s="120" t="s">
        <v>93</v>
      </c>
      <c r="D7" s="120" t="s">
        <v>95</v>
      </c>
      <c r="E7" s="120" t="s">
        <v>808</v>
      </c>
      <c r="F7" s="120" t="s">
        <v>808</v>
      </c>
      <c r="G7" s="21" t="s">
        <v>255</v>
      </c>
      <c r="H7" s="21" t="s">
        <v>261</v>
      </c>
      <c r="I7" s="21" t="s">
        <v>267</v>
      </c>
      <c r="J7" s="21" t="s">
        <v>272</v>
      </c>
      <c r="K7" s="21" t="s">
        <v>284</v>
      </c>
      <c r="L7" s="1" t="s">
        <v>322</v>
      </c>
      <c r="M7" s="21" t="s">
        <v>255</v>
      </c>
      <c r="N7" s="21" t="s">
        <v>261</v>
      </c>
      <c r="O7" s="21" t="s">
        <v>267</v>
      </c>
      <c r="P7" s="149"/>
      <c r="Q7" s="149"/>
      <c r="R7" s="149"/>
      <c r="S7" s="149"/>
      <c r="T7" s="49"/>
      <c r="W7">
        <v>2030</v>
      </c>
      <c r="X7" s="150"/>
      <c r="Y7" s="151"/>
      <c r="Z7" s="152"/>
      <c r="AA7" s="33"/>
      <c r="AB7" s="33"/>
      <c r="AC7" s="49"/>
      <c r="AD7" s="153"/>
      <c r="AE7" s="153"/>
      <c r="AF7" s="148"/>
      <c r="AG7" s="49"/>
      <c r="AH7" s="154"/>
      <c r="AI7" s="154"/>
      <c r="AJ7" s="154"/>
      <c r="AK7" s="154"/>
      <c r="AL7" s="21"/>
      <c r="AM7" s="21"/>
      <c r="AN7" s="21"/>
      <c r="AO7" s="155"/>
      <c r="AP7" s="21"/>
      <c r="AQ7" s="134"/>
      <c r="AR7" s="134"/>
      <c r="AS7" s="33"/>
      <c r="AT7" s="147"/>
      <c r="AU7" s="21"/>
      <c r="AV7" s="21"/>
      <c r="AW7" s="21"/>
      <c r="AX7" s="21"/>
      <c r="AY7" s="156"/>
      <c r="AZ7" s="156"/>
    </row>
    <row r="8" spans="1:52" outlineLevel="1">
      <c r="A8" s="21"/>
      <c r="B8" s="395" t="s">
        <v>177</v>
      </c>
      <c r="C8" s="388">
        <v>1</v>
      </c>
      <c r="D8" s="389">
        <v>1</v>
      </c>
      <c r="E8" s="389">
        <v>56.332999999999998</v>
      </c>
      <c r="F8" s="389">
        <v>0</v>
      </c>
      <c r="G8" s="388">
        <v>0.19964000000000001</v>
      </c>
      <c r="H8" s="388">
        <f>G8</f>
        <v>0.19964000000000001</v>
      </c>
      <c r="I8" s="388">
        <f>H8</f>
        <v>0.19964000000000001</v>
      </c>
      <c r="J8" s="389"/>
      <c r="K8" s="389"/>
      <c r="L8" s="389"/>
      <c r="M8">
        <v>0.8</v>
      </c>
      <c r="N8">
        <v>0.8</v>
      </c>
      <c r="O8">
        <v>0.8</v>
      </c>
      <c r="P8" s="149"/>
      <c r="Q8" s="133" t="s">
        <v>809</v>
      </c>
      <c r="R8" s="149"/>
      <c r="S8" s="149"/>
      <c r="T8" s="49"/>
      <c r="X8" s="150"/>
      <c r="Y8" s="151"/>
      <c r="Z8" s="152"/>
      <c r="AA8" s="33"/>
      <c r="AB8" s="33"/>
      <c r="AC8" s="49"/>
      <c r="AD8" s="153"/>
      <c r="AE8" s="153"/>
      <c r="AF8" s="148"/>
      <c r="AG8" s="49"/>
      <c r="AH8" s="154"/>
      <c r="AI8" s="154"/>
      <c r="AJ8" s="154"/>
      <c r="AK8" s="154"/>
      <c r="AL8" s="21"/>
      <c r="AM8" s="21"/>
      <c r="AN8" s="21"/>
      <c r="AO8" s="155"/>
      <c r="AP8" s="21"/>
      <c r="AQ8" s="134"/>
      <c r="AR8" s="134"/>
      <c r="AS8" s="33"/>
      <c r="AT8" s="147"/>
      <c r="AU8" s="21"/>
      <c r="AV8" s="21"/>
      <c r="AW8" s="21"/>
      <c r="AX8" s="21"/>
      <c r="AY8" s="156"/>
      <c r="AZ8" s="156"/>
    </row>
    <row r="9" spans="1:52" outlineLevel="1">
      <c r="A9" s="21"/>
      <c r="B9" s="395" t="s">
        <v>56</v>
      </c>
      <c r="C9" s="388">
        <f>E8/E9</f>
        <v>3.7555333333333332</v>
      </c>
      <c r="D9" s="389">
        <v>4.9000000000000004</v>
      </c>
      <c r="E9" s="389">
        <v>15</v>
      </c>
      <c r="F9" s="389">
        <v>0</v>
      </c>
      <c r="G9" s="388">
        <v>0.76131000000000004</v>
      </c>
      <c r="H9" s="388">
        <f t="shared" ref="H9:I9" si="0">(67-76.1)/100*2/5+76.1/100</f>
        <v>0.72459999999999991</v>
      </c>
      <c r="I9" s="388">
        <f t="shared" si="0"/>
        <v>0.72459999999999991</v>
      </c>
      <c r="J9" s="389"/>
      <c r="K9" s="389"/>
      <c r="L9" s="389"/>
      <c r="M9">
        <v>0.2</v>
      </c>
      <c r="N9">
        <v>0.2</v>
      </c>
      <c r="O9">
        <v>0.2</v>
      </c>
      <c r="P9" s="149"/>
      <c r="Q9" s="133" t="s">
        <v>810</v>
      </c>
      <c r="R9" s="149"/>
      <c r="S9" s="149"/>
      <c r="T9" s="49"/>
      <c r="X9" s="150"/>
      <c r="Y9" s="151"/>
      <c r="Z9" s="152"/>
      <c r="AA9" s="33"/>
      <c r="AB9" s="33"/>
      <c r="AC9" s="49"/>
      <c r="AD9" s="153"/>
      <c r="AE9" s="153"/>
      <c r="AF9" s="148"/>
      <c r="AG9" s="49"/>
      <c r="AH9" s="154"/>
      <c r="AI9" s="154"/>
      <c r="AJ9" s="154"/>
      <c r="AK9" s="154"/>
      <c r="AL9" s="21"/>
      <c r="AM9" s="21"/>
      <c r="AN9" s="21"/>
      <c r="AO9" s="155"/>
      <c r="AP9" s="21"/>
      <c r="AQ9" s="134"/>
      <c r="AR9" s="134"/>
      <c r="AS9" s="33"/>
      <c r="AT9" s="147"/>
      <c r="AU9" s="21"/>
      <c r="AV9" s="21"/>
      <c r="AW9" s="21"/>
      <c r="AX9" s="21"/>
      <c r="AY9" s="156"/>
      <c r="AZ9" s="156"/>
    </row>
    <row r="10" spans="1:52">
      <c r="B10" s="395" t="s">
        <v>113</v>
      </c>
      <c r="C10" s="388">
        <f>E8/E10</f>
        <v>5.3019294117647053</v>
      </c>
      <c r="D10" s="389">
        <v>9.6</v>
      </c>
      <c r="E10" s="389">
        <v>10.625</v>
      </c>
      <c r="F10" s="389"/>
      <c r="G10" s="388">
        <f>1-G8-G9</f>
        <v>3.9049999999999918E-2</v>
      </c>
      <c r="H10" s="388">
        <f t="shared" ref="H10:I10" si="1">1-H8-H9</f>
        <v>7.576000000000005E-2</v>
      </c>
      <c r="I10" s="388">
        <f t="shared" si="1"/>
        <v>7.576000000000005E-2</v>
      </c>
      <c r="J10" s="389"/>
      <c r="K10" s="389"/>
      <c r="L10" s="389"/>
    </row>
    <row r="11" spans="1:52">
      <c r="B11" s="395" t="s">
        <v>41</v>
      </c>
      <c r="C11" s="390" t="s">
        <v>805</v>
      </c>
      <c r="D11" s="390"/>
      <c r="E11" s="390"/>
      <c r="F11" s="389"/>
      <c r="G11" s="389"/>
      <c r="H11" s="389"/>
      <c r="I11" s="389"/>
      <c r="J11" s="389"/>
      <c r="K11" s="389"/>
      <c r="L11" s="389"/>
    </row>
    <row r="12" spans="1:52">
      <c r="B12" s="395" t="s">
        <v>244</v>
      </c>
      <c r="C12" s="390"/>
      <c r="D12" s="390"/>
      <c r="E12" s="390">
        <v>5.5</v>
      </c>
      <c r="F12" s="389"/>
      <c r="G12" s="389"/>
      <c r="H12" s="389"/>
      <c r="I12" s="389"/>
      <c r="J12" s="389">
        <v>1</v>
      </c>
      <c r="K12" s="389">
        <v>1</v>
      </c>
      <c r="L12" s="389"/>
    </row>
    <row r="13" spans="1:52">
      <c r="B13" s="666" t="s">
        <v>226</v>
      </c>
      <c r="C13" s="667"/>
      <c r="D13" s="391"/>
      <c r="E13" s="391"/>
      <c r="F13" s="391"/>
      <c r="G13" s="392">
        <v>6</v>
      </c>
      <c r="H13" s="392">
        <v>6</v>
      </c>
      <c r="I13" s="392">
        <v>6</v>
      </c>
      <c r="J13" s="392"/>
      <c r="K13" s="392"/>
      <c r="L13">
        <v>0</v>
      </c>
      <c r="M13" s="454">
        <v>2.8</v>
      </c>
    </row>
    <row r="14" spans="1:52">
      <c r="B14" s="666" t="s">
        <v>247</v>
      </c>
      <c r="C14" s="667"/>
      <c r="D14" s="391"/>
      <c r="E14" s="391"/>
      <c r="F14" s="391"/>
      <c r="G14" s="392">
        <v>1</v>
      </c>
      <c r="H14" s="392">
        <v>1</v>
      </c>
      <c r="I14" s="392">
        <v>1</v>
      </c>
      <c r="J14" s="392">
        <v>3</v>
      </c>
      <c r="K14" s="392">
        <v>4</v>
      </c>
      <c r="L14" s="392"/>
      <c r="M14" s="455">
        <v>3</v>
      </c>
    </row>
    <row r="15" spans="1:52" ht="13.5" customHeight="1">
      <c r="B15" s="662" t="s">
        <v>282</v>
      </c>
      <c r="C15" s="663"/>
      <c r="D15" s="391"/>
      <c r="E15" s="391"/>
      <c r="F15" s="391"/>
      <c r="G15" s="392">
        <v>4.5339999999999998</v>
      </c>
      <c r="H15" s="392">
        <v>5.6760000000000002</v>
      </c>
      <c r="I15" s="392">
        <v>8.6690000000000005</v>
      </c>
      <c r="J15" s="392"/>
      <c r="K15" s="392"/>
      <c r="L15" s="392"/>
      <c r="M15">
        <v>2</v>
      </c>
    </row>
    <row r="16" spans="1:52" ht="14.35">
      <c r="B16" s="664" t="s">
        <v>283</v>
      </c>
      <c r="C16" s="665"/>
      <c r="D16" s="391"/>
      <c r="E16" s="391"/>
      <c r="F16" s="391"/>
      <c r="G16" s="392">
        <f>G15*G14</f>
        <v>4.5339999999999998</v>
      </c>
      <c r="H16" s="392">
        <f t="shared" ref="H16:I16" si="2">H15*H14</f>
        <v>5.6760000000000002</v>
      </c>
      <c r="I16" s="392">
        <f t="shared" si="2"/>
        <v>8.6690000000000005</v>
      </c>
      <c r="J16" s="392"/>
      <c r="K16" s="392"/>
      <c r="L16" s="392"/>
    </row>
    <row r="17" spans="1:111" ht="14.35">
      <c r="B17" s="664" t="s">
        <v>228</v>
      </c>
      <c r="C17" s="665"/>
      <c r="D17" s="391"/>
      <c r="E17" s="391"/>
      <c r="F17" s="391"/>
      <c r="G17" s="394">
        <f>($G13*365*$G16*($E9*G9+$E8*G8+$E10*G10))/10^6*3.6</f>
        <v>0.82505029925109663</v>
      </c>
      <c r="H17" s="394">
        <f>($H13*365*$H16*($E9*H9+$E8*H8+$E10*H10))/10^6*3.6</f>
        <v>1.0256725530376303</v>
      </c>
      <c r="I17" s="394">
        <f>($I13*365*$I16*($E9*I9+$E8*I8+$E10*I10))/10^6*3.6</f>
        <v>1.5665178580484878</v>
      </c>
      <c r="J17" s="392">
        <f>E12*12*'conversion factors'!C4/1000</f>
        <v>2.4420000000000002</v>
      </c>
      <c r="K17" s="392">
        <f>E12*7/5.5*12*'conversion factors'!C4/1000</f>
        <v>3.1080000000000001</v>
      </c>
      <c r="L17" s="392"/>
      <c r="M17" s="394">
        <f>($M13*365*$G16*($E9*M9+$E8*M8+$E10*M10)+$L13*365*$F8)/10^6*3.6</f>
        <v>0.80181930552192004</v>
      </c>
      <c r="N17" s="394">
        <f>($H13*365*$H16*($E9*N9+$E8*N8+$E10*N10)+$L13*365*$F8)/10^6*3.6</f>
        <v>2.1509514043776004</v>
      </c>
      <c r="O17" s="394">
        <f>($I13*365*$I16*($E9*O9+$E8*O8+$E10*O10)+$L13*365*$F8)/10^6*3.6</f>
        <v>3.2851652086944005</v>
      </c>
      <c r="Q17" s="393" t="s">
        <v>811</v>
      </c>
      <c r="W17" s="394">
        <f>($I13*365*$I16*($E9*S26+$E8*S25+$E10*S27))/10^6*3.6</f>
        <v>98.026493588699694</v>
      </c>
    </row>
    <row r="18" spans="1:111" ht="14.35">
      <c r="B18" s="661" t="s">
        <v>812</v>
      </c>
      <c r="C18" s="661"/>
      <c r="D18" s="195"/>
      <c r="E18" s="195"/>
      <c r="F18" s="195"/>
      <c r="G18" s="396">
        <f>O25</f>
        <v>3.2658054255294111</v>
      </c>
      <c r="H18" s="396"/>
      <c r="I18" s="396"/>
      <c r="J18" s="397"/>
      <c r="K18" s="398"/>
      <c r="L18" s="398"/>
      <c r="M18" s="7">
        <f>O45</f>
        <v>3.2658054255294111</v>
      </c>
    </row>
    <row r="19" spans="1:111">
      <c r="B19" s="157"/>
      <c r="G19">
        <f>G17*G18</f>
        <v>2.6944537436288956</v>
      </c>
      <c r="M19">
        <f>M17*M18</f>
        <v>2.6185858382677112</v>
      </c>
    </row>
    <row r="20" spans="1:111" ht="31.35">
      <c r="B20" s="27" t="s">
        <v>81</v>
      </c>
      <c r="C20" s="27" t="s">
        <v>82</v>
      </c>
      <c r="D20" s="27" t="s">
        <v>83</v>
      </c>
      <c r="E20" s="27" t="s">
        <v>84</v>
      </c>
      <c r="F20" s="209" t="s">
        <v>85</v>
      </c>
      <c r="G20" s="27" t="s">
        <v>86</v>
      </c>
      <c r="H20" s="27" t="s">
        <v>87</v>
      </c>
      <c r="I20" s="27" t="s">
        <v>88</v>
      </c>
      <c r="K20" s="199" t="s">
        <v>398</v>
      </c>
      <c r="L20" s="25"/>
      <c r="M20" s="25"/>
      <c r="N20" s="25"/>
      <c r="O20" s="25"/>
      <c r="P20" s="25"/>
      <c r="Q20" s="25"/>
      <c r="R20" s="268" t="s">
        <v>882</v>
      </c>
      <c r="S20" s="193"/>
      <c r="T20" s="193"/>
      <c r="U20" s="193"/>
      <c r="V20" s="195" t="s">
        <v>428</v>
      </c>
      <c r="W20" s="196"/>
      <c r="X20" s="196"/>
      <c r="Y20" s="196"/>
      <c r="Z20" s="195" t="s">
        <v>430</v>
      </c>
      <c r="AA20" s="196"/>
      <c r="AB20" s="196"/>
      <c r="AC20" s="196"/>
      <c r="AD20" s="128">
        <v>0.01</v>
      </c>
      <c r="AE20" s="129"/>
      <c r="AF20" s="21"/>
      <c r="AG20" s="21"/>
      <c r="AH20" s="21"/>
      <c r="AI20" s="21"/>
      <c r="AJ20" s="21"/>
      <c r="AK20" s="21"/>
      <c r="AL20" s="129">
        <v>0.01</v>
      </c>
      <c r="AM20" s="21"/>
      <c r="AN20" s="21"/>
      <c r="AO20" s="21"/>
      <c r="AP20" s="21"/>
      <c r="AQ20" s="21"/>
      <c r="AR20" s="21"/>
      <c r="AS20" s="125"/>
      <c r="AT20" s="128">
        <v>0.01</v>
      </c>
      <c r="AU20" s="21"/>
      <c r="AV20" s="21"/>
      <c r="AW20" s="21"/>
      <c r="AX20" s="21"/>
      <c r="AY20" s="21"/>
      <c r="AZ20" s="21"/>
      <c r="BA20" s="21"/>
      <c r="BB20" s="129">
        <v>0.01</v>
      </c>
      <c r="BC20" s="21"/>
      <c r="BD20" s="21"/>
      <c r="BE20" s="21"/>
      <c r="BF20" s="21"/>
      <c r="BG20" s="21"/>
      <c r="BH20" s="21"/>
      <c r="BI20" s="125"/>
      <c r="BJ20" s="128">
        <v>0.01</v>
      </c>
      <c r="BK20" s="21"/>
      <c r="BL20" s="21"/>
      <c r="BM20" s="21"/>
      <c r="BN20" s="21"/>
      <c r="BO20" s="129">
        <v>0.01</v>
      </c>
      <c r="BP20" s="21"/>
      <c r="BQ20" s="1"/>
      <c r="BR20" s="1"/>
      <c r="BS20" s="54"/>
      <c r="BT20" s="55">
        <v>0.01</v>
      </c>
      <c r="BU20" s="1"/>
      <c r="BV20" s="1"/>
      <c r="BW20" s="1"/>
      <c r="BX20" s="1"/>
      <c r="BY20" s="56">
        <v>0.01</v>
      </c>
      <c r="BZ20" s="1"/>
      <c r="CA20" s="1"/>
      <c r="CB20" s="1"/>
      <c r="CC20" s="54"/>
      <c r="CD20" s="55">
        <v>0.01</v>
      </c>
      <c r="CE20" s="1"/>
      <c r="CF20" s="1"/>
      <c r="CG20" s="1"/>
      <c r="CH20" s="1"/>
      <c r="CI20" s="56">
        <v>0.01</v>
      </c>
      <c r="CJ20" s="1"/>
      <c r="CK20" s="1"/>
      <c r="CL20" s="1"/>
      <c r="CM20" s="54"/>
      <c r="CN20" s="55">
        <v>0.01</v>
      </c>
      <c r="CO20" s="1"/>
      <c r="CP20" s="1"/>
      <c r="CQ20" s="1"/>
      <c r="CR20" s="1"/>
      <c r="CS20" s="56">
        <v>0.01</v>
      </c>
      <c r="CT20" s="1"/>
      <c r="CU20" s="1"/>
      <c r="CV20" s="1"/>
      <c r="CW20" s="54"/>
      <c r="CX20" s="55">
        <v>0.01</v>
      </c>
      <c r="CY20" s="1"/>
      <c r="CZ20" s="1"/>
      <c r="DA20" s="1"/>
      <c r="DB20" s="1"/>
      <c r="DC20" s="56">
        <v>0.01</v>
      </c>
      <c r="DD20" s="1"/>
      <c r="DE20" s="1"/>
      <c r="DF20" s="1"/>
      <c r="DG20" s="54"/>
    </row>
    <row r="21" spans="1:111" ht="51" thickBot="1">
      <c r="A21" t="s">
        <v>419</v>
      </c>
      <c r="B21" s="45" t="s">
        <v>89</v>
      </c>
      <c r="C21" s="28" t="s">
        <v>90</v>
      </c>
      <c r="D21" s="28" t="s">
        <v>91</v>
      </c>
      <c r="E21" s="28" t="s">
        <v>92</v>
      </c>
      <c r="F21" s="210" t="s">
        <v>93</v>
      </c>
      <c r="G21" s="28" t="s">
        <v>94</v>
      </c>
      <c r="H21" s="28" t="s">
        <v>95</v>
      </c>
      <c r="I21" s="28" t="s">
        <v>96</v>
      </c>
      <c r="J21" s="62" t="s">
        <v>848</v>
      </c>
      <c r="K21" s="200" t="s">
        <v>97</v>
      </c>
      <c r="L21" s="28" t="s">
        <v>98</v>
      </c>
      <c r="M21" s="28" t="s">
        <v>99</v>
      </c>
      <c r="N21" s="28" t="s">
        <v>425</v>
      </c>
      <c r="O21" s="197" t="s">
        <v>427</v>
      </c>
      <c r="P21" s="28" t="s">
        <v>424</v>
      </c>
      <c r="Q21" s="28" t="s">
        <v>426</v>
      </c>
      <c r="R21" s="194">
        <v>2020</v>
      </c>
      <c r="S21" s="194">
        <v>2030</v>
      </c>
      <c r="T21" s="194">
        <v>2040</v>
      </c>
      <c r="U21" s="194">
        <v>2050</v>
      </c>
      <c r="V21" s="197">
        <v>2020</v>
      </c>
      <c r="W21" s="197">
        <v>2030</v>
      </c>
      <c r="X21" s="197">
        <v>2040</v>
      </c>
      <c r="Y21" s="197">
        <v>2050</v>
      </c>
      <c r="Z21" s="197">
        <v>2020</v>
      </c>
      <c r="AA21" s="197">
        <v>2030</v>
      </c>
      <c r="AB21" s="197">
        <v>2040</v>
      </c>
      <c r="AC21" s="197">
        <v>2050</v>
      </c>
      <c r="AD21" s="130" t="s">
        <v>126</v>
      </c>
      <c r="AE21" s="131" t="s">
        <v>127</v>
      </c>
      <c r="AF21" s="131" t="s">
        <v>127</v>
      </c>
      <c r="AG21" s="131" t="s">
        <v>127</v>
      </c>
      <c r="AH21" s="131" t="s">
        <v>127</v>
      </c>
      <c r="AI21" s="131" t="s">
        <v>127</v>
      </c>
      <c r="AJ21" s="131" t="s">
        <v>127</v>
      </c>
      <c r="AK21" s="21"/>
      <c r="AL21" s="131" t="s">
        <v>126</v>
      </c>
      <c r="AM21" s="131" t="s">
        <v>128</v>
      </c>
      <c r="AN21" s="131" t="s">
        <v>128</v>
      </c>
      <c r="AO21" s="131" t="s">
        <v>128</v>
      </c>
      <c r="AP21" s="131" t="s">
        <v>128</v>
      </c>
      <c r="AQ21" s="131" t="s">
        <v>128</v>
      </c>
      <c r="AR21" s="131" t="s">
        <v>128</v>
      </c>
      <c r="AS21" s="132" t="s">
        <v>100</v>
      </c>
      <c r="AT21" s="130" t="s">
        <v>126</v>
      </c>
      <c r="AU21" s="131" t="s">
        <v>127</v>
      </c>
      <c r="AV21" s="131"/>
      <c r="AW21" s="131" t="s">
        <v>127</v>
      </c>
      <c r="AX21" s="131" t="s">
        <v>127</v>
      </c>
      <c r="AY21" s="131" t="s">
        <v>127</v>
      </c>
      <c r="AZ21" s="131" t="s">
        <v>127</v>
      </c>
      <c r="BA21" s="21"/>
      <c r="BB21" s="131" t="s">
        <v>126</v>
      </c>
      <c r="BC21" s="131" t="s">
        <v>128</v>
      </c>
      <c r="BD21" s="131"/>
      <c r="BE21" s="131" t="s">
        <v>128</v>
      </c>
      <c r="BF21" s="131" t="s">
        <v>128</v>
      </c>
      <c r="BG21" s="131" t="s">
        <v>128</v>
      </c>
      <c r="BH21" s="131" t="s">
        <v>128</v>
      </c>
      <c r="BI21" s="132" t="s">
        <v>100</v>
      </c>
      <c r="BJ21" s="130" t="s">
        <v>126</v>
      </c>
      <c r="BK21" s="131" t="s">
        <v>127</v>
      </c>
      <c r="BL21" s="131" t="s">
        <v>127</v>
      </c>
      <c r="BM21" s="131" t="s">
        <v>127</v>
      </c>
      <c r="BN21" s="21"/>
      <c r="BO21" s="131" t="s">
        <v>126</v>
      </c>
      <c r="BP21" s="131" t="s">
        <v>128</v>
      </c>
      <c r="BQ21" s="28" t="s">
        <v>128</v>
      </c>
      <c r="BR21" s="28" t="s">
        <v>128</v>
      </c>
      <c r="BS21" s="58" t="s">
        <v>100</v>
      </c>
      <c r="BT21" s="57" t="s">
        <v>126</v>
      </c>
      <c r="BU21" s="28" t="s">
        <v>127</v>
      </c>
      <c r="BV21" s="28" t="s">
        <v>127</v>
      </c>
      <c r="BW21" s="28" t="s">
        <v>127</v>
      </c>
      <c r="BX21" s="62" t="s">
        <v>164</v>
      </c>
      <c r="BY21" s="28" t="s">
        <v>126</v>
      </c>
      <c r="BZ21" s="28" t="s">
        <v>128</v>
      </c>
      <c r="CA21" s="28" t="s">
        <v>128</v>
      </c>
      <c r="CB21" s="28" t="s">
        <v>128</v>
      </c>
      <c r="CC21" s="58" t="s">
        <v>100</v>
      </c>
      <c r="CD21" s="144" t="s">
        <v>126</v>
      </c>
      <c r="CE21" s="28" t="s">
        <v>127</v>
      </c>
      <c r="CF21" s="28" t="s">
        <v>127</v>
      </c>
      <c r="CG21" s="28" t="s">
        <v>127</v>
      </c>
      <c r="CI21" s="28" t="s">
        <v>126</v>
      </c>
      <c r="CJ21" s="28" t="s">
        <v>128</v>
      </c>
      <c r="CK21" s="28" t="s">
        <v>128</v>
      </c>
      <c r="CL21" s="28" t="s">
        <v>128</v>
      </c>
      <c r="CM21" s="58" t="s">
        <v>100</v>
      </c>
      <c r="CN21" s="57" t="s">
        <v>126</v>
      </c>
      <c r="CO21" s="28" t="s">
        <v>127</v>
      </c>
      <c r="CP21" s="28" t="s">
        <v>127</v>
      </c>
      <c r="CQ21" s="28" t="s">
        <v>127</v>
      </c>
      <c r="CS21" s="28" t="s">
        <v>126</v>
      </c>
      <c r="CT21" s="28" t="s">
        <v>128</v>
      </c>
      <c r="CU21" s="28" t="s">
        <v>128</v>
      </c>
      <c r="CV21" s="28" t="s">
        <v>128</v>
      </c>
      <c r="CW21" s="58" t="s">
        <v>100</v>
      </c>
      <c r="CX21" s="57" t="s">
        <v>126</v>
      </c>
      <c r="CY21" s="28" t="s">
        <v>127</v>
      </c>
      <c r="CZ21" s="28" t="s">
        <v>127</v>
      </c>
      <c r="DA21" s="28" t="s">
        <v>127</v>
      </c>
      <c r="DC21" s="28" t="s">
        <v>126</v>
      </c>
      <c r="DD21" s="28" t="s">
        <v>128</v>
      </c>
      <c r="DE21" s="28" t="s">
        <v>128</v>
      </c>
      <c r="DF21" s="28" t="s">
        <v>128</v>
      </c>
      <c r="DG21" s="58" t="s">
        <v>100</v>
      </c>
    </row>
    <row r="22" spans="1:111" ht="25.35">
      <c r="B22" s="46" t="s">
        <v>101</v>
      </c>
      <c r="C22" s="29"/>
      <c r="D22" s="29"/>
      <c r="E22" s="29"/>
      <c r="F22" s="211" t="s">
        <v>102</v>
      </c>
      <c r="G22" s="38" t="s">
        <v>103</v>
      </c>
      <c r="H22" s="37" t="s">
        <v>104</v>
      </c>
      <c r="I22" s="39" t="s">
        <v>105</v>
      </c>
      <c r="K22" s="201" t="s">
        <v>106</v>
      </c>
      <c r="L22" s="26" t="s">
        <v>107</v>
      </c>
      <c r="M22" s="26" t="s">
        <v>107</v>
      </c>
      <c r="N22" s="25"/>
      <c r="O22" s="25"/>
      <c r="P22" s="25"/>
      <c r="Q22" s="25"/>
      <c r="R22" s="25"/>
      <c r="S22" s="25"/>
      <c r="T22" s="25"/>
      <c r="U22" s="25"/>
      <c r="V22" s="25"/>
      <c r="W22" s="25"/>
      <c r="X22" s="25"/>
      <c r="Y22" s="25"/>
      <c r="Z22" s="25"/>
      <c r="AA22" s="25"/>
      <c r="AB22" s="25"/>
      <c r="AC22" s="25"/>
      <c r="AD22" s="124" t="s">
        <v>130</v>
      </c>
      <c r="AE22" s="21"/>
      <c r="AF22" t="s">
        <v>847</v>
      </c>
      <c r="AG22" s="21" t="s">
        <v>401</v>
      </c>
      <c r="AH22" s="21" t="e">
        <f>"U"&amp;#REF!</f>
        <v>#REF!</v>
      </c>
      <c r="AI22" s="21" t="s">
        <v>402</v>
      </c>
      <c r="AJ22" s="21" t="e">
        <f>"U"&amp;#REF!</f>
        <v>#REF!</v>
      </c>
      <c r="AK22" s="21" t="s">
        <v>134</v>
      </c>
      <c r="AL22" s="21" t="s">
        <v>131</v>
      </c>
      <c r="AM22" s="21" t="e">
        <f>"L"&amp;#REF!</f>
        <v>#REF!</v>
      </c>
      <c r="AN22" s="21"/>
      <c r="AO22" s="21" t="s">
        <v>403</v>
      </c>
      <c r="AP22" s="21" t="e">
        <f>"L"&amp;#REF!</f>
        <v>#REF!</v>
      </c>
      <c r="AQ22" s="21" t="s">
        <v>404</v>
      </c>
      <c r="AR22" s="21" t="e">
        <f>"L"&amp;#REF!</f>
        <v>#REF!</v>
      </c>
      <c r="AS22" s="125"/>
      <c r="AT22" s="124" t="s">
        <v>130</v>
      </c>
      <c r="AU22" s="21" t="e">
        <f>"U"&amp;#REF!</f>
        <v>#REF!</v>
      </c>
      <c r="AV22" s="21"/>
      <c r="AW22" s="21" t="s">
        <v>401</v>
      </c>
      <c r="AX22" s="21" t="e">
        <f>"U"&amp;#REF!</f>
        <v>#REF!</v>
      </c>
      <c r="AY22" s="21" t="s">
        <v>402</v>
      </c>
      <c r="AZ22" s="21" t="e">
        <f>"U"&amp;#REF!</f>
        <v>#REF!</v>
      </c>
      <c r="BA22" s="21"/>
      <c r="BB22" s="21" t="s">
        <v>131</v>
      </c>
      <c r="BC22" s="21" t="e">
        <f>"L"&amp;#REF!</f>
        <v>#REF!</v>
      </c>
      <c r="BD22" s="21"/>
      <c r="BE22" s="21" t="s">
        <v>403</v>
      </c>
      <c r="BF22" s="21" t="e">
        <f>"L"&amp;#REF!</f>
        <v>#REF!</v>
      </c>
      <c r="BG22" s="21" t="s">
        <v>404</v>
      </c>
      <c r="BH22" s="21" t="e">
        <f>"L"&amp;#REF!</f>
        <v>#REF!</v>
      </c>
      <c r="BI22" s="125"/>
      <c r="BJ22" s="124" t="s">
        <v>130</v>
      </c>
      <c r="BK22" s="21" t="e">
        <f>"U"&amp;#REF!</f>
        <v>#REF!</v>
      </c>
      <c r="BL22" s="21" t="e">
        <f>"U"&amp;#REF!</f>
        <v>#REF!</v>
      </c>
      <c r="BM22" s="21" t="e">
        <f>"U"&amp;#REF!</f>
        <v>#REF!</v>
      </c>
      <c r="BN22" s="21"/>
      <c r="BO22" s="21" t="s">
        <v>131</v>
      </c>
      <c r="BP22" s="21" t="e">
        <f>"L"&amp;#REF!</f>
        <v>#REF!</v>
      </c>
      <c r="BQ22" s="1" t="e">
        <f>"L"&amp;#REF!</f>
        <v>#REF!</v>
      </c>
      <c r="BR22" s="1" t="e">
        <f>"L"&amp;#REF!</f>
        <v>#REF!</v>
      </c>
      <c r="BS22" s="54"/>
      <c r="BT22" s="53" t="s">
        <v>130</v>
      </c>
      <c r="BU22" s="1" t="e">
        <f>"U"&amp;#REF!</f>
        <v>#REF!</v>
      </c>
      <c r="BV22" s="1" t="e">
        <f>"U"&amp;#REF!</f>
        <v>#REF!</v>
      </c>
      <c r="BW22" s="1" t="e">
        <f>"U"&amp;#REF!</f>
        <v>#REF!</v>
      </c>
      <c r="BX22" s="1"/>
      <c r="BY22" s="1" t="s">
        <v>131</v>
      </c>
      <c r="BZ22" s="1" t="e">
        <f>"L"&amp;#REF!</f>
        <v>#REF!</v>
      </c>
      <c r="CA22" s="1" t="e">
        <f>"L"&amp;#REF!</f>
        <v>#REF!</v>
      </c>
      <c r="CB22" s="1" t="e">
        <f>"L"&amp;#REF!</f>
        <v>#REF!</v>
      </c>
      <c r="CC22" s="54"/>
      <c r="CD22" s="53" t="s">
        <v>130</v>
      </c>
      <c r="CE22" s="1" t="e">
        <f>"U"&amp;#REF!</f>
        <v>#REF!</v>
      </c>
      <c r="CF22" s="1" t="e">
        <f>"U"&amp;#REF!</f>
        <v>#REF!</v>
      </c>
      <c r="CG22" s="1" t="e">
        <f>"U"&amp;#REF!</f>
        <v>#REF!</v>
      </c>
      <c r="CH22" s="1"/>
      <c r="CI22" s="1" t="s">
        <v>131</v>
      </c>
      <c r="CJ22" s="1" t="e">
        <f>"L"&amp;#REF!</f>
        <v>#REF!</v>
      </c>
      <c r="CK22" s="1" t="e">
        <f>"L"&amp;#REF!</f>
        <v>#REF!</v>
      </c>
      <c r="CL22" s="1" t="e">
        <f>"L"&amp;#REF!</f>
        <v>#REF!</v>
      </c>
      <c r="CM22" s="54"/>
      <c r="CN22" s="53" t="s">
        <v>130</v>
      </c>
      <c r="CO22" s="1" t="e">
        <f>"U"&amp;#REF!</f>
        <v>#REF!</v>
      </c>
      <c r="CP22" s="1" t="e">
        <f>"U"&amp;#REF!</f>
        <v>#REF!</v>
      </c>
      <c r="CQ22" s="1" t="e">
        <f>"U"&amp;#REF!</f>
        <v>#REF!</v>
      </c>
      <c r="CR22" s="1"/>
      <c r="CS22" s="1" t="s">
        <v>131</v>
      </c>
      <c r="CT22" s="1" t="e">
        <f>"L"&amp;#REF!</f>
        <v>#REF!</v>
      </c>
      <c r="CU22" s="1" t="e">
        <f>"L"&amp;#REF!</f>
        <v>#REF!</v>
      </c>
      <c r="CV22" s="1" t="e">
        <f>"L"&amp;#REF!</f>
        <v>#REF!</v>
      </c>
      <c r="CW22" s="54"/>
      <c r="CX22" s="53" t="s">
        <v>130</v>
      </c>
      <c r="CY22" s="1" t="e">
        <f>"U"&amp;#REF!</f>
        <v>#REF!</v>
      </c>
      <c r="CZ22" s="1" t="e">
        <f>"U"&amp;#REF!</f>
        <v>#REF!</v>
      </c>
      <c r="DA22" s="1" t="e">
        <f>"U"&amp;#REF!</f>
        <v>#REF!</v>
      </c>
      <c r="DB22" s="1"/>
      <c r="DC22" s="1" t="s">
        <v>131</v>
      </c>
      <c r="DD22" s="1" t="e">
        <f>"L"&amp;#REF!</f>
        <v>#REF!</v>
      </c>
      <c r="DE22" s="1" t="e">
        <f>"L"&amp;#REF!</f>
        <v>#REF!</v>
      </c>
      <c r="DF22" s="1" t="e">
        <f>"L"&amp;#REF!</f>
        <v>#REF!</v>
      </c>
      <c r="DG22" s="54"/>
    </row>
    <row r="23" spans="1:111">
      <c r="B23" s="47" t="s">
        <v>108</v>
      </c>
      <c r="C23" s="30"/>
      <c r="D23" s="31">
        <v>1</v>
      </c>
      <c r="E23" s="31">
        <f t="shared" ref="E23:I23" si="3">D23+1</f>
        <v>2</v>
      </c>
      <c r="F23" s="212">
        <f>E23+1</f>
        <v>3</v>
      </c>
      <c r="G23" s="31">
        <f t="shared" si="3"/>
        <v>4</v>
      </c>
      <c r="H23" s="31">
        <f t="shared" si="3"/>
        <v>5</v>
      </c>
      <c r="I23" s="31">
        <f t="shared" si="3"/>
        <v>6</v>
      </c>
      <c r="K23" s="202"/>
      <c r="L23" s="118"/>
      <c r="M23" s="118"/>
      <c r="N23" s="25"/>
      <c r="O23" s="25"/>
      <c r="P23" s="25"/>
      <c r="Q23" s="25"/>
      <c r="R23" s="25"/>
      <c r="S23" s="25"/>
      <c r="T23" s="25"/>
      <c r="U23" s="25"/>
      <c r="V23" s="25"/>
      <c r="W23" s="25"/>
      <c r="X23" s="25"/>
      <c r="Y23" s="25"/>
      <c r="Z23" s="25"/>
      <c r="AA23" s="25"/>
      <c r="AB23" s="25"/>
      <c r="AC23" s="25"/>
      <c r="AD23" s="124" t="s">
        <v>130</v>
      </c>
      <c r="AE23" s="21" t="s">
        <v>846</v>
      </c>
      <c r="AG23" s="21" t="e">
        <f>"U"&amp;#REF!</f>
        <v>#REF!</v>
      </c>
      <c r="AH23" s="21" t="e">
        <f>"U"&amp;#REF!</f>
        <v>#REF!</v>
      </c>
      <c r="AI23" s="21" t="e">
        <f>"U"&amp;#REF!</f>
        <v>#REF!</v>
      </c>
      <c r="AJ23" s="21" t="e">
        <f>"U"&amp;#REF!</f>
        <v>#REF!</v>
      </c>
      <c r="AK23" s="21" t="s">
        <v>131</v>
      </c>
      <c r="AL23" s="21"/>
      <c r="AM23" s="21"/>
      <c r="AN23" s="21"/>
      <c r="AO23" s="21"/>
      <c r="AP23" s="21"/>
      <c r="AQ23" s="21"/>
      <c r="AR23" s="21"/>
      <c r="AS23" s="125"/>
      <c r="AT23" s="124"/>
      <c r="AU23" s="21"/>
      <c r="AV23" s="21"/>
      <c r="AW23" s="21"/>
      <c r="AX23" s="21"/>
      <c r="AY23" s="21"/>
      <c r="AZ23" s="21"/>
      <c r="BA23" s="21"/>
      <c r="BB23" s="21"/>
      <c r="BC23" s="21"/>
      <c r="BD23" s="21"/>
      <c r="BE23" s="21"/>
      <c r="BF23" s="21"/>
      <c r="BG23" s="21"/>
      <c r="BH23" s="21"/>
      <c r="BI23" s="125"/>
      <c r="BJ23" s="124"/>
      <c r="BK23" s="21"/>
      <c r="BL23" s="21"/>
      <c r="BM23" s="21"/>
      <c r="BN23" s="21"/>
      <c r="BO23" s="21"/>
      <c r="BP23" s="21"/>
      <c r="BQ23" s="1"/>
      <c r="BR23" s="1"/>
      <c r="BS23" s="54"/>
      <c r="BT23" s="53"/>
      <c r="BU23" s="1"/>
      <c r="BV23" s="1"/>
      <c r="BW23" s="1"/>
      <c r="BX23" s="1"/>
      <c r="BY23" s="1"/>
      <c r="BZ23" s="1"/>
      <c r="CA23" s="1"/>
      <c r="CB23" s="1"/>
      <c r="CC23" s="54"/>
      <c r="CD23" s="53"/>
      <c r="CE23" s="1"/>
      <c r="CF23" s="1"/>
      <c r="CG23" s="1"/>
      <c r="CH23" s="1"/>
      <c r="CI23" s="1"/>
      <c r="CJ23" s="1"/>
      <c r="CK23" s="1"/>
      <c r="CL23" s="54"/>
      <c r="CM23" s="106"/>
      <c r="CN23" s="107"/>
      <c r="CW23" s="106"/>
      <c r="CX23" s="107"/>
      <c r="DG23" s="106"/>
    </row>
    <row r="24" spans="1:111" ht="15">
      <c r="B24" s="108" t="s">
        <v>114</v>
      </c>
      <c r="C24" s="30"/>
      <c r="D24" s="48"/>
      <c r="E24" s="48"/>
      <c r="F24" s="213"/>
      <c r="G24" s="29"/>
      <c r="H24" s="29"/>
      <c r="I24" s="29"/>
      <c r="K24" s="203"/>
      <c r="L24" s="13"/>
      <c r="M24" s="189"/>
      <c r="N24" s="146"/>
      <c r="O24" s="146"/>
      <c r="U24" s="146"/>
      <c r="V24" s="146"/>
      <c r="W24" s="146"/>
      <c r="X24" s="146"/>
      <c r="Y24" s="146"/>
      <c r="Z24" s="146"/>
      <c r="AA24" s="146"/>
      <c r="AB24" s="146"/>
      <c r="AC24" s="146"/>
      <c r="AD24" s="21">
        <v>1E-3</v>
      </c>
      <c r="AE24" s="21"/>
      <c r="AG24" s="21"/>
      <c r="AH24" s="21"/>
      <c r="AI24" s="21"/>
      <c r="AJ24" s="21"/>
      <c r="AK24" s="21"/>
      <c r="AL24" s="21"/>
      <c r="AM24" s="21"/>
      <c r="AN24" s="21"/>
      <c r="AO24" s="21"/>
      <c r="AP24" s="21"/>
      <c r="AQ24" s="21"/>
      <c r="AR24" s="21"/>
      <c r="AS24" s="125"/>
      <c r="AT24" s="124"/>
      <c r="AU24" s="21"/>
      <c r="AV24" s="21"/>
      <c r="AW24" s="21"/>
      <c r="AX24" s="21"/>
      <c r="AY24" s="21"/>
      <c r="AZ24" s="21"/>
      <c r="BA24" s="21"/>
      <c r="BB24" s="21"/>
      <c r="BC24" s="21"/>
      <c r="BD24" s="21"/>
      <c r="BE24" s="21"/>
      <c r="BF24" s="21"/>
      <c r="BG24" s="21"/>
      <c r="BH24" s="21"/>
      <c r="BI24" s="125"/>
      <c r="BJ24" s="124"/>
      <c r="BK24" s="21"/>
      <c r="BL24" s="21"/>
      <c r="BM24" s="21"/>
      <c r="BN24" s="21"/>
      <c r="BO24" s="21"/>
      <c r="BP24" s="21"/>
      <c r="BQ24" s="1"/>
      <c r="BR24" s="1"/>
      <c r="BS24" s="54"/>
      <c r="BT24" s="53"/>
      <c r="BU24" s="1"/>
      <c r="BV24" s="1"/>
      <c r="BX24" s="1"/>
      <c r="BY24" s="1"/>
      <c r="BZ24" s="1"/>
      <c r="CA24" s="1"/>
      <c r="CB24" s="1"/>
      <c r="CC24" s="54"/>
      <c r="CD24" s="53"/>
      <c r="CE24" s="1"/>
      <c r="CF24" s="1"/>
      <c r="CH24" s="1"/>
      <c r="CI24" s="1"/>
      <c r="CJ24" s="1"/>
      <c r="CK24" s="1"/>
      <c r="CL24" s="54"/>
      <c r="CM24" s="106"/>
      <c r="CN24" s="107"/>
      <c r="CW24" s="106"/>
      <c r="CX24" s="107"/>
      <c r="DG24" s="106"/>
    </row>
    <row r="25" spans="1:111" ht="15.7">
      <c r="A25" s="166" t="s">
        <v>333</v>
      </c>
      <c r="B25" s="165" t="s">
        <v>324</v>
      </c>
      <c r="C25" s="166" t="s">
        <v>177</v>
      </c>
      <c r="D25" s="167" t="s">
        <v>242</v>
      </c>
      <c r="E25" s="167" t="s">
        <v>255</v>
      </c>
      <c r="F25" s="207">
        <f>SUMIF($B$8:$B$11,$C25,$C$8:$C$11)</f>
        <v>1</v>
      </c>
      <c r="G25" s="207">
        <f>SUMIF(AFA!$B$3:$AJ$3,E25,AFA!$B$4:$AJ$4)</f>
        <v>0.34810000000000002</v>
      </c>
      <c r="H25" s="207">
        <f>SUMIF($B$8:$B$11,$C25,$D$8:$D$11)</f>
        <v>1</v>
      </c>
      <c r="I25" s="168" t="s">
        <v>592</v>
      </c>
      <c r="J25" s="169" t="e">
        <f>($F25*0.2+$F26*0.8+$F27*0)*(SUMIFS(Energy_Balance!#REF!,Energy_Balance!$C$55:$C$160,D25,Energy_Balance!$D$55:$D$160,E25))*SUM(K25:K27)</f>
        <v>#REF!</v>
      </c>
      <c r="K25" s="204">
        <f>G8</f>
        <v>0.19964000000000001</v>
      </c>
      <c r="L25" s="168">
        <f>(SUMIFS(Energy_Balance!I$55:I$160,Energy_Balance!$C$55:$C$160,D25,Energy_Balance!$D$55:$D$160,E25))*K25</f>
        <v>1.0268694711948596</v>
      </c>
      <c r="M25" s="168">
        <f>F25*L25</f>
        <v>1.0268694711948596</v>
      </c>
      <c r="N25" s="190">
        <f>(SUMIFS(Energy_Balance!I$55:I$160,Energy_Balance!$C$55:$C$160,D25,Energy_Balance!$D$55:$D$160,E25))*SUM(K25:K27)</f>
        <v>5.1436058464979943</v>
      </c>
      <c r="O25" s="190">
        <f>($F25*K25+$F26*K26+$F27*K27)/SUM(K25:K27)</f>
        <v>3.2658054255294111</v>
      </c>
      <c r="P25" s="190">
        <f>N25*O25</f>
        <v>16.798015880277948</v>
      </c>
      <c r="Q25" s="191">
        <f>IFERROR((P25/$G25)," ")</f>
        <v>48.256293824412374</v>
      </c>
      <c r="R25" s="191">
        <v>19.96</v>
      </c>
      <c r="S25" s="191">
        <v>4.9909999999999997</v>
      </c>
      <c r="T25" s="191">
        <v>0</v>
      </c>
      <c r="U25" s="191">
        <v>0</v>
      </c>
      <c r="V25" s="190">
        <f>($F25*R25+$F26*R26+$F27*R27)/SUM(R25:R27)</f>
        <v>3.5618185364705877</v>
      </c>
      <c r="W25" s="190">
        <f t="shared" ref="W25:Y25" si="4">($F25*S25+$F26*S26+$F27*S27)/SUM(S25:S27)</f>
        <v>4.579538282274509</v>
      </c>
      <c r="X25" s="190">
        <f t="shared" si="4"/>
        <v>5.3019294117647053</v>
      </c>
      <c r="Y25" s="190">
        <f t="shared" si="4"/>
        <v>5.3019294117647053</v>
      </c>
      <c r="Z25" s="190" t="s">
        <v>592</v>
      </c>
      <c r="AA25" s="190" t="s">
        <v>592</v>
      </c>
      <c r="AB25" s="190" t="s">
        <v>592</v>
      </c>
      <c r="AC25" s="190" t="s">
        <v>592</v>
      </c>
      <c r="AD25" s="171">
        <f>IFERROR((M25/(SUMIF(RES!$D$39:$D$145,E25,$M$5:$M$217))),0)</f>
        <v>0</v>
      </c>
      <c r="AE25" s="172">
        <f>IF(RES!$G$16=1,BK25,IF(RES!$G$16=2,BU25,IF(RES!$G$16=3,CE25,IF(RES!$G$16=4,CO25,IF(RES!$G$16=5,CY25,AU25)))))</f>
        <v>1.0009999999999999</v>
      </c>
      <c r="AG25" s="172">
        <f>IF(RES!$G$16=1,BL25,IF(RES!$G$16=2,BV25,IF(RES!$G$16=3,CF25,IF(RES!$G$16=4,CP25,IF(RES!$G$16=5,CZ25,AW25)))))</f>
        <v>1</v>
      </c>
      <c r="AH25" s="172">
        <f>IF(RES!$G$16=1,BM25,IF(RES!$G$16=2,BW25,IF(RES!$G$16=3,CG25,IF(RES!$G$16=4,CQ25,IF(RES!$G$16=5,DA25,AX25)))))</f>
        <v>1</v>
      </c>
      <c r="AI25" s="172">
        <f>IF(RES!$G$16=1,BN25,IF(RES!$G$16=2,BX25,IF(RES!$G$16=3,CH25,IF(RES!$G$16=4,CR25,IF(RES!$G$16=5,DB25,AY25)))))</f>
        <v>1</v>
      </c>
      <c r="AJ25" s="172">
        <f>IF(RES!$G$16=1,BO25,IF(RES!$G$16=2,BY25,IF(RES!$G$16=3,CI25,IF(RES!$G$16=4,CS25,IF(RES!$G$16=5,DC25,AZ25)))))</f>
        <v>1</v>
      </c>
      <c r="AK25" s="173"/>
      <c r="AL25" s="174" t="e">
        <f>AD25/(1+#REF!+#REF!)</f>
        <v>#REF!</v>
      </c>
      <c r="AM25" s="172">
        <f>1-$AD$24</f>
        <v>0.999</v>
      </c>
      <c r="AN25" s="172"/>
      <c r="AO25" s="172">
        <f>1-$AD$24</f>
        <v>0.999</v>
      </c>
      <c r="AP25" s="172">
        <f>1-$AD$24</f>
        <v>0.999</v>
      </c>
      <c r="AQ25" s="172">
        <f>1-$AD$24</f>
        <v>0.999</v>
      </c>
      <c r="AR25" s="172">
        <f>1-$AD$24</f>
        <v>0.999</v>
      </c>
      <c r="AS25" s="175">
        <f>ROW()</f>
        <v>25</v>
      </c>
      <c r="AT25" s="176">
        <f>$AD25</f>
        <v>0</v>
      </c>
      <c r="AU25" s="172">
        <f>1+$AD$24</f>
        <v>1.0009999999999999</v>
      </c>
      <c r="AV25" s="172"/>
      <c r="AW25" s="172">
        <v>1</v>
      </c>
      <c r="AX25" s="172">
        <v>1</v>
      </c>
      <c r="AY25" s="172">
        <v>1</v>
      </c>
      <c r="AZ25" s="172">
        <v>1</v>
      </c>
      <c r="BA25" s="173"/>
      <c r="BB25" s="174" t="e">
        <f>$AL25</f>
        <v>#REF!</v>
      </c>
      <c r="BC25" s="172">
        <f>1-$AD$24</f>
        <v>0.999</v>
      </c>
      <c r="BD25" s="172"/>
      <c r="BE25" s="172">
        <f>1-$AD$24</f>
        <v>0.999</v>
      </c>
      <c r="BF25" s="172">
        <f>1-$AD$24</f>
        <v>0.999</v>
      </c>
      <c r="BG25" s="172">
        <f>1-$AD$24</f>
        <v>0.999</v>
      </c>
      <c r="BH25" s="172">
        <f>1-$AD$24</f>
        <v>0.999</v>
      </c>
      <c r="BI25" s="175">
        <f>ROW()</f>
        <v>25</v>
      </c>
      <c r="BJ25" s="176">
        <f>AD25</f>
        <v>0</v>
      </c>
      <c r="BK25" s="172">
        <v>0.27</v>
      </c>
      <c r="BL25" s="172">
        <v>0.05</v>
      </c>
      <c r="BM25" s="172">
        <v>0</v>
      </c>
      <c r="BN25" s="173"/>
      <c r="BO25" s="174" t="e">
        <f>$AL25</f>
        <v>#REF!</v>
      </c>
      <c r="BP25" s="172">
        <f>BC25</f>
        <v>0.999</v>
      </c>
      <c r="BQ25" s="172">
        <f>BF25</f>
        <v>0.999</v>
      </c>
      <c r="BR25" s="172">
        <f t="shared" ref="BR25:BR27" si="5">BH25</f>
        <v>0.999</v>
      </c>
      <c r="BS25" s="178"/>
      <c r="BT25" s="179" t="e">
        <f>AL25</f>
        <v>#REF!</v>
      </c>
      <c r="BU25" s="182" t="e">
        <f>BT25</f>
        <v>#REF!</v>
      </c>
      <c r="BV25" s="182">
        <v>0.05</v>
      </c>
      <c r="BW25" s="182">
        <v>0</v>
      </c>
      <c r="BX25" s="169"/>
      <c r="BY25" s="180" t="e">
        <f>$AL25</f>
        <v>#REF!</v>
      </c>
      <c r="BZ25" s="177">
        <f t="shared" ref="BZ25:CB27" si="6">BP25</f>
        <v>0.999</v>
      </c>
      <c r="CA25" s="177">
        <f t="shared" si="6"/>
        <v>0.999</v>
      </c>
      <c r="CB25" s="177">
        <f t="shared" si="6"/>
        <v>0.999</v>
      </c>
      <c r="CC25" s="178">
        <f>ROW()</f>
        <v>25</v>
      </c>
      <c r="CD25" s="179">
        <f t="shared" ref="CD25:CE27" si="7">AT25</f>
        <v>0</v>
      </c>
      <c r="CE25" s="177">
        <f t="shared" si="7"/>
        <v>1.0009999999999999</v>
      </c>
      <c r="CF25" s="177">
        <f>AX25</f>
        <v>1</v>
      </c>
      <c r="CG25" s="177">
        <f>AZ25</f>
        <v>1</v>
      </c>
      <c r="CH25" s="169"/>
      <c r="CI25" s="180" t="e">
        <f>BB25</f>
        <v>#REF!</v>
      </c>
      <c r="CJ25" s="177">
        <f t="shared" ref="CJ25:CJ27" si="8">BC25</f>
        <v>0.999</v>
      </c>
      <c r="CK25" s="177">
        <f>BF25</f>
        <v>0.999</v>
      </c>
      <c r="CL25" s="177">
        <f t="shared" ref="CL25:CL27" si="9">BH25</f>
        <v>0.999</v>
      </c>
      <c r="CM25" s="178">
        <f>ROW()</f>
        <v>25</v>
      </c>
      <c r="CN25" s="179">
        <f t="shared" ref="CN25:CO27" si="10">AT25</f>
        <v>0</v>
      </c>
      <c r="CO25" s="177">
        <f t="shared" si="10"/>
        <v>1.0009999999999999</v>
      </c>
      <c r="CP25" s="177">
        <f>AX25</f>
        <v>1</v>
      </c>
      <c r="CQ25" s="177">
        <f>AZ25</f>
        <v>1</v>
      </c>
      <c r="CR25" s="169"/>
      <c r="CS25" s="180" t="e">
        <f>BB25</f>
        <v>#REF!</v>
      </c>
      <c r="CT25" s="177">
        <f t="shared" ref="CT25:CT27" si="11">BC25</f>
        <v>0.999</v>
      </c>
      <c r="CU25" s="177">
        <f>BF25</f>
        <v>0.999</v>
      </c>
      <c r="CV25" s="177">
        <f t="shared" ref="CV25:CV27" si="12">BH25</f>
        <v>0.999</v>
      </c>
      <c r="CW25" s="178">
        <f>ROW()</f>
        <v>25</v>
      </c>
      <c r="CX25" s="179">
        <f t="shared" ref="CX25:DA27" si="13">BJ25</f>
        <v>0</v>
      </c>
      <c r="CY25" s="177">
        <f t="shared" si="13"/>
        <v>0.27</v>
      </c>
      <c r="CZ25" s="177">
        <f t="shared" si="13"/>
        <v>0.05</v>
      </c>
      <c r="DA25" s="177">
        <f t="shared" si="13"/>
        <v>0</v>
      </c>
      <c r="DB25" s="169"/>
      <c r="DC25" s="180" t="e">
        <f t="shared" ref="DC25:DF27" si="14">BO25</f>
        <v>#REF!</v>
      </c>
      <c r="DD25" s="177">
        <f t="shared" si="14"/>
        <v>0.999</v>
      </c>
      <c r="DE25" s="177">
        <f t="shared" si="14"/>
        <v>0.999</v>
      </c>
      <c r="DF25" s="177">
        <f t="shared" si="14"/>
        <v>0.999</v>
      </c>
      <c r="DG25" s="178"/>
    </row>
    <row r="26" spans="1:111" ht="15.7">
      <c r="A26" s="169" t="s">
        <v>420</v>
      </c>
      <c r="B26" s="165" t="s">
        <v>325</v>
      </c>
      <c r="C26" s="166" t="s">
        <v>56</v>
      </c>
      <c r="D26" s="167" t="s">
        <v>242</v>
      </c>
      <c r="E26" s="167" t="s">
        <v>255</v>
      </c>
      <c r="F26" s="207">
        <f>SUMIF($B$8:$B$11,$C26,$C$8:$C$11)</f>
        <v>3.7555333333333332</v>
      </c>
      <c r="G26" s="207">
        <f>SUMIF(AFA!$B$3:$AJ$3,E26,AFA!$B$4:$AJ$4)</f>
        <v>0.34810000000000002</v>
      </c>
      <c r="H26" s="207">
        <f>SUMIF($B$8:$B$11,$C26,$D$8:$D$11)</f>
        <v>4.9000000000000004</v>
      </c>
      <c r="I26" s="168" t="s">
        <v>592</v>
      </c>
      <c r="J26" s="169"/>
      <c r="K26" s="204">
        <f t="shared" ref="K26:K27" si="15">G9</f>
        <v>0.76131000000000004</v>
      </c>
      <c r="L26" s="168">
        <f>(SUMIFS(Energy_Balance!I$55:I$160,Energy_Balance!$C$55:$C$160,D26,Energy_Balance!$D$55:$D$160,E26))*K26</f>
        <v>3.9158785669973883</v>
      </c>
      <c r="M26" s="168">
        <f>F26*L26</f>
        <v>14.706212487644258</v>
      </c>
      <c r="N26" s="170"/>
      <c r="O26" s="170"/>
      <c r="P26" s="170"/>
      <c r="Q26" s="170"/>
      <c r="R26" s="191">
        <v>57</v>
      </c>
      <c r="S26" s="191">
        <v>32.83</v>
      </c>
      <c r="T26" s="191">
        <v>0</v>
      </c>
      <c r="U26" s="191">
        <v>0</v>
      </c>
      <c r="V26" s="170"/>
      <c r="W26" s="170"/>
      <c r="X26" s="170"/>
      <c r="Y26" s="170"/>
      <c r="Z26" s="170"/>
      <c r="AA26" s="170"/>
      <c r="AB26" s="170"/>
      <c r="AC26" s="170"/>
      <c r="AD26" s="171">
        <f>IFERROR((M26/(SUMIF(RES!$D$39:$D$145,E26,$M$5:$M$217))),0)</f>
        <v>0</v>
      </c>
      <c r="AE26" s="172" t="e">
        <f>IF(#REF!=1,BK26,IF(#REF!=2,BU26,IF(#REF!=3,CE26,IF(#REF!=4,CO26,IF(#REF!=5,CY26,AU26)))))</f>
        <v>#REF!</v>
      </c>
      <c r="AG26" s="172" t="e">
        <f>IF(#REF!=1,BL26,IF(#REF!=2,BV26,IF(#REF!=3,CF26,IF(#REF!=4,CP26,IF(#REF!=5,CZ26,AW26)))))</f>
        <v>#REF!</v>
      </c>
      <c r="AH26" s="172" t="e">
        <f>IF(#REF!=1,BM26,IF(#REF!=2,BW26,IF(#REF!=3,CG26,IF(#REF!=4,CQ26,IF(#REF!=5,DA26,AX26)))))</f>
        <v>#REF!</v>
      </c>
      <c r="AI26" s="172" t="e">
        <f>IF(#REF!=1,BN26,IF(#REF!=2,BX26,IF(#REF!=3,CH26,IF(#REF!=4,CR26,IF(#REF!=5,DB26,AY26)))))</f>
        <v>#REF!</v>
      </c>
      <c r="AJ26" s="172" t="e">
        <f>IF(#REF!=1,BO26,IF(#REF!=2,BY26,IF(#REF!=3,CI26,IF(#REF!=4,CS26,IF(#REF!=5,DC26,AZ26)))))</f>
        <v>#REF!</v>
      </c>
      <c r="AK26" s="173"/>
      <c r="AL26" s="174" t="e">
        <f>AD26/(1+#REF!+#REF!)</f>
        <v>#REF!</v>
      </c>
      <c r="AM26" s="172" t="e">
        <f>IF(#REF!=1,BP26,IF(#REF!=2,BZ26,IF(#REF!=3,CJ26,IF(#REF!=4,CT26,IF(#REF!=5,DD26,BC26)))))</f>
        <v>#REF!</v>
      </c>
      <c r="AN26" s="172"/>
      <c r="AO26" s="172" t="e">
        <f>IF(#REF!=1,BQ26,IF(#REF!=2,CA26,IF(#REF!=3,CK26,IF(#REF!=4,CU26,IF(#REF!=5,DE26,BF26)))))</f>
        <v>#REF!</v>
      </c>
      <c r="AP26" s="172" t="e">
        <f>IF(#REF!=1,BQ26,IF(#REF!=2,CA26,IF(#REF!=3,CK26,IF(#REF!=4,CU26,IF(#REF!=5,DE26,BF26)))))</f>
        <v>#REF!</v>
      </c>
      <c r="AQ26" s="172" t="e">
        <f>IF(#REF!=1,BR26,IF(#REF!=2,CB26,IF(#REF!=3,CL26,IF(#REF!=4,CV26,IF(#REF!=5,DF26,BH26)))))</f>
        <v>#REF!</v>
      </c>
      <c r="AR26" s="172" t="e">
        <f>IF(#REF!=1,BR26,IF(#REF!=2,CB26,IF(#REF!=3,CL26,IF(#REF!=4,CV26,IF(#REF!=5,DF26,BH26)))))</f>
        <v>#REF!</v>
      </c>
      <c r="AS26" s="175"/>
      <c r="AT26" s="176">
        <f>$AD26</f>
        <v>0</v>
      </c>
      <c r="AU26" s="172" t="e">
        <f>MIN(1,$AD26+#REF!)</f>
        <v>#REF!</v>
      </c>
      <c r="AV26" s="172"/>
      <c r="AW26" s="172" t="e">
        <f>MIN(1,$AD26+#REF!)</f>
        <v>#REF!</v>
      </c>
      <c r="AX26" s="172" t="e">
        <f>MIN(1,$AD26+#REF!)</f>
        <v>#REF!</v>
      </c>
      <c r="AY26" s="172" t="e">
        <f>MIN(1,$AD26+#REF!)</f>
        <v>#REF!</v>
      </c>
      <c r="AZ26" s="172" t="e">
        <f>MIN(1,$AD26+#REF!)</f>
        <v>#REF!</v>
      </c>
      <c r="BA26" s="173"/>
      <c r="BB26" s="174" t="e">
        <f>$AL26</f>
        <v>#REF!</v>
      </c>
      <c r="BC26" s="172" t="e">
        <f>$AL26*#REF!</f>
        <v>#REF!</v>
      </c>
      <c r="BD26" s="172"/>
      <c r="BE26" s="172" t="e">
        <f>$AL26*#REF!</f>
        <v>#REF!</v>
      </c>
      <c r="BF26" s="172" t="e">
        <f>$AL26*#REF!</f>
        <v>#REF!</v>
      </c>
      <c r="BG26" s="172" t="e">
        <f>$AL26*#REF!</f>
        <v>#REF!</v>
      </c>
      <c r="BH26" s="172" t="e">
        <f>$AL26*#REF!</f>
        <v>#REF!</v>
      </c>
      <c r="BI26" s="175"/>
      <c r="BJ26" s="176">
        <f>AD26</f>
        <v>0</v>
      </c>
      <c r="BK26" s="172">
        <v>0.6</v>
      </c>
      <c r="BL26" s="172">
        <v>0.5</v>
      </c>
      <c r="BM26" s="172">
        <v>0.15</v>
      </c>
      <c r="BN26" s="173"/>
      <c r="BO26" s="174" t="e">
        <f>$AL26</f>
        <v>#REF!</v>
      </c>
      <c r="BP26" s="172" t="e">
        <f>BC26</f>
        <v>#REF!</v>
      </c>
      <c r="BQ26" s="172" t="e">
        <f>BF26</f>
        <v>#REF!</v>
      </c>
      <c r="BR26" s="172" t="e">
        <f t="shared" si="5"/>
        <v>#REF!</v>
      </c>
      <c r="BS26" s="178"/>
      <c r="BT26" s="179" t="e">
        <f>AL26</f>
        <v>#REF!</v>
      </c>
      <c r="BU26" s="182" t="e">
        <f>BT26</f>
        <v>#REF!</v>
      </c>
      <c r="BV26" s="182">
        <v>0.5</v>
      </c>
      <c r="BW26" s="182">
        <v>0.15</v>
      </c>
      <c r="BX26" s="169"/>
      <c r="BY26" s="180" t="e">
        <f>$AL26</f>
        <v>#REF!</v>
      </c>
      <c r="BZ26" s="177" t="e">
        <f t="shared" si="6"/>
        <v>#REF!</v>
      </c>
      <c r="CA26" s="177" t="e">
        <f t="shared" si="6"/>
        <v>#REF!</v>
      </c>
      <c r="CB26" s="177" t="e">
        <f t="shared" si="6"/>
        <v>#REF!</v>
      </c>
      <c r="CC26" s="178"/>
      <c r="CD26" s="179">
        <f t="shared" si="7"/>
        <v>0</v>
      </c>
      <c r="CE26" s="177" t="e">
        <f t="shared" si="7"/>
        <v>#REF!</v>
      </c>
      <c r="CF26" s="177" t="e">
        <f>AX26</f>
        <v>#REF!</v>
      </c>
      <c r="CG26" s="177" t="e">
        <f>AZ26</f>
        <v>#REF!</v>
      </c>
      <c r="CH26" s="169"/>
      <c r="CI26" s="180" t="e">
        <f>BB26</f>
        <v>#REF!</v>
      </c>
      <c r="CJ26" s="177" t="e">
        <f t="shared" si="8"/>
        <v>#REF!</v>
      </c>
      <c r="CK26" s="177" t="e">
        <f>BF26</f>
        <v>#REF!</v>
      </c>
      <c r="CL26" s="177" t="e">
        <f t="shared" si="9"/>
        <v>#REF!</v>
      </c>
      <c r="CM26" s="178"/>
      <c r="CN26" s="179">
        <f t="shared" si="10"/>
        <v>0</v>
      </c>
      <c r="CO26" s="177" t="e">
        <f t="shared" si="10"/>
        <v>#REF!</v>
      </c>
      <c r="CP26" s="177" t="e">
        <f>AX26</f>
        <v>#REF!</v>
      </c>
      <c r="CQ26" s="177" t="e">
        <f>AZ26</f>
        <v>#REF!</v>
      </c>
      <c r="CR26" s="169"/>
      <c r="CS26" s="180" t="e">
        <f>BB26</f>
        <v>#REF!</v>
      </c>
      <c r="CT26" s="177" t="e">
        <f t="shared" si="11"/>
        <v>#REF!</v>
      </c>
      <c r="CU26" s="177" t="e">
        <f>BF26</f>
        <v>#REF!</v>
      </c>
      <c r="CV26" s="177" t="e">
        <f t="shared" si="12"/>
        <v>#REF!</v>
      </c>
      <c r="CW26" s="178"/>
      <c r="CX26" s="179">
        <f t="shared" si="13"/>
        <v>0</v>
      </c>
      <c r="CY26" s="177">
        <f t="shared" si="13"/>
        <v>0.6</v>
      </c>
      <c r="CZ26" s="177">
        <f t="shared" si="13"/>
        <v>0.5</v>
      </c>
      <c r="DA26" s="177">
        <f t="shared" si="13"/>
        <v>0.15</v>
      </c>
      <c r="DB26" s="169"/>
      <c r="DC26" s="180" t="e">
        <f t="shared" si="14"/>
        <v>#REF!</v>
      </c>
      <c r="DD26" s="177" t="e">
        <f t="shared" si="14"/>
        <v>#REF!</v>
      </c>
      <c r="DE26" s="177" t="e">
        <f t="shared" si="14"/>
        <v>#REF!</v>
      </c>
      <c r="DF26" s="177" t="e">
        <f t="shared" si="14"/>
        <v>#REF!</v>
      </c>
      <c r="DG26" s="178"/>
    </row>
    <row r="27" spans="1:111" ht="15.7">
      <c r="A27" s="169" t="s">
        <v>420</v>
      </c>
      <c r="B27" s="165" t="s">
        <v>326</v>
      </c>
      <c r="C27" s="166" t="s">
        <v>113</v>
      </c>
      <c r="D27" s="167" t="s">
        <v>242</v>
      </c>
      <c r="E27" s="167" t="s">
        <v>255</v>
      </c>
      <c r="F27" s="207">
        <f>SUMIF($B$8:$B$11,$C27,$C$8:$C$11)</f>
        <v>5.3019294117647053</v>
      </c>
      <c r="G27" s="207">
        <f>SUMIF(AFA!$B$3:$AJ$3,E27,AFA!$B$4:$AJ$4)</f>
        <v>0.34810000000000002</v>
      </c>
      <c r="H27" s="207">
        <f>SUMIF($B$8:$B$11,$C27,$D$8:$D$11)</f>
        <v>9.6</v>
      </c>
      <c r="I27" s="168" t="s">
        <v>592</v>
      </c>
      <c r="J27" s="169"/>
      <c r="K27" s="204">
        <f t="shared" si="15"/>
        <v>3.9049999999999918E-2</v>
      </c>
      <c r="L27" s="168">
        <f>(SUMIFS(Energy_Balance!I$55:I$160,Energy_Balance!$C$55:$C$160,D27,Energy_Balance!$D$55:$D$160,E27))*K27</f>
        <v>0.20085780830574626</v>
      </c>
      <c r="M27" s="168">
        <f>F27*L27</f>
        <v>1.0649339214388331</v>
      </c>
      <c r="N27" s="170"/>
      <c r="O27" s="170"/>
      <c r="P27" s="170"/>
      <c r="Q27" s="170"/>
      <c r="R27" s="191">
        <f>100-R25-R26</f>
        <v>23.039999999999992</v>
      </c>
      <c r="S27" s="191">
        <f>100-S25-S26</f>
        <v>62.179000000000002</v>
      </c>
      <c r="T27" s="191">
        <f>1-T26</f>
        <v>1</v>
      </c>
      <c r="U27" s="191">
        <f>1-U26</f>
        <v>1</v>
      </c>
      <c r="V27" s="170"/>
      <c r="W27" s="170"/>
      <c r="X27" s="170"/>
      <c r="Y27" s="170"/>
      <c r="Z27" s="170"/>
      <c r="AA27" s="170"/>
      <c r="AB27" s="170"/>
      <c r="AC27" s="170"/>
      <c r="AD27" s="171">
        <f>IFERROR((M27/(SUMIF(RES!$D$39:$D$145,E27,$M$5:$M$217))),0)</f>
        <v>0</v>
      </c>
      <c r="AE27" s="172" t="e">
        <f>IF(#REF!=1,BK27,IF(#REF!=2,BU27,IF(#REF!=3,CE27,IF(#REF!=4,CO27,IF(#REF!=5,CY27,AU27)))))</f>
        <v>#REF!</v>
      </c>
      <c r="AG27" s="172" t="e">
        <f>IF(#REF!=1,BL27,IF(#REF!=2,BV27,IF(#REF!=3,CF27,IF(#REF!=4,CP27,IF(#REF!=5,CZ27,AW27)))))</f>
        <v>#REF!</v>
      </c>
      <c r="AH27" s="172" t="e">
        <f>IF(#REF!=1,BM27,IF(#REF!=2,BW27,IF(#REF!=3,CG27,IF(#REF!=4,CQ27,IF(#REF!=5,DA27,AX27)))))</f>
        <v>#REF!</v>
      </c>
      <c r="AI27" s="172" t="e">
        <f>IF(#REF!=1,BN27,IF(#REF!=2,BX27,IF(#REF!=3,CH27,IF(#REF!=4,CR27,IF(#REF!=5,DB27,AY27)))))</f>
        <v>#REF!</v>
      </c>
      <c r="AJ27" s="172" t="e">
        <f>IF(#REF!=1,BO27,IF(#REF!=2,BY27,IF(#REF!=3,CI27,IF(#REF!=4,CS27,IF(#REF!=5,DC27,AZ27)))))</f>
        <v>#REF!</v>
      </c>
      <c r="AK27" s="173"/>
      <c r="AL27" s="174" t="e">
        <f>AD27/(1+#REF!+#REF!)</f>
        <v>#REF!</v>
      </c>
      <c r="AM27" s="172" t="e">
        <f>IF(#REF!=1,BP27,IF(#REF!=2,BZ27,IF(#REF!=3,CJ27,IF(#REF!=4,CT27,IF(#REF!=5,DD27,BC27)))))</f>
        <v>#REF!</v>
      </c>
      <c r="AN27" s="172"/>
      <c r="AO27" s="172" t="e">
        <f>IF(#REF!=1,BQ27,IF(#REF!=2,CA27,IF(#REF!=3,CK27,IF(#REF!=4,CU27,IF(#REF!=5,DE27,BF27)))))</f>
        <v>#REF!</v>
      </c>
      <c r="AP27" s="172" t="e">
        <f>IF(#REF!=1,BQ27,IF(#REF!=2,CA27,IF(#REF!=3,CK27,IF(#REF!=4,CU27,IF(#REF!=5,DE27,BF27)))))</f>
        <v>#REF!</v>
      </c>
      <c r="AQ27" s="172" t="e">
        <f>IF(#REF!=1,BR27,IF(#REF!=2,CB27,IF(#REF!=3,CL27,IF(#REF!=4,CV27,IF(#REF!=5,DF27,BH27)))))</f>
        <v>#REF!</v>
      </c>
      <c r="AR27" s="172" t="e">
        <f>IF(#REF!=1,BR27,IF(#REF!=2,CB27,IF(#REF!=3,CL27,IF(#REF!=4,CV27,IF(#REF!=5,DF27,BH27)))))</f>
        <v>#REF!</v>
      </c>
      <c r="AS27" s="175"/>
      <c r="AT27" s="176">
        <f>$AD27</f>
        <v>0</v>
      </c>
      <c r="AU27" s="172" t="e">
        <f>MIN(1,$AD27+#REF!)</f>
        <v>#REF!</v>
      </c>
      <c r="AV27" s="172"/>
      <c r="AW27" s="172" t="e">
        <f>MIN(1,$AD27+#REF!)</f>
        <v>#REF!</v>
      </c>
      <c r="AX27" s="172" t="e">
        <f>MIN(1,$AD27+#REF!)</f>
        <v>#REF!</v>
      </c>
      <c r="AY27" s="172" t="e">
        <f>MIN(1,$AD27+#REF!)</f>
        <v>#REF!</v>
      </c>
      <c r="AZ27" s="172" t="e">
        <f>MIN(1,$AD27+#REF!)</f>
        <v>#REF!</v>
      </c>
      <c r="BA27" s="173"/>
      <c r="BB27" s="174" t="e">
        <f>$AL27</f>
        <v>#REF!</v>
      </c>
      <c r="BC27" s="172" t="e">
        <f>$AL27*#REF!</f>
        <v>#REF!</v>
      </c>
      <c r="BD27" s="172"/>
      <c r="BE27" s="172" t="e">
        <f>$AL27*#REF!</f>
        <v>#REF!</v>
      </c>
      <c r="BF27" s="172" t="e">
        <f>$AL27*#REF!</f>
        <v>#REF!</v>
      </c>
      <c r="BG27" s="172" t="e">
        <f>$AL27*#REF!</f>
        <v>#REF!</v>
      </c>
      <c r="BH27" s="172" t="e">
        <f>$AL27*#REF!</f>
        <v>#REF!</v>
      </c>
      <c r="BI27" s="175"/>
      <c r="BJ27" s="176">
        <f>AD27</f>
        <v>0</v>
      </c>
      <c r="BK27" s="172">
        <v>0.2</v>
      </c>
      <c r="BL27" s="172">
        <v>0.5</v>
      </c>
      <c r="BM27" s="172">
        <v>0.9</v>
      </c>
      <c r="BN27" s="173"/>
      <c r="BO27" s="174" t="e">
        <f>$AL27</f>
        <v>#REF!</v>
      </c>
      <c r="BP27" s="172" t="e">
        <f>BC27</f>
        <v>#REF!</v>
      </c>
      <c r="BQ27" s="172" t="e">
        <f>BF27</f>
        <v>#REF!</v>
      </c>
      <c r="BR27" s="172" t="e">
        <f t="shared" si="5"/>
        <v>#REF!</v>
      </c>
      <c r="BS27" s="178"/>
      <c r="BT27" s="179" t="e">
        <f>AL27</f>
        <v>#REF!</v>
      </c>
      <c r="BU27" s="182" t="e">
        <f>BT27</f>
        <v>#REF!</v>
      </c>
      <c r="BV27" s="182">
        <v>0.5</v>
      </c>
      <c r="BW27" s="182">
        <v>0.9</v>
      </c>
      <c r="BX27" s="169"/>
      <c r="BY27" s="180" t="e">
        <f>$AL27</f>
        <v>#REF!</v>
      </c>
      <c r="BZ27" s="177" t="e">
        <f t="shared" si="6"/>
        <v>#REF!</v>
      </c>
      <c r="CA27" s="177" t="e">
        <f t="shared" si="6"/>
        <v>#REF!</v>
      </c>
      <c r="CB27" s="177" t="e">
        <f t="shared" si="6"/>
        <v>#REF!</v>
      </c>
      <c r="CC27" s="178"/>
      <c r="CD27" s="179">
        <f t="shared" si="7"/>
        <v>0</v>
      </c>
      <c r="CE27" s="177" t="e">
        <f t="shared" si="7"/>
        <v>#REF!</v>
      </c>
      <c r="CF27" s="177" t="e">
        <f>AX27</f>
        <v>#REF!</v>
      </c>
      <c r="CG27" s="177" t="e">
        <f>AZ27</f>
        <v>#REF!</v>
      </c>
      <c r="CH27" s="169"/>
      <c r="CI27" s="180" t="e">
        <f>BB27</f>
        <v>#REF!</v>
      </c>
      <c r="CJ27" s="177" t="e">
        <f t="shared" si="8"/>
        <v>#REF!</v>
      </c>
      <c r="CK27" s="177" t="e">
        <f>BF27</f>
        <v>#REF!</v>
      </c>
      <c r="CL27" s="177" t="e">
        <f t="shared" si="9"/>
        <v>#REF!</v>
      </c>
      <c r="CM27" s="178"/>
      <c r="CN27" s="179">
        <f t="shared" si="10"/>
        <v>0</v>
      </c>
      <c r="CO27" s="177" t="e">
        <f t="shared" si="10"/>
        <v>#REF!</v>
      </c>
      <c r="CP27" s="177" t="e">
        <f>AX27</f>
        <v>#REF!</v>
      </c>
      <c r="CQ27" s="177" t="e">
        <f>AZ27</f>
        <v>#REF!</v>
      </c>
      <c r="CR27" s="169"/>
      <c r="CS27" s="180" t="e">
        <f>BB27</f>
        <v>#REF!</v>
      </c>
      <c r="CT27" s="177" t="e">
        <f t="shared" si="11"/>
        <v>#REF!</v>
      </c>
      <c r="CU27" s="177" t="e">
        <f>BF27</f>
        <v>#REF!</v>
      </c>
      <c r="CV27" s="177" t="e">
        <f t="shared" si="12"/>
        <v>#REF!</v>
      </c>
      <c r="CW27" s="178"/>
      <c r="CX27" s="179">
        <f t="shared" si="13"/>
        <v>0</v>
      </c>
      <c r="CY27" s="177">
        <f t="shared" si="13"/>
        <v>0.2</v>
      </c>
      <c r="CZ27" s="177">
        <f t="shared" si="13"/>
        <v>0.5</v>
      </c>
      <c r="DA27" s="177">
        <f t="shared" si="13"/>
        <v>0.9</v>
      </c>
      <c r="DB27" s="169"/>
      <c r="DC27" s="180" t="e">
        <f t="shared" si="14"/>
        <v>#REF!</v>
      </c>
      <c r="DD27" s="177" t="e">
        <f t="shared" si="14"/>
        <v>#REF!</v>
      </c>
      <c r="DE27" s="177" t="e">
        <f t="shared" si="14"/>
        <v>#REF!</v>
      </c>
      <c r="DF27" s="177" t="e">
        <f t="shared" si="14"/>
        <v>#REF!</v>
      </c>
      <c r="DG27" s="178">
        <f>ROW()</f>
        <v>27</v>
      </c>
    </row>
    <row r="28" spans="1:111">
      <c r="B28" s="108" t="s">
        <v>120</v>
      </c>
      <c r="C28" s="30" t="s">
        <v>334</v>
      </c>
      <c r="D28" s="43"/>
      <c r="E28" s="43"/>
      <c r="F28" s="207" t="str">
        <f>IF($D28="","",SUMIF(#REF!,$B28,#REF!))</f>
        <v/>
      </c>
      <c r="G28" s="207" t="str">
        <f>IF($D28="","",SUMIF(#REF!,$B28,#REF!))</f>
        <v/>
      </c>
      <c r="H28" s="207" t="str">
        <f>IF($D28="","",SUMIF(#REF!,$B28,#REF!))</f>
        <v/>
      </c>
      <c r="I28" s="40" t="str">
        <f>IFERROR((M28/G28*(1+#REF!))," ")</f>
        <v xml:space="preserve"> </v>
      </c>
      <c r="K28" s="205"/>
      <c r="L28" s="40"/>
      <c r="M28" s="40"/>
      <c r="AD28" s="135"/>
      <c r="AE28" s="136"/>
      <c r="AG28" s="136"/>
      <c r="AH28" s="136"/>
      <c r="AI28" s="136"/>
      <c r="AJ28" s="136"/>
      <c r="AK28" s="21"/>
      <c r="AL28" s="137"/>
      <c r="AM28" s="136"/>
      <c r="AN28" s="136"/>
      <c r="AO28" s="136"/>
      <c r="AP28" s="136"/>
      <c r="AQ28" s="136"/>
      <c r="AR28" s="136"/>
      <c r="AS28" s="125"/>
      <c r="AT28" s="138"/>
      <c r="AU28" s="140"/>
      <c r="AV28" s="140"/>
      <c r="AW28" s="140"/>
      <c r="AX28" s="140"/>
      <c r="AY28" s="140"/>
      <c r="AZ28" s="140"/>
      <c r="BA28" s="21"/>
      <c r="BB28" s="139"/>
      <c r="BC28" s="140"/>
      <c r="BD28" s="140"/>
      <c r="BE28" s="140"/>
      <c r="BF28" s="140"/>
      <c r="BG28" s="140"/>
      <c r="BH28" s="140"/>
      <c r="BI28" s="125"/>
      <c r="BJ28" s="138"/>
      <c r="BK28" s="140"/>
      <c r="BL28" s="140"/>
      <c r="BM28" s="140"/>
      <c r="BN28" s="21"/>
      <c r="BO28" s="139"/>
      <c r="BP28" s="140"/>
      <c r="BQ28" s="66"/>
      <c r="BR28" s="66"/>
      <c r="BS28" s="54"/>
      <c r="BT28" s="145"/>
      <c r="BU28" s="66"/>
      <c r="BV28" s="66"/>
      <c r="BW28" s="66"/>
      <c r="BY28" s="119"/>
      <c r="BZ28" s="66"/>
      <c r="CA28" s="66"/>
      <c r="CB28" s="66"/>
      <c r="CC28" s="54"/>
      <c r="CD28" s="145"/>
      <c r="CE28" s="66"/>
      <c r="CF28" s="66"/>
      <c r="CG28" s="66"/>
      <c r="CI28" s="119"/>
      <c r="CJ28" s="66"/>
      <c r="CK28" s="66"/>
      <c r="CL28" s="66"/>
      <c r="CM28" s="54"/>
      <c r="CN28" s="145"/>
      <c r="CO28" s="66"/>
      <c r="CP28" s="66"/>
      <c r="CQ28" s="66"/>
      <c r="CS28" s="119"/>
      <c r="CT28" s="66"/>
      <c r="CU28" s="66"/>
      <c r="CV28" s="66"/>
      <c r="CW28" s="54"/>
      <c r="CX28" s="145"/>
      <c r="CY28" s="66"/>
      <c r="CZ28" s="66"/>
      <c r="DA28" s="66"/>
      <c r="DC28" s="119"/>
      <c r="DD28" s="66"/>
      <c r="DE28" s="66"/>
      <c r="DF28" s="66"/>
      <c r="DG28" s="54"/>
    </row>
    <row r="29" spans="1:111" ht="15.7">
      <c r="A29" s="166" t="s">
        <v>354</v>
      </c>
      <c r="B29" s="165" t="s">
        <v>327</v>
      </c>
      <c r="C29" s="166" t="s">
        <v>177</v>
      </c>
      <c r="D29" s="167" t="s">
        <v>242</v>
      </c>
      <c r="E29" s="43" t="s">
        <v>261</v>
      </c>
      <c r="F29" s="207">
        <f>SUMIF($B$8:$B$11,$C29,$C$8:$C$11)</f>
        <v>1</v>
      </c>
      <c r="G29" s="207">
        <f>SUMIF(AFA!$B$3:$AJ$3,E29,AFA!$B$4:$AJ$4)</f>
        <v>0.34810000000000002</v>
      </c>
      <c r="H29" s="207">
        <f>SUMIF($B$8:$B$11,$C29,$D$8:$D$11)</f>
        <v>1</v>
      </c>
      <c r="I29" s="168" t="s">
        <v>592</v>
      </c>
      <c r="J29" s="169" t="e">
        <f>($F29*0.2+$F30*0.8+$F31*0)*(SUMIFS(Energy_Balance!#REF!,Energy_Balance!$C$55:$C$160,D29,Energy_Balance!$D$55:$D$160,E29))*SUM(K29:K31)</f>
        <v>#REF!</v>
      </c>
      <c r="K29" s="205">
        <f>H8</f>
        <v>0.19964000000000001</v>
      </c>
      <c r="L29" s="168">
        <f>(SUMIFS(Energy_Balance!I$55:I$160,Energy_Balance!$C$55:$C$160,D29,Energy_Balance!$D$55:$D$160,E29))*K29</f>
        <v>1.0560685420660481</v>
      </c>
      <c r="M29" s="168">
        <f>F29*L29</f>
        <v>1.0560685420660481</v>
      </c>
      <c r="N29" s="190">
        <f>(SUMIFS(Energy_Balance!I$55:I$160,Energy_Balance!$C$55:$C$160,D29,Energy_Balance!$D$55:$D$160,E29))*SUM(K29:K31)</f>
        <v>5.2898644663697052</v>
      </c>
      <c r="O29" s="190">
        <f>($F29*K29+$F30*K30+$F31*K31)/SUM(K29:K31)</f>
        <v>3.3225736255686273</v>
      </c>
      <c r="P29" s="190">
        <f>N29*O29</f>
        <v>17.575964158792644</v>
      </c>
      <c r="Q29" s="191">
        <f>IFERROR((P29/$G29)," ")</f>
        <v>50.491135187568638</v>
      </c>
      <c r="R29" s="191">
        <f>R25</f>
        <v>19.96</v>
      </c>
      <c r="S29" s="191">
        <f t="shared" ref="S29:U29" si="16">S25</f>
        <v>4.9909999999999997</v>
      </c>
      <c r="T29" s="191">
        <f t="shared" si="16"/>
        <v>0</v>
      </c>
      <c r="U29" s="191">
        <f t="shared" si="16"/>
        <v>0</v>
      </c>
      <c r="V29" s="190">
        <f>($F29*R29+$F30*R30+$F31*R31)/SUM(R29:R31)</f>
        <v>3.5618185364705877</v>
      </c>
      <c r="W29" s="190">
        <f t="shared" ref="W29:Y29" si="17">($F29*S29+$F30*S30+$F31*S31)/SUM(S29:S31)</f>
        <v>4.579538282274509</v>
      </c>
      <c r="X29" s="190">
        <f t="shared" si="17"/>
        <v>5.3019294117647053</v>
      </c>
      <c r="Y29" s="190">
        <f t="shared" si="17"/>
        <v>5.3019294117647053</v>
      </c>
      <c r="Z29" s="190" t="s">
        <v>592</v>
      </c>
      <c r="AA29" s="190" t="s">
        <v>592</v>
      </c>
      <c r="AB29" s="190" t="s">
        <v>592</v>
      </c>
      <c r="AC29" s="190" t="s">
        <v>592</v>
      </c>
      <c r="AD29" s="171">
        <f>IFERROR((M29/(SUMIF(RES!$D$39:$D$145,E29,$M$4:$M$202))),0)</f>
        <v>0</v>
      </c>
      <c r="AE29" s="172">
        <v>1</v>
      </c>
      <c r="AG29" s="172">
        <v>1</v>
      </c>
      <c r="AH29" s="172">
        <v>1</v>
      </c>
      <c r="AI29" s="172">
        <v>1</v>
      </c>
      <c r="AJ29" s="172">
        <v>1</v>
      </c>
      <c r="AK29" s="173"/>
      <c r="AL29" s="174" t="e">
        <f>AD29/(1+#REF!+#REF!)</f>
        <v>#REF!</v>
      </c>
      <c r="AM29" s="172">
        <v>1</v>
      </c>
      <c r="AN29" s="172"/>
      <c r="AO29" s="172">
        <v>1</v>
      </c>
      <c r="AP29" s="172">
        <v>1</v>
      </c>
      <c r="AQ29" s="172">
        <v>1</v>
      </c>
      <c r="AR29" s="172">
        <v>1</v>
      </c>
      <c r="AS29" s="175"/>
      <c r="AT29" s="176">
        <f>$AD29</f>
        <v>0</v>
      </c>
      <c r="AU29" s="172">
        <f>1+$AD$24</f>
        <v>1.0009999999999999</v>
      </c>
      <c r="AV29" s="172"/>
      <c r="AW29" s="172">
        <v>1</v>
      </c>
      <c r="AX29" s="172">
        <v>1</v>
      </c>
      <c r="AY29" s="172">
        <v>1</v>
      </c>
      <c r="AZ29" s="172">
        <v>1</v>
      </c>
      <c r="BA29" s="173"/>
      <c r="BB29" s="174" t="e">
        <f>$AL29</f>
        <v>#REF!</v>
      </c>
      <c r="BC29" s="172">
        <f>1-$AD$24</f>
        <v>0.999</v>
      </c>
      <c r="BD29" s="172"/>
      <c r="BE29" s="172">
        <f>1-$AD$24</f>
        <v>0.999</v>
      </c>
      <c r="BF29" s="172">
        <f>1-$AD$24</f>
        <v>0.999</v>
      </c>
      <c r="BG29" s="172">
        <f>1-$AD$24</f>
        <v>0.999</v>
      </c>
      <c r="BH29" s="172">
        <f>1-$AD$24</f>
        <v>0.999</v>
      </c>
      <c r="BI29" s="175"/>
      <c r="BJ29" s="176">
        <f>AD29</f>
        <v>0</v>
      </c>
      <c r="BK29" s="172" t="e">
        <f>MIN(1,$AD29+#REF!)</f>
        <v>#REF!</v>
      </c>
      <c r="BL29" s="172" t="e">
        <f>MIN(1,$AD29+#REF!)</f>
        <v>#REF!</v>
      </c>
      <c r="BM29" s="172" t="e">
        <f>MIN(1,$AD29+#REF!)</f>
        <v>#REF!</v>
      </c>
      <c r="BN29" s="173"/>
      <c r="BO29" s="174" t="e">
        <f>$AL29</f>
        <v>#REF!</v>
      </c>
      <c r="BP29" s="172" t="e">
        <f>$AL29*#REF!</f>
        <v>#REF!</v>
      </c>
      <c r="BQ29" s="177" t="e">
        <f>$AL29*#REF!</f>
        <v>#REF!</v>
      </c>
      <c r="BR29" s="177" t="e">
        <f>$AL29*#REF!</f>
        <v>#REF!</v>
      </c>
      <c r="BS29" s="178"/>
      <c r="BT29" s="179" t="e">
        <f>AL29</f>
        <v>#REF!</v>
      </c>
      <c r="BU29" s="177" t="e">
        <f>IF(BX30,MIN(1,$AD29+#REF!),MIN(1,$AD29+#REF!))</f>
        <v>#REF!</v>
      </c>
      <c r="BV29" s="177" t="e">
        <f>IF(BX30,MIN(1,$AD29+#REF!),MIN(1,$AD29+#REF!))</f>
        <v>#REF!</v>
      </c>
      <c r="BW29" s="177" t="e">
        <f>IF(BX30,MIN(1,$AD29+#REF!),MIN(1,$AD29+#REF!))</f>
        <v>#REF!</v>
      </c>
      <c r="BX29" s="169"/>
      <c r="BY29" s="180" t="e">
        <f>$AL29</f>
        <v>#REF!</v>
      </c>
      <c r="BZ29" s="177" t="e">
        <f>IF(BX29,$AL29*#REF!,$AL29*#REF!)</f>
        <v>#REF!</v>
      </c>
      <c r="CA29" s="177" t="e">
        <f>IF(BX29,$AL29*#REF!,$AL29*#REF!)</f>
        <v>#REF!</v>
      </c>
      <c r="CB29" s="177" t="e">
        <f>IF(BX29,$AL29*#REF!,$AL29*#REF!)</f>
        <v>#REF!</v>
      </c>
      <c r="CC29" s="178"/>
      <c r="CD29" s="179">
        <f t="shared" ref="CD29:CE31" si="18">AT29</f>
        <v>0</v>
      </c>
      <c r="CE29" s="177">
        <f t="shared" si="18"/>
        <v>1.0009999999999999</v>
      </c>
      <c r="CF29" s="177">
        <f>AX29</f>
        <v>1</v>
      </c>
      <c r="CG29" s="177">
        <f>AZ29</f>
        <v>1</v>
      </c>
      <c r="CH29" s="169"/>
      <c r="CI29" s="180" t="e">
        <f>BB29</f>
        <v>#REF!</v>
      </c>
      <c r="CJ29" s="177">
        <f t="shared" ref="CJ29:CJ31" si="19">BC29</f>
        <v>0.999</v>
      </c>
      <c r="CK29" s="177">
        <f>BF29</f>
        <v>0.999</v>
      </c>
      <c r="CL29" s="177">
        <f t="shared" ref="CL29:CL31" si="20">BH29</f>
        <v>0.999</v>
      </c>
      <c r="CM29" s="178"/>
      <c r="CN29" s="179">
        <f t="shared" ref="CN29:CO31" si="21">AT29</f>
        <v>0</v>
      </c>
      <c r="CO29" s="177">
        <f t="shared" si="21"/>
        <v>1.0009999999999999</v>
      </c>
      <c r="CP29" s="177">
        <f>AX29</f>
        <v>1</v>
      </c>
      <c r="CQ29" s="177">
        <f>AZ29</f>
        <v>1</v>
      </c>
      <c r="CR29" s="169"/>
      <c r="CS29" s="180" t="e">
        <f>BB29</f>
        <v>#REF!</v>
      </c>
      <c r="CT29" s="177">
        <f t="shared" ref="CT29:CT31" si="22">BC29</f>
        <v>0.999</v>
      </c>
      <c r="CU29" s="177">
        <f>BF29</f>
        <v>0.999</v>
      </c>
      <c r="CV29" s="177">
        <f t="shared" ref="CV29:CV31" si="23">BH29</f>
        <v>0.999</v>
      </c>
      <c r="CW29" s="178"/>
      <c r="CX29" s="179">
        <f>BJ29</f>
        <v>0</v>
      </c>
      <c r="CY29" s="177">
        <f t="shared" ref="CY29:DA31" si="24">CE29</f>
        <v>1.0009999999999999</v>
      </c>
      <c r="CZ29" s="177">
        <f t="shared" si="24"/>
        <v>1</v>
      </c>
      <c r="DA29" s="177">
        <f t="shared" si="24"/>
        <v>1</v>
      </c>
      <c r="DB29" s="169"/>
      <c r="DC29" s="180" t="e">
        <f t="shared" ref="DC29:DF31" si="25">BO29</f>
        <v>#REF!</v>
      </c>
      <c r="DD29" s="177" t="e">
        <f t="shared" si="25"/>
        <v>#REF!</v>
      </c>
      <c r="DE29" s="177" t="e">
        <f t="shared" si="25"/>
        <v>#REF!</v>
      </c>
      <c r="DF29" s="177" t="e">
        <f t="shared" si="25"/>
        <v>#REF!</v>
      </c>
      <c r="DG29" s="178"/>
    </row>
    <row r="30" spans="1:111" ht="15.7">
      <c r="A30" s="169"/>
      <c r="B30" s="165" t="s">
        <v>328</v>
      </c>
      <c r="C30" s="166" t="s">
        <v>56</v>
      </c>
      <c r="D30" s="167" t="s">
        <v>242</v>
      </c>
      <c r="E30" s="43" t="s">
        <v>261</v>
      </c>
      <c r="F30" s="207">
        <f t="shared" ref="F30:F31" si="26">SUMIF($B$8:$B$11,$C30,$C$8:$C$11)</f>
        <v>3.7555333333333332</v>
      </c>
      <c r="G30" s="207">
        <f>SUMIF(AFA!$B$3:$AJ$3,E30,AFA!$B$4:$AJ$4)</f>
        <v>0.34810000000000002</v>
      </c>
      <c r="H30" s="207">
        <f>SUMIF($B$8:$B$11,$C30,$D$8:$D$11)</f>
        <v>4.9000000000000004</v>
      </c>
      <c r="I30" s="168" t="s">
        <v>592</v>
      </c>
      <c r="J30" s="169"/>
      <c r="K30" s="205">
        <f>H9</f>
        <v>0.72459999999999991</v>
      </c>
      <c r="L30" s="168">
        <f>(SUMIFS(Energy_Balance!I$55:I$160,Energy_Balance!$C$55:$C$160,D30,Energy_Balance!$D$55:$D$160,E30))*K30</f>
        <v>3.8330357923314877</v>
      </c>
      <c r="M30" s="168">
        <f>F30*L30</f>
        <v>14.395093685960646</v>
      </c>
      <c r="N30" s="170"/>
      <c r="O30" s="170"/>
      <c r="P30" s="170"/>
      <c r="Q30" s="170"/>
      <c r="R30" s="191">
        <f t="shared" ref="R30:U30" si="27">R26</f>
        <v>57</v>
      </c>
      <c r="S30" s="191">
        <f t="shared" si="27"/>
        <v>32.83</v>
      </c>
      <c r="T30" s="191">
        <f t="shared" si="27"/>
        <v>0</v>
      </c>
      <c r="U30" s="191">
        <f t="shared" si="27"/>
        <v>0</v>
      </c>
      <c r="V30" s="170"/>
      <c r="W30" s="170"/>
      <c r="X30" s="170"/>
      <c r="Y30" s="170"/>
      <c r="Z30" s="170"/>
      <c r="AA30" s="170"/>
      <c r="AB30" s="170"/>
      <c r="AC30" s="170"/>
      <c r="AD30" s="171">
        <f>IFERROR((M30/(SUMIF(RES!$D$39:$D$145,E30,$M$4:$M$202))),0)</f>
        <v>0</v>
      </c>
      <c r="AE30" s="172" t="e">
        <f>IF(#REF!=1,BK30,IF(#REF!=2,BU30,IF(#REF!=3,CE30,IF(#REF!=4,CO30,IF(#REF!=5,CY30,AU30)))))</f>
        <v>#REF!</v>
      </c>
      <c r="AG30" s="172" t="e">
        <f>IF(#REF!=1,BL30,IF(#REF!=2,BV30,IF(#REF!=3,CF30,IF(#REF!=4,CP30,IF(#REF!=5,CZ30,AW30)))))</f>
        <v>#REF!</v>
      </c>
      <c r="AH30" s="172" t="e">
        <f>IF(#REF!=1,BM30,IF(#REF!=2,BW30,IF(#REF!=3,CG30,IF(#REF!=4,CQ30,IF(#REF!=5,DA30,AX30)))))</f>
        <v>#REF!</v>
      </c>
      <c r="AI30" s="172" t="e">
        <f>IF(#REF!=1,BN30,IF(#REF!=2,BX30,IF(#REF!=3,CH30,IF(#REF!=4,CR30,IF(#REF!=5,DB30,AY30)))))</f>
        <v>#REF!</v>
      </c>
      <c r="AJ30" s="172" t="e">
        <f>IF(#REF!=1,BO30,IF(#REF!=2,BY30,IF(#REF!=3,CI30,IF(#REF!=4,CS30,IF(#REF!=5,DC30,AZ30)))))</f>
        <v>#REF!</v>
      </c>
      <c r="AK30" s="173"/>
      <c r="AL30" s="174" t="e">
        <f>AD30/(1+#REF!+#REF!)</f>
        <v>#REF!</v>
      </c>
      <c r="AM30" s="172" t="e">
        <f>IF(#REF!=1,BP30,IF(#REF!=2,BZ30,IF(#REF!=3,CJ30,IF(#REF!=4,CT30,IF(#REF!=5,DD30,BC30)))))</f>
        <v>#REF!</v>
      </c>
      <c r="AN30" s="172"/>
      <c r="AO30" s="172" t="e">
        <f>IF(#REF!=1,BQ30,IF(#REF!=2,CA30,IF(#REF!=3,CK30,IF(#REF!=4,CU30,IF(#REF!=5,DE30,BF30)))))</f>
        <v>#REF!</v>
      </c>
      <c r="AP30" s="172" t="e">
        <f>IF(#REF!=1,BQ30,IF(#REF!=2,CA30,IF(#REF!=3,CK30,IF(#REF!=4,CU30,IF(#REF!=5,DE30,BF30)))))</f>
        <v>#REF!</v>
      </c>
      <c r="AQ30" s="172" t="e">
        <f>IF(#REF!=1,BR30,IF(#REF!=2,CB30,IF(#REF!=3,CL30,IF(#REF!=4,CV30,IF(#REF!=5,DF30,BH30)))))</f>
        <v>#REF!</v>
      </c>
      <c r="AR30" s="172" t="e">
        <f>IF(#REF!=1,BR30,IF(#REF!=2,CB30,IF(#REF!=3,CL30,IF(#REF!=4,CV30,IF(#REF!=5,DF30,BH30)))))</f>
        <v>#REF!</v>
      </c>
      <c r="AS30" s="175"/>
      <c r="AT30" s="176">
        <f>$AD30</f>
        <v>0</v>
      </c>
      <c r="AU30" s="172" t="e">
        <f>#REF!</f>
        <v>#REF!</v>
      </c>
      <c r="AV30" s="172"/>
      <c r="AW30" s="172" t="e">
        <f>#REF!</f>
        <v>#REF!</v>
      </c>
      <c r="AX30" s="172" t="e">
        <f>#REF!</f>
        <v>#REF!</v>
      </c>
      <c r="AY30" s="172" t="e">
        <f>#REF!</f>
        <v>#REF!</v>
      </c>
      <c r="AZ30" s="172" t="e">
        <f>#REF!</f>
        <v>#REF!</v>
      </c>
      <c r="BA30" s="173"/>
      <c r="BB30" s="174" t="e">
        <f>$AL30</f>
        <v>#REF!</v>
      </c>
      <c r="BC30" s="172" t="e">
        <f>$AL30*#REF!</f>
        <v>#REF!</v>
      </c>
      <c r="BD30" s="172"/>
      <c r="BE30" s="172" t="e">
        <f>$AL30*#REF!</f>
        <v>#REF!</v>
      </c>
      <c r="BF30" s="172" t="e">
        <f>$AL30*#REF!</f>
        <v>#REF!</v>
      </c>
      <c r="BG30" s="172" t="e">
        <f>$AL30*#REF!</f>
        <v>#REF!</v>
      </c>
      <c r="BH30" s="172" t="e">
        <f>$AL30*#REF!</f>
        <v>#REF!</v>
      </c>
      <c r="BI30" s="175"/>
      <c r="BJ30" s="176">
        <f>AD30</f>
        <v>0</v>
      </c>
      <c r="BK30" s="172" t="e">
        <f>AU30</f>
        <v>#REF!</v>
      </c>
      <c r="BL30" s="172" t="e">
        <f>AX30</f>
        <v>#REF!</v>
      </c>
      <c r="BM30" s="172" t="e">
        <f>AZ30</f>
        <v>#REF!</v>
      </c>
      <c r="BN30" s="173"/>
      <c r="BO30" s="174" t="e">
        <f>$AL30</f>
        <v>#REF!</v>
      </c>
      <c r="BP30" s="172" t="e">
        <f>BC30</f>
        <v>#REF!</v>
      </c>
      <c r="BQ30" s="172" t="e">
        <f>BF30</f>
        <v>#REF!</v>
      </c>
      <c r="BR30" s="172" t="e">
        <f t="shared" ref="BR30:BR31" si="28">BH30</f>
        <v>#REF!</v>
      </c>
      <c r="BS30" s="181"/>
      <c r="BT30" s="179" t="e">
        <f>AL30</f>
        <v>#REF!</v>
      </c>
      <c r="BU30" s="177" t="e">
        <f t="shared" ref="BU30:BW31" si="29">BK30</f>
        <v>#REF!</v>
      </c>
      <c r="BV30" s="177" t="e">
        <f t="shared" si="29"/>
        <v>#REF!</v>
      </c>
      <c r="BW30" s="177" t="e">
        <f t="shared" si="29"/>
        <v>#REF!</v>
      </c>
      <c r="BX30" s="169"/>
      <c r="BY30" s="180" t="e">
        <f>$AL30</f>
        <v>#REF!</v>
      </c>
      <c r="BZ30" s="177" t="e">
        <f t="shared" ref="BZ30:CB31" si="30">BP30</f>
        <v>#REF!</v>
      </c>
      <c r="CA30" s="177" t="e">
        <f t="shared" si="30"/>
        <v>#REF!</v>
      </c>
      <c r="CB30" s="177" t="e">
        <f t="shared" si="30"/>
        <v>#REF!</v>
      </c>
      <c r="CC30" s="178"/>
      <c r="CD30" s="179">
        <f t="shared" si="18"/>
        <v>0</v>
      </c>
      <c r="CE30" s="177" t="e">
        <f t="shared" si="18"/>
        <v>#REF!</v>
      </c>
      <c r="CF30" s="177" t="e">
        <f>AX30</f>
        <v>#REF!</v>
      </c>
      <c r="CG30" s="177" t="e">
        <f>AZ30</f>
        <v>#REF!</v>
      </c>
      <c r="CH30" s="169"/>
      <c r="CI30" s="180" t="e">
        <f>BB30</f>
        <v>#REF!</v>
      </c>
      <c r="CJ30" s="177" t="e">
        <f t="shared" si="19"/>
        <v>#REF!</v>
      </c>
      <c r="CK30" s="177" t="e">
        <f>BF30</f>
        <v>#REF!</v>
      </c>
      <c r="CL30" s="177" t="e">
        <f t="shared" si="20"/>
        <v>#REF!</v>
      </c>
      <c r="CM30" s="178"/>
      <c r="CN30" s="179">
        <f t="shared" si="21"/>
        <v>0</v>
      </c>
      <c r="CO30" s="177" t="e">
        <f t="shared" si="21"/>
        <v>#REF!</v>
      </c>
      <c r="CP30" s="177" t="e">
        <f>AX30</f>
        <v>#REF!</v>
      </c>
      <c r="CQ30" s="177" t="e">
        <f>AZ30</f>
        <v>#REF!</v>
      </c>
      <c r="CR30" s="169"/>
      <c r="CS30" s="180" t="e">
        <f>BB30</f>
        <v>#REF!</v>
      </c>
      <c r="CT30" s="177" t="e">
        <f t="shared" si="22"/>
        <v>#REF!</v>
      </c>
      <c r="CU30" s="177" t="e">
        <f>BF30</f>
        <v>#REF!</v>
      </c>
      <c r="CV30" s="177" t="e">
        <f t="shared" si="23"/>
        <v>#REF!</v>
      </c>
      <c r="CW30" s="178"/>
      <c r="CX30" s="179">
        <f>BJ30</f>
        <v>0</v>
      </c>
      <c r="CY30" s="177" t="e">
        <f t="shared" si="24"/>
        <v>#REF!</v>
      </c>
      <c r="CZ30" s="177" t="e">
        <f t="shared" si="24"/>
        <v>#REF!</v>
      </c>
      <c r="DA30" s="177" t="e">
        <f t="shared" si="24"/>
        <v>#REF!</v>
      </c>
      <c r="DB30" s="169"/>
      <c r="DC30" s="180" t="e">
        <f t="shared" si="25"/>
        <v>#REF!</v>
      </c>
      <c r="DD30" s="177" t="e">
        <f t="shared" si="25"/>
        <v>#REF!</v>
      </c>
      <c r="DE30" s="177" t="e">
        <f t="shared" si="25"/>
        <v>#REF!</v>
      </c>
      <c r="DF30" s="177" t="e">
        <f t="shared" si="25"/>
        <v>#REF!</v>
      </c>
      <c r="DG30" s="178"/>
    </row>
    <row r="31" spans="1:111" ht="15.7">
      <c r="A31" s="169"/>
      <c r="B31" s="165" t="s">
        <v>329</v>
      </c>
      <c r="C31" s="166" t="s">
        <v>113</v>
      </c>
      <c r="D31" s="167" t="s">
        <v>242</v>
      </c>
      <c r="E31" s="43" t="s">
        <v>261</v>
      </c>
      <c r="F31" s="207">
        <f t="shared" si="26"/>
        <v>5.3019294117647053</v>
      </c>
      <c r="G31" s="207">
        <f>SUMIF(AFA!$B$3:$AJ$3,E31,AFA!$B$4:$AJ$4)</f>
        <v>0.34810000000000002</v>
      </c>
      <c r="H31" s="207">
        <f>SUMIF($B$8:$B$11,$C31,$D$8:$D$11)</f>
        <v>9.6</v>
      </c>
      <c r="I31" s="168" t="s">
        <v>592</v>
      </c>
      <c r="J31" s="169"/>
      <c r="K31" s="205">
        <f>H10</f>
        <v>7.576000000000005E-2</v>
      </c>
      <c r="L31" s="168">
        <f>(SUMIFS(Energy_Balance!I$55:I$160,Energy_Balance!$C$55:$C$160,D31,Energy_Balance!$D$55:$D$160,E31))*K31</f>
        <v>0.40076013197216914</v>
      </c>
      <c r="M31" s="168">
        <f>F31*L31</f>
        <v>2.1248019307659485</v>
      </c>
      <c r="N31" s="170"/>
      <c r="O31" s="170"/>
      <c r="P31" s="170"/>
      <c r="Q31" s="170"/>
      <c r="R31" s="191">
        <f t="shared" ref="R31:U31" si="31">R27</f>
        <v>23.039999999999992</v>
      </c>
      <c r="S31" s="191">
        <f t="shared" si="31"/>
        <v>62.179000000000002</v>
      </c>
      <c r="T31" s="191">
        <f t="shared" si="31"/>
        <v>1</v>
      </c>
      <c r="U31" s="191">
        <f t="shared" si="31"/>
        <v>1</v>
      </c>
      <c r="V31" s="170"/>
      <c r="W31" s="170"/>
      <c r="X31" s="170"/>
      <c r="Y31" s="170"/>
      <c r="Z31" s="170"/>
      <c r="AA31" s="170"/>
      <c r="AB31" s="170"/>
      <c r="AC31" s="170"/>
      <c r="AD31" s="171">
        <f>IFERROR((M31/(SUMIF(RES!$D$39:$D$145,E31,$M$4:$M$202))),0)</f>
        <v>0</v>
      </c>
      <c r="AE31" s="172" t="e">
        <f>IF(#REF!=1,BK31,IF(#REF!=2,BU31,IF(#REF!=3,CE31,IF(#REF!=4,CO31,IF(#REF!=5,CY31,AU31)))))</f>
        <v>#REF!</v>
      </c>
      <c r="AG31" s="172" t="e">
        <f>IF(#REF!=1,BL31,IF(#REF!=2,BV31,IF(#REF!=3,CF31,IF(#REF!=4,CP31,IF(#REF!=5,CZ31,AW31)))))</f>
        <v>#REF!</v>
      </c>
      <c r="AH31" s="172" t="e">
        <f>IF(#REF!=1,BM31,IF(#REF!=2,BW31,IF(#REF!=3,CG31,IF(#REF!=4,CQ31,IF(#REF!=5,DA31,AX31)))))</f>
        <v>#REF!</v>
      </c>
      <c r="AI31" s="172" t="e">
        <f>IF(#REF!=1,BN31,IF(#REF!=2,BX31,IF(#REF!=3,CH31,IF(#REF!=4,CR31,IF(#REF!=5,DB31,AY31)))))</f>
        <v>#REF!</v>
      </c>
      <c r="AJ31" s="172" t="e">
        <f>IF(#REF!=1,BO31,IF(#REF!=2,BY31,IF(#REF!=3,CI31,IF(#REF!=4,CS31,IF(#REF!=5,DC31,AZ31)))))</f>
        <v>#REF!</v>
      </c>
      <c r="AK31" s="173"/>
      <c r="AL31" s="174" t="e">
        <f>AD31/(1+#REF!+#REF!)</f>
        <v>#REF!</v>
      </c>
      <c r="AM31" s="172" t="e">
        <f>IF(#REF!=1,BP31,IF(#REF!=2,BZ31,IF(#REF!=3,CJ31,IF(#REF!=4,CT31,IF(#REF!=5,DD31,BC31)))))</f>
        <v>#REF!</v>
      </c>
      <c r="AN31" s="172"/>
      <c r="AO31" s="172" t="e">
        <f>IF(#REF!=1,BQ31,IF(#REF!=2,CA31,IF(#REF!=3,CK31,IF(#REF!=4,CU31,IF(#REF!=5,DE31,BF31)))))</f>
        <v>#REF!</v>
      </c>
      <c r="AP31" s="172" t="e">
        <f>IF(#REF!=1,BQ31,IF(#REF!=2,CA31,IF(#REF!=3,CK31,IF(#REF!=4,CU31,IF(#REF!=5,DE31,BF31)))))</f>
        <v>#REF!</v>
      </c>
      <c r="AQ31" s="172" t="e">
        <f>IF(#REF!=1,BR31,IF(#REF!=2,CB31,IF(#REF!=3,CL31,IF(#REF!=4,CV31,IF(#REF!=5,DF31,BH31)))))</f>
        <v>#REF!</v>
      </c>
      <c r="AR31" s="172" t="e">
        <f>IF(#REF!=1,BR31,IF(#REF!=2,CB31,IF(#REF!=3,CL31,IF(#REF!=4,CV31,IF(#REF!=5,DF31,BH31)))))</f>
        <v>#REF!</v>
      </c>
      <c r="AS31" s="175"/>
      <c r="AT31" s="176">
        <f>$AD31</f>
        <v>0</v>
      </c>
      <c r="AU31" s="172" t="e">
        <f>#REF!</f>
        <v>#REF!</v>
      </c>
      <c r="AV31" s="172"/>
      <c r="AW31" s="172" t="e">
        <f>#REF!</f>
        <v>#REF!</v>
      </c>
      <c r="AX31" s="172" t="e">
        <f>#REF!</f>
        <v>#REF!</v>
      </c>
      <c r="AY31" s="172" t="e">
        <f>#REF!</f>
        <v>#REF!</v>
      </c>
      <c r="AZ31" s="172" t="e">
        <f>#REF!</f>
        <v>#REF!</v>
      </c>
      <c r="BA31" s="173"/>
      <c r="BB31" s="174" t="e">
        <f>$AL31</f>
        <v>#REF!</v>
      </c>
      <c r="BC31" s="172" t="e">
        <f>$AL31*#REF!</f>
        <v>#REF!</v>
      </c>
      <c r="BD31" s="172"/>
      <c r="BE31" s="172" t="e">
        <f>$AL31*#REF!</f>
        <v>#REF!</v>
      </c>
      <c r="BF31" s="172" t="e">
        <f>$AL31*#REF!</f>
        <v>#REF!</v>
      </c>
      <c r="BG31" s="172" t="e">
        <f>$AL31*#REF!</f>
        <v>#REF!</v>
      </c>
      <c r="BH31" s="172" t="e">
        <f>$AL31*#REF!</f>
        <v>#REF!</v>
      </c>
      <c r="BI31" s="175"/>
      <c r="BJ31" s="176">
        <f>AD31</f>
        <v>0</v>
      </c>
      <c r="BK31" s="172" t="e">
        <f>AU31</f>
        <v>#REF!</v>
      </c>
      <c r="BL31" s="172" t="e">
        <f>AX31</f>
        <v>#REF!</v>
      </c>
      <c r="BM31" s="172" t="e">
        <f>AZ31</f>
        <v>#REF!</v>
      </c>
      <c r="BN31" s="173"/>
      <c r="BO31" s="174" t="e">
        <f>$AL31</f>
        <v>#REF!</v>
      </c>
      <c r="BP31" s="172" t="e">
        <f>BC31</f>
        <v>#REF!</v>
      </c>
      <c r="BQ31" s="172" t="e">
        <f>BF31</f>
        <v>#REF!</v>
      </c>
      <c r="BR31" s="172" t="e">
        <f t="shared" si="28"/>
        <v>#REF!</v>
      </c>
      <c r="BS31" s="178"/>
      <c r="BT31" s="179" t="e">
        <f>AL31</f>
        <v>#REF!</v>
      </c>
      <c r="BU31" s="177" t="e">
        <f t="shared" si="29"/>
        <v>#REF!</v>
      </c>
      <c r="BV31" s="177" t="e">
        <f t="shared" si="29"/>
        <v>#REF!</v>
      </c>
      <c r="BW31" s="177" t="e">
        <f t="shared" si="29"/>
        <v>#REF!</v>
      </c>
      <c r="BX31" s="169"/>
      <c r="BY31" s="180" t="e">
        <f>$AL31</f>
        <v>#REF!</v>
      </c>
      <c r="BZ31" s="177" t="e">
        <f t="shared" si="30"/>
        <v>#REF!</v>
      </c>
      <c r="CA31" s="177" t="e">
        <f t="shared" si="30"/>
        <v>#REF!</v>
      </c>
      <c r="CB31" s="177" t="e">
        <f t="shared" si="30"/>
        <v>#REF!</v>
      </c>
      <c r="CC31" s="178"/>
      <c r="CD31" s="179">
        <f t="shared" si="18"/>
        <v>0</v>
      </c>
      <c r="CE31" s="177" t="e">
        <f t="shared" si="18"/>
        <v>#REF!</v>
      </c>
      <c r="CF31" s="177" t="e">
        <f>AX31</f>
        <v>#REF!</v>
      </c>
      <c r="CG31" s="177" t="e">
        <f>AZ31</f>
        <v>#REF!</v>
      </c>
      <c r="CH31" s="169"/>
      <c r="CI31" s="180" t="e">
        <f>BB31</f>
        <v>#REF!</v>
      </c>
      <c r="CJ31" s="177" t="e">
        <f t="shared" si="19"/>
        <v>#REF!</v>
      </c>
      <c r="CK31" s="177" t="e">
        <f>BF31</f>
        <v>#REF!</v>
      </c>
      <c r="CL31" s="177" t="e">
        <f t="shared" si="20"/>
        <v>#REF!</v>
      </c>
      <c r="CM31" s="178"/>
      <c r="CN31" s="179">
        <f t="shared" si="21"/>
        <v>0</v>
      </c>
      <c r="CO31" s="177" t="e">
        <f t="shared" si="21"/>
        <v>#REF!</v>
      </c>
      <c r="CP31" s="177" t="e">
        <f>AX31</f>
        <v>#REF!</v>
      </c>
      <c r="CQ31" s="177" t="e">
        <f>AZ31</f>
        <v>#REF!</v>
      </c>
      <c r="CR31" s="169"/>
      <c r="CS31" s="180" t="e">
        <f>BB31</f>
        <v>#REF!</v>
      </c>
      <c r="CT31" s="177" t="e">
        <f t="shared" si="22"/>
        <v>#REF!</v>
      </c>
      <c r="CU31" s="177" t="e">
        <f>BF31</f>
        <v>#REF!</v>
      </c>
      <c r="CV31" s="177" t="e">
        <f t="shared" si="23"/>
        <v>#REF!</v>
      </c>
      <c r="CW31" s="178"/>
      <c r="CX31" s="179">
        <f>BJ31</f>
        <v>0</v>
      </c>
      <c r="CY31" s="177" t="e">
        <f t="shared" si="24"/>
        <v>#REF!</v>
      </c>
      <c r="CZ31" s="177" t="e">
        <f t="shared" si="24"/>
        <v>#REF!</v>
      </c>
      <c r="DA31" s="177" t="e">
        <f t="shared" si="24"/>
        <v>#REF!</v>
      </c>
      <c r="DB31" s="169"/>
      <c r="DC31" s="180" t="e">
        <f t="shared" si="25"/>
        <v>#REF!</v>
      </c>
      <c r="DD31" s="177" t="e">
        <f t="shared" si="25"/>
        <v>#REF!</v>
      </c>
      <c r="DE31" s="177" t="e">
        <f t="shared" si="25"/>
        <v>#REF!</v>
      </c>
      <c r="DF31" s="177" t="e">
        <f t="shared" si="25"/>
        <v>#REF!</v>
      </c>
      <c r="DG31" s="178"/>
    </row>
    <row r="32" spans="1:111">
      <c r="B32" s="108" t="s">
        <v>121</v>
      </c>
      <c r="C32" s="30" t="s">
        <v>334</v>
      </c>
      <c r="D32" s="43"/>
      <c r="E32" s="43"/>
      <c r="F32" s="207" t="str">
        <f>IF($D32="","",SUMIF(#REF!,$B32,#REF!))</f>
        <v/>
      </c>
      <c r="G32" s="207" t="str">
        <f>IF($D32="","",SUMIF(#REF!,$B32,#REF!))</f>
        <v/>
      </c>
      <c r="H32" s="207" t="str">
        <f>IF($D32="","",SUMIF(#REF!,$B32,#REF!))</f>
        <v/>
      </c>
      <c r="I32" s="40" t="str">
        <f>IFERROR((M32/G32*(1+#REF!))," ")</f>
        <v xml:space="preserve"> </v>
      </c>
      <c r="K32" s="205"/>
      <c r="L32" s="40"/>
      <c r="M32" s="40"/>
      <c r="AD32" s="135"/>
      <c r="AE32" s="140"/>
      <c r="AG32" s="140"/>
      <c r="AH32" s="140"/>
      <c r="AI32" s="140"/>
      <c r="AJ32" s="140"/>
      <c r="AK32" s="21"/>
      <c r="AL32" s="139"/>
      <c r="AM32" s="140"/>
      <c r="AN32" s="140"/>
      <c r="AO32" s="140"/>
      <c r="AP32" s="140"/>
      <c r="AQ32" s="140"/>
      <c r="AR32" s="140"/>
      <c r="AS32" s="125"/>
      <c r="AT32" s="138"/>
      <c r="AU32" s="140"/>
      <c r="AV32" s="140"/>
      <c r="AW32" s="140"/>
      <c r="AX32" s="140"/>
      <c r="AY32" s="140"/>
      <c r="AZ32" s="140"/>
      <c r="BA32" s="21"/>
      <c r="BB32" s="139"/>
      <c r="BC32" s="140"/>
      <c r="BD32" s="140"/>
      <c r="BE32" s="140"/>
      <c r="BF32" s="140"/>
      <c r="BG32" s="140"/>
      <c r="BH32" s="140"/>
      <c r="BI32" s="125"/>
      <c r="BJ32" s="138"/>
      <c r="BK32" s="140"/>
      <c r="BL32" s="140"/>
      <c r="BM32" s="140"/>
      <c r="BN32" s="21"/>
      <c r="BO32" s="139"/>
      <c r="BP32" s="140"/>
      <c r="BQ32" s="140"/>
      <c r="BR32" s="140"/>
      <c r="BS32" s="54"/>
      <c r="BT32" s="145"/>
      <c r="BU32" s="66"/>
      <c r="BV32" s="66"/>
      <c r="BW32" s="66"/>
      <c r="BY32" s="119"/>
      <c r="BZ32" s="66"/>
      <c r="CA32" s="66"/>
      <c r="CB32" s="66"/>
      <c r="CC32" s="54"/>
      <c r="CD32" s="145"/>
      <c r="CE32" s="66"/>
      <c r="CF32" s="66"/>
      <c r="CG32" s="66"/>
      <c r="CI32" s="119"/>
      <c r="CJ32" s="66"/>
      <c r="CK32" s="66"/>
      <c r="CL32" s="66"/>
      <c r="CM32" s="54"/>
      <c r="CN32" s="145"/>
      <c r="CO32" s="66"/>
      <c r="CP32" s="66"/>
      <c r="CQ32" s="66"/>
      <c r="CS32" s="119"/>
      <c r="CT32" s="66"/>
      <c r="CU32" s="66"/>
      <c r="CV32" s="66"/>
      <c r="CW32" s="54"/>
      <c r="CX32" s="145"/>
      <c r="CY32" s="66"/>
      <c r="CZ32" s="66"/>
      <c r="DA32" s="66"/>
      <c r="DC32" s="119"/>
      <c r="DD32" s="66"/>
      <c r="DE32" s="66"/>
      <c r="DF32" s="66"/>
      <c r="DG32" s="54"/>
    </row>
    <row r="33" spans="1:111" ht="15.7">
      <c r="A33" s="166" t="s">
        <v>375</v>
      </c>
      <c r="B33" s="165" t="s">
        <v>330</v>
      </c>
      <c r="C33" s="166" t="s">
        <v>177</v>
      </c>
      <c r="D33" s="167" t="s">
        <v>242</v>
      </c>
      <c r="E33" s="167" t="s">
        <v>267</v>
      </c>
      <c r="F33" s="207">
        <f>SUMIF($B$8:$B$11,$C33,$C$8:$C$11)</f>
        <v>1</v>
      </c>
      <c r="G33" s="207">
        <f>SUMIF(AFA!$B$3:$AJ$3,E33,AFA!$B$4:$AJ$4)</f>
        <v>0.38019999999999998</v>
      </c>
      <c r="H33" s="207">
        <f>SUMIF($B$8:$B$11,$C33,$D$8:$D$11)</f>
        <v>1</v>
      </c>
      <c r="I33" s="168" t="s">
        <v>592</v>
      </c>
      <c r="J33" s="169" t="e">
        <f>($F33*0.15+$F34*0.8+$F35*0.05)*(SUMIFS(Energy_Balance!#REF!,Energy_Balance!$C$55:$C$160,D33,Energy_Balance!$D$55:$D$160,E33))*SUM(K33:K35)</f>
        <v>#REF!</v>
      </c>
      <c r="K33" s="204">
        <f>I8</f>
        <v>0.19964000000000001</v>
      </c>
      <c r="L33" s="168">
        <f>(SUMIFS(Energy_Balance!I$55:I$160,Energy_Balance!$C$55:$C$160,D33,Energy_Balance!$D$55:$D$160,E33))*K33</f>
        <v>1.3832536329290315</v>
      </c>
      <c r="M33" s="168">
        <f>F33*L33</f>
        <v>1.3832536329290315</v>
      </c>
      <c r="N33" s="190">
        <f>(SUMIFS(Energy_Balance!I$55:I$160,Energy_Balance!$C$55:$C$160,D33,Energy_Balance!$D$55:$D$160,E33))*SUM(K33:K35)</f>
        <v>6.928739896458783</v>
      </c>
      <c r="O33" s="190">
        <f>($F33*K33+$F34*K34+$F35*K35)/SUM(K33:K35)</f>
        <v>3.3225736255686273</v>
      </c>
      <c r="P33" s="190">
        <f>N33*O33</f>
        <v>23.021248438399056</v>
      </c>
      <c r="Q33" s="191">
        <f>IFERROR((P33/$G33)," ")</f>
        <v>60.550364119934393</v>
      </c>
      <c r="R33" s="191">
        <f>R29</f>
        <v>19.96</v>
      </c>
      <c r="S33" s="191">
        <f t="shared" ref="S33:U33" si="32">S29</f>
        <v>4.9909999999999997</v>
      </c>
      <c r="T33" s="191">
        <f t="shared" si="32"/>
        <v>0</v>
      </c>
      <c r="U33" s="191">
        <f t="shared" si="32"/>
        <v>0</v>
      </c>
      <c r="V33" s="190">
        <f>($F33*R33+$F34*R34+$F35*R35)/SUM(R33:R35)</f>
        <v>3.5618185364705877</v>
      </c>
      <c r="W33" s="190">
        <f t="shared" ref="W33:Y33" si="33">($F33*S33+$F34*S34+$F35*S35)/SUM(S33:S35)</f>
        <v>4.579538282274509</v>
      </c>
      <c r="X33" s="190">
        <f t="shared" si="33"/>
        <v>5.3019294117647053</v>
      </c>
      <c r="Y33" s="190">
        <f t="shared" si="33"/>
        <v>5.3019294117647053</v>
      </c>
      <c r="Z33" s="190"/>
      <c r="AA33" s="190"/>
      <c r="AB33" s="190"/>
      <c r="AC33" s="190"/>
      <c r="AD33" s="171">
        <f>IFERROR((M33/(SUMIF(RES!$D$39:$D$145,E33,$M$4:$M$202))),0)</f>
        <v>0</v>
      </c>
      <c r="AE33" s="172">
        <v>1</v>
      </c>
      <c r="AG33" s="172">
        <v>1</v>
      </c>
      <c r="AH33" s="172">
        <v>1</v>
      </c>
      <c r="AI33" s="172">
        <v>1</v>
      </c>
      <c r="AJ33" s="172">
        <v>1</v>
      </c>
      <c r="AK33" s="173"/>
      <c r="AL33" s="174" t="e">
        <f>AD33/(1+#REF!+#REF!)</f>
        <v>#REF!</v>
      </c>
      <c r="AM33" s="172">
        <v>1</v>
      </c>
      <c r="AN33" s="172"/>
      <c r="AO33" s="172">
        <v>1</v>
      </c>
      <c r="AP33" s="172">
        <v>1</v>
      </c>
      <c r="AQ33" s="172">
        <v>1</v>
      </c>
      <c r="AR33" s="172">
        <v>1</v>
      </c>
      <c r="AS33" s="175"/>
      <c r="AT33" s="176">
        <f>$AD33</f>
        <v>0</v>
      </c>
      <c r="AU33" s="172">
        <f>1+$AD$24</f>
        <v>1.0009999999999999</v>
      </c>
      <c r="AV33" s="172"/>
      <c r="AW33" s="172">
        <v>1</v>
      </c>
      <c r="AX33" s="172">
        <v>1</v>
      </c>
      <c r="AY33" s="172">
        <v>1</v>
      </c>
      <c r="AZ33" s="172">
        <v>1</v>
      </c>
      <c r="BA33" s="173"/>
      <c r="BB33" s="174" t="e">
        <f>$AL33</f>
        <v>#REF!</v>
      </c>
      <c r="BC33" s="172">
        <f>1-$AD$24</f>
        <v>0.999</v>
      </c>
      <c r="BD33" s="172"/>
      <c r="BE33" s="172">
        <f>1-$AD$24</f>
        <v>0.999</v>
      </c>
      <c r="BF33" s="172">
        <f>1-$AD$24</f>
        <v>0.999</v>
      </c>
      <c r="BG33" s="172">
        <f>1-$AD$24</f>
        <v>0.999</v>
      </c>
      <c r="BH33" s="172">
        <f>1-$AD$24</f>
        <v>0.999</v>
      </c>
      <c r="BI33" s="175"/>
      <c r="BJ33" s="176">
        <f>AD33</f>
        <v>0</v>
      </c>
      <c r="BK33" s="172" t="e">
        <f t="shared" ref="BK33" si="34">#REF!</f>
        <v>#REF!</v>
      </c>
      <c r="BL33" s="172" t="e">
        <f t="shared" ref="BL33" si="35">#REF!</f>
        <v>#REF!</v>
      </c>
      <c r="BM33" s="172" t="e">
        <f t="shared" ref="BM33" si="36">#REF!</f>
        <v>#REF!</v>
      </c>
      <c r="BN33" s="173"/>
      <c r="BO33" s="174" t="e">
        <f>$AL33</f>
        <v>#REF!</v>
      </c>
      <c r="BP33" s="172" t="e">
        <f t="shared" ref="BP33" si="37">#REF!</f>
        <v>#REF!</v>
      </c>
      <c r="BQ33" s="172" t="e">
        <f t="shared" ref="BQ33" si="38">#REF!</f>
        <v>#REF!</v>
      </c>
      <c r="BR33" s="172" t="e">
        <f t="shared" ref="BR33" si="39">#REF!</f>
        <v>#REF!</v>
      </c>
      <c r="BS33" s="178"/>
      <c r="BT33" s="179" t="e">
        <f>AL33</f>
        <v>#REF!</v>
      </c>
      <c r="BU33" s="177" t="e">
        <f t="shared" ref="BU33:BW35" si="40">BK33</f>
        <v>#REF!</v>
      </c>
      <c r="BV33" s="177" t="e">
        <f t="shared" si="40"/>
        <v>#REF!</v>
      </c>
      <c r="BW33" s="177" t="e">
        <f t="shared" si="40"/>
        <v>#REF!</v>
      </c>
      <c r="BX33" s="169"/>
      <c r="BY33" s="180" t="e">
        <f>$AL33</f>
        <v>#REF!</v>
      </c>
      <c r="BZ33" s="177" t="e">
        <f t="shared" ref="BZ33:CB35" si="41">BP33</f>
        <v>#REF!</v>
      </c>
      <c r="CA33" s="177" t="e">
        <f t="shared" si="41"/>
        <v>#REF!</v>
      </c>
      <c r="CB33" s="177" t="e">
        <f t="shared" si="41"/>
        <v>#REF!</v>
      </c>
      <c r="CC33" s="178"/>
      <c r="CD33" s="179">
        <f t="shared" ref="CD33:CE35" si="42">AT33</f>
        <v>0</v>
      </c>
      <c r="CE33" s="177">
        <f t="shared" si="42"/>
        <v>1.0009999999999999</v>
      </c>
      <c r="CF33" s="177">
        <f>AX33</f>
        <v>1</v>
      </c>
      <c r="CG33" s="177">
        <f>AZ33</f>
        <v>1</v>
      </c>
      <c r="CH33" s="169"/>
      <c r="CI33" s="180" t="e">
        <f>BB33</f>
        <v>#REF!</v>
      </c>
      <c r="CJ33" s="177">
        <f t="shared" ref="CJ33:CJ35" si="43">BC33</f>
        <v>0.999</v>
      </c>
      <c r="CK33" s="177">
        <f>BF33</f>
        <v>0.999</v>
      </c>
      <c r="CL33" s="177">
        <f t="shared" ref="CL33:CL35" si="44">BH33</f>
        <v>0.999</v>
      </c>
      <c r="CM33" s="178"/>
      <c r="CN33" s="179">
        <f t="shared" ref="CN33:CO35" si="45">AT33</f>
        <v>0</v>
      </c>
      <c r="CO33" s="177">
        <f t="shared" si="45"/>
        <v>1.0009999999999999</v>
      </c>
      <c r="CP33" s="177">
        <f>AX33</f>
        <v>1</v>
      </c>
      <c r="CQ33" s="177">
        <f>AZ33</f>
        <v>1</v>
      </c>
      <c r="CR33" s="169"/>
      <c r="CS33" s="180" t="e">
        <f>BB33</f>
        <v>#REF!</v>
      </c>
      <c r="CT33" s="177">
        <f t="shared" ref="CT33:CT35" si="46">BC33</f>
        <v>0.999</v>
      </c>
      <c r="CU33" s="177">
        <f>BF33</f>
        <v>0.999</v>
      </c>
      <c r="CV33" s="177">
        <f t="shared" ref="CV33:CV35" si="47">BH33</f>
        <v>0.999</v>
      </c>
      <c r="CW33" s="178"/>
      <c r="CX33" s="179">
        <f>BJ33</f>
        <v>0</v>
      </c>
      <c r="CY33" s="177">
        <f t="shared" ref="CY33:DA35" si="48">CE33</f>
        <v>1.0009999999999999</v>
      </c>
      <c r="CZ33" s="177">
        <f t="shared" si="48"/>
        <v>1</v>
      </c>
      <c r="DA33" s="177">
        <f t="shared" si="48"/>
        <v>1</v>
      </c>
      <c r="DB33" s="169"/>
      <c r="DC33" s="180" t="e">
        <f t="shared" ref="DC33:DF35" si="49">BO33</f>
        <v>#REF!</v>
      </c>
      <c r="DD33" s="177" t="e">
        <f t="shared" si="49"/>
        <v>#REF!</v>
      </c>
      <c r="DE33" s="177" t="e">
        <f t="shared" si="49"/>
        <v>#REF!</v>
      </c>
      <c r="DF33" s="177" t="e">
        <f t="shared" si="49"/>
        <v>#REF!</v>
      </c>
      <c r="DG33" s="178"/>
    </row>
    <row r="34" spans="1:111" ht="15.7">
      <c r="A34" s="169"/>
      <c r="B34" s="165" t="s">
        <v>331</v>
      </c>
      <c r="C34" s="166" t="s">
        <v>56</v>
      </c>
      <c r="D34" s="167" t="s">
        <v>242</v>
      </c>
      <c r="E34" s="167" t="s">
        <v>267</v>
      </c>
      <c r="F34" s="207">
        <f t="shared" ref="F34:F35" si="50">SUMIF($B$8:$B$11,$C34,$C$8:$C$11)</f>
        <v>3.7555333333333332</v>
      </c>
      <c r="G34" s="207">
        <f>SUMIF(AFA!$B$3:$AJ$3,E34,AFA!$B$4:$AJ$4)</f>
        <v>0.38019999999999998</v>
      </c>
      <c r="H34" s="207">
        <f>SUMIF($B$8:$B$11,$C34,$D$8:$D$11)</f>
        <v>4.9000000000000004</v>
      </c>
      <c r="I34" s="168" t="s">
        <v>592</v>
      </c>
      <c r="J34" s="169"/>
      <c r="K34" s="204">
        <f>I9</f>
        <v>0.72459999999999991</v>
      </c>
      <c r="L34" s="168">
        <f>(SUMIFS(Energy_Balance!I$55:I$160,Energy_Balance!$C$55:$C$160,D34,Energy_Balance!$D$55:$D$160,E34))*K34</f>
        <v>5.0205649289740339</v>
      </c>
      <c r="M34" s="168">
        <f>F34*L34</f>
        <v>18.854898942926283</v>
      </c>
      <c r="N34" s="170"/>
      <c r="O34" s="170"/>
      <c r="P34" s="170"/>
      <c r="Q34" s="170"/>
      <c r="R34" s="191">
        <f t="shared" ref="R34:U34" si="51">R30</f>
        <v>57</v>
      </c>
      <c r="S34" s="191">
        <f t="shared" si="51"/>
        <v>32.83</v>
      </c>
      <c r="T34" s="191">
        <f t="shared" si="51"/>
        <v>0</v>
      </c>
      <c r="U34" s="191">
        <f t="shared" si="51"/>
        <v>0</v>
      </c>
      <c r="V34" s="170"/>
      <c r="W34" s="170"/>
      <c r="X34" s="170"/>
      <c r="Y34" s="170"/>
      <c r="Z34" s="170"/>
      <c r="AA34" s="170"/>
      <c r="AB34" s="170"/>
      <c r="AC34" s="170"/>
      <c r="AD34" s="171">
        <f>IFERROR((M34/(SUMIF(RES!$D$39:$D$145,E34,$M$4:$M$202))),0)</f>
        <v>0</v>
      </c>
      <c r="AE34" s="172" t="e">
        <f>IF(#REF!=1,BK34,IF(#REF!=2,BU34,IF(#REF!=3,CE34,IF(#REF!=4,CO34,IF(#REF!=5,CY34,AU34)))))</f>
        <v>#REF!</v>
      </c>
      <c r="AG34" s="172" t="e">
        <f>IF(#REF!=1,BL34,IF(#REF!=2,BV34,IF(#REF!=3,CF34,IF(#REF!=4,CP34,IF(#REF!=5,CZ34,AW34)))))</f>
        <v>#REF!</v>
      </c>
      <c r="AH34" s="172" t="e">
        <f>IF(#REF!=1,BM34,IF(#REF!=2,BW34,IF(#REF!=3,CG34,IF(#REF!=4,CQ34,IF(#REF!=5,DA34,AX34)))))</f>
        <v>#REF!</v>
      </c>
      <c r="AI34" s="172" t="e">
        <f>IF(#REF!=1,BN34,IF(#REF!=2,BX34,IF(#REF!=3,CH34,IF(#REF!=4,CR34,IF(#REF!=5,DB34,AY34)))))</f>
        <v>#REF!</v>
      </c>
      <c r="AJ34" s="172" t="e">
        <f>IF(#REF!=1,BO34,IF(#REF!=2,BY34,IF(#REF!=3,CI34,IF(#REF!=4,CS34,IF(#REF!=5,DC34,AZ34)))))</f>
        <v>#REF!</v>
      </c>
      <c r="AK34" s="173"/>
      <c r="AL34" s="174" t="e">
        <f>AD34/(1+#REF!+#REF!)</f>
        <v>#REF!</v>
      </c>
      <c r="AM34" s="172" t="e">
        <f>IF(#REF!=1,BP34,IF(#REF!=2,BZ34,IF(#REF!=3,CJ34,IF(#REF!=4,CT34,IF(#REF!=5,DD34,BC34)))))</f>
        <v>#REF!</v>
      </c>
      <c r="AN34" s="172"/>
      <c r="AO34" s="172" t="e">
        <f>IF(#REF!=1,BQ34,IF(#REF!=2,CA34,IF(#REF!=3,CK34,IF(#REF!=4,CU34,IF(#REF!=5,DE34,BF34)))))</f>
        <v>#REF!</v>
      </c>
      <c r="AP34" s="172" t="e">
        <f>IF(#REF!=1,BQ34,IF(#REF!=2,CA34,IF(#REF!=3,CK34,IF(#REF!=4,CU34,IF(#REF!=5,DE34,BF34)))))</f>
        <v>#REF!</v>
      </c>
      <c r="AQ34" s="172" t="e">
        <f>IF(#REF!=1,BR34,IF(#REF!=2,CB34,IF(#REF!=3,CL34,IF(#REF!=4,CV34,IF(#REF!=5,DF34,BH34)))))</f>
        <v>#REF!</v>
      </c>
      <c r="AR34" s="172" t="e">
        <f>IF(#REF!=1,BR34,IF(#REF!=2,CB34,IF(#REF!=3,CL34,IF(#REF!=4,CV34,IF(#REF!=5,DF34,BH34)))))</f>
        <v>#REF!</v>
      </c>
      <c r="AS34" s="175"/>
      <c r="AT34" s="176">
        <f>$AD34</f>
        <v>0</v>
      </c>
      <c r="AU34" s="172" t="e">
        <f t="shared" ref="AU34" si="52">#REF!</f>
        <v>#REF!</v>
      </c>
      <c r="AV34" s="172"/>
      <c r="AW34" s="172" t="e">
        <f t="shared" ref="AW34" si="53">#REF!</f>
        <v>#REF!</v>
      </c>
      <c r="AX34" s="172" t="e">
        <f t="shared" ref="AX34" si="54">#REF!</f>
        <v>#REF!</v>
      </c>
      <c r="AY34" s="172" t="e">
        <f t="shared" ref="AY34" si="55">#REF!</f>
        <v>#REF!</v>
      </c>
      <c r="AZ34" s="172" t="e">
        <f t="shared" ref="AZ34" si="56">#REF!</f>
        <v>#REF!</v>
      </c>
      <c r="BA34" s="173"/>
      <c r="BB34" s="174" t="e">
        <f>$AL34</f>
        <v>#REF!</v>
      </c>
      <c r="BC34" s="172" t="e">
        <f>$AL34*#REF!</f>
        <v>#REF!</v>
      </c>
      <c r="BD34" s="172"/>
      <c r="BE34" s="172" t="e">
        <f>$AL34*#REF!</f>
        <v>#REF!</v>
      </c>
      <c r="BF34" s="172" t="e">
        <f>$AL34*#REF!</f>
        <v>#REF!</v>
      </c>
      <c r="BG34" s="172" t="e">
        <f>$AL34*#REF!</f>
        <v>#REF!</v>
      </c>
      <c r="BH34" s="172" t="e">
        <f>$AL34*#REF!</f>
        <v>#REF!</v>
      </c>
      <c r="BI34" s="175"/>
      <c r="BJ34" s="176">
        <f>AD34</f>
        <v>0</v>
      </c>
      <c r="BK34" s="172" t="e">
        <f t="shared" ref="BK34" si="57">#REF!</f>
        <v>#REF!</v>
      </c>
      <c r="BL34" s="172" t="e">
        <f t="shared" ref="BL34" si="58">#REF!</f>
        <v>#REF!</v>
      </c>
      <c r="BM34" s="172" t="e">
        <f t="shared" ref="BM34" si="59">#REF!</f>
        <v>#REF!</v>
      </c>
      <c r="BN34" s="173"/>
      <c r="BO34" s="174" t="e">
        <f>$AL34</f>
        <v>#REF!</v>
      </c>
      <c r="BP34" s="172" t="e">
        <f t="shared" ref="BP34" si="60">#REF!</f>
        <v>#REF!</v>
      </c>
      <c r="BQ34" s="172" t="e">
        <f t="shared" ref="BQ34" si="61">#REF!</f>
        <v>#REF!</v>
      </c>
      <c r="BR34" s="172" t="e">
        <f t="shared" ref="BR34" si="62">#REF!</f>
        <v>#REF!</v>
      </c>
      <c r="BS34" s="178"/>
      <c r="BT34" s="179" t="e">
        <f>AL34</f>
        <v>#REF!</v>
      </c>
      <c r="BU34" s="177" t="e">
        <f t="shared" si="40"/>
        <v>#REF!</v>
      </c>
      <c r="BV34" s="177" t="e">
        <f t="shared" si="40"/>
        <v>#REF!</v>
      </c>
      <c r="BW34" s="177" t="e">
        <f t="shared" si="40"/>
        <v>#REF!</v>
      </c>
      <c r="BX34" s="169"/>
      <c r="BY34" s="180" t="e">
        <f>$AL34</f>
        <v>#REF!</v>
      </c>
      <c r="BZ34" s="177" t="e">
        <f t="shared" si="41"/>
        <v>#REF!</v>
      </c>
      <c r="CA34" s="177" t="e">
        <f t="shared" si="41"/>
        <v>#REF!</v>
      </c>
      <c r="CB34" s="177" t="e">
        <f t="shared" si="41"/>
        <v>#REF!</v>
      </c>
      <c r="CC34" s="178"/>
      <c r="CD34" s="179">
        <f t="shared" si="42"/>
        <v>0</v>
      </c>
      <c r="CE34" s="177" t="e">
        <f t="shared" si="42"/>
        <v>#REF!</v>
      </c>
      <c r="CF34" s="177" t="e">
        <f>AX34</f>
        <v>#REF!</v>
      </c>
      <c r="CG34" s="177" t="e">
        <f>AZ34</f>
        <v>#REF!</v>
      </c>
      <c r="CH34" s="169"/>
      <c r="CI34" s="180" t="e">
        <f>BB34</f>
        <v>#REF!</v>
      </c>
      <c r="CJ34" s="177" t="e">
        <f t="shared" si="43"/>
        <v>#REF!</v>
      </c>
      <c r="CK34" s="177" t="e">
        <f>BF34</f>
        <v>#REF!</v>
      </c>
      <c r="CL34" s="177" t="e">
        <f t="shared" si="44"/>
        <v>#REF!</v>
      </c>
      <c r="CM34" s="178"/>
      <c r="CN34" s="179">
        <f t="shared" si="45"/>
        <v>0</v>
      </c>
      <c r="CO34" s="177" t="e">
        <f t="shared" si="45"/>
        <v>#REF!</v>
      </c>
      <c r="CP34" s="177" t="e">
        <f>AX34</f>
        <v>#REF!</v>
      </c>
      <c r="CQ34" s="177" t="e">
        <f>AZ34</f>
        <v>#REF!</v>
      </c>
      <c r="CR34" s="169"/>
      <c r="CS34" s="180" t="e">
        <f>BB34</f>
        <v>#REF!</v>
      </c>
      <c r="CT34" s="177" t="e">
        <f t="shared" si="46"/>
        <v>#REF!</v>
      </c>
      <c r="CU34" s="177" t="e">
        <f>BF34</f>
        <v>#REF!</v>
      </c>
      <c r="CV34" s="177" t="e">
        <f t="shared" si="47"/>
        <v>#REF!</v>
      </c>
      <c r="CW34" s="178"/>
      <c r="CX34" s="179">
        <f>BJ34</f>
        <v>0</v>
      </c>
      <c r="CY34" s="177" t="e">
        <f t="shared" si="48"/>
        <v>#REF!</v>
      </c>
      <c r="CZ34" s="177" t="e">
        <f t="shared" si="48"/>
        <v>#REF!</v>
      </c>
      <c r="DA34" s="177" t="e">
        <f t="shared" si="48"/>
        <v>#REF!</v>
      </c>
      <c r="DB34" s="169"/>
      <c r="DC34" s="180" t="e">
        <f t="shared" si="49"/>
        <v>#REF!</v>
      </c>
      <c r="DD34" s="177" t="e">
        <f t="shared" si="49"/>
        <v>#REF!</v>
      </c>
      <c r="DE34" s="177" t="e">
        <f t="shared" si="49"/>
        <v>#REF!</v>
      </c>
      <c r="DF34" s="177" t="e">
        <f t="shared" si="49"/>
        <v>#REF!</v>
      </c>
      <c r="DG34" s="178"/>
    </row>
    <row r="35" spans="1:111" ht="15.7">
      <c r="A35" s="169"/>
      <c r="B35" s="165" t="s">
        <v>332</v>
      </c>
      <c r="C35" s="166" t="s">
        <v>113</v>
      </c>
      <c r="D35" s="167" t="s">
        <v>242</v>
      </c>
      <c r="E35" s="167" t="s">
        <v>267</v>
      </c>
      <c r="F35" s="207">
        <f t="shared" si="50"/>
        <v>5.3019294117647053</v>
      </c>
      <c r="G35" s="207">
        <f>SUMIF(AFA!$B$3:$AJ$3,E35,AFA!$B$4:$AJ$4)</f>
        <v>0.38019999999999998</v>
      </c>
      <c r="H35" s="207">
        <f>SUMIF($B$8:$B$11,$C35,$D$8:$D$11)</f>
        <v>9.6</v>
      </c>
      <c r="I35" s="168" t="s">
        <v>592</v>
      </c>
      <c r="J35" s="169"/>
      <c r="K35" s="204">
        <f>I10</f>
        <v>7.576000000000005E-2</v>
      </c>
      <c r="L35" s="168">
        <f>(SUMIFS(Energy_Balance!I$55:I$160,Energy_Balance!$C$55:$C$160,D35,Energy_Balance!$D$55:$D$160,E35))*K35</f>
        <v>0.52492133455571777</v>
      </c>
      <c r="M35" s="168">
        <f>F35*L35</f>
        <v>2.7830958625437408</v>
      </c>
      <c r="N35" s="170"/>
      <c r="O35" s="170"/>
      <c r="P35" s="170"/>
      <c r="Q35" s="170"/>
      <c r="R35" s="191">
        <f t="shared" ref="R35:U35" si="63">R31</f>
        <v>23.039999999999992</v>
      </c>
      <c r="S35" s="191">
        <f t="shared" si="63"/>
        <v>62.179000000000002</v>
      </c>
      <c r="T35" s="191">
        <f t="shared" si="63"/>
        <v>1</v>
      </c>
      <c r="U35" s="191">
        <f t="shared" si="63"/>
        <v>1</v>
      </c>
      <c r="V35" s="170"/>
      <c r="W35" s="170"/>
      <c r="X35" s="170"/>
      <c r="Y35" s="170"/>
      <c r="Z35" s="170"/>
      <c r="AA35" s="170"/>
      <c r="AB35" s="170"/>
      <c r="AC35" s="170"/>
      <c r="AD35" s="171">
        <f>IFERROR((M35/(SUMIF(RES!$D$39:$D$145,E35,$M$4:$M$202))),0)</f>
        <v>0</v>
      </c>
      <c r="AE35" s="172" t="e">
        <f>IF(#REF!=1,BK35,IF(#REF!=2,BU35,IF(#REF!=3,CE35,IF(#REF!=4,CO35,IF(#REF!=5,CY35,AU35)))))</f>
        <v>#REF!</v>
      </c>
      <c r="AG35" s="172" t="e">
        <f>IF(#REF!=1,BL35,IF(#REF!=2,BV35,IF(#REF!=3,CF35,IF(#REF!=4,CP35,IF(#REF!=5,CZ35,AW35)))))</f>
        <v>#REF!</v>
      </c>
      <c r="AH35" s="172" t="e">
        <f>IF(#REF!=1,BM35,IF(#REF!=2,BW35,IF(#REF!=3,CG35,IF(#REF!=4,CQ35,IF(#REF!=5,DA35,AX35)))))</f>
        <v>#REF!</v>
      </c>
      <c r="AI35" s="172" t="e">
        <f>IF(#REF!=1,BN35,IF(#REF!=2,BX35,IF(#REF!=3,CH35,IF(#REF!=4,CR35,IF(#REF!=5,DB35,AY35)))))</f>
        <v>#REF!</v>
      </c>
      <c r="AJ35" s="172" t="e">
        <f>IF(#REF!=1,BO35,IF(#REF!=2,BY35,IF(#REF!=3,CI35,IF(#REF!=4,CS35,IF(#REF!=5,DC35,AZ35)))))</f>
        <v>#REF!</v>
      </c>
      <c r="AK35" s="173"/>
      <c r="AL35" s="174" t="e">
        <f>AD35/(1+#REF!+#REF!)</f>
        <v>#REF!</v>
      </c>
      <c r="AM35" s="172" t="e">
        <f>IF(#REF!=1,BP35,IF(#REF!=2,BZ35,IF(#REF!=3,CJ35,IF(#REF!=4,CT35,IF(#REF!=5,DD35,BC35)))))</f>
        <v>#REF!</v>
      </c>
      <c r="AN35" s="172"/>
      <c r="AO35" s="172" t="e">
        <f>IF(#REF!=1,BQ35,IF(#REF!=2,CA35,IF(#REF!=3,CK35,IF(#REF!=4,CU35,IF(#REF!=5,DE35,BF35)))))</f>
        <v>#REF!</v>
      </c>
      <c r="AP35" s="172" t="e">
        <f>IF(#REF!=1,BQ35,IF(#REF!=2,CA35,IF(#REF!=3,CK35,IF(#REF!=4,CU35,IF(#REF!=5,DE35,BF35)))))</f>
        <v>#REF!</v>
      </c>
      <c r="AQ35" s="172" t="e">
        <f>IF(#REF!=1,BR35,IF(#REF!=2,CB35,IF(#REF!=3,CL35,IF(#REF!=4,CV35,IF(#REF!=5,DF35,BH35)))))</f>
        <v>#REF!</v>
      </c>
      <c r="AR35" s="172" t="e">
        <f>IF(#REF!=1,BR35,IF(#REF!=2,CB35,IF(#REF!=3,CL35,IF(#REF!=4,CV35,IF(#REF!=5,DF35,BH35)))))</f>
        <v>#REF!</v>
      </c>
      <c r="AS35" s="175"/>
      <c r="AT35" s="176">
        <f>$AD35</f>
        <v>0</v>
      </c>
      <c r="AU35" s="172" t="e">
        <f t="shared" ref="AU35" si="64">#REF!</f>
        <v>#REF!</v>
      </c>
      <c r="AV35" s="172"/>
      <c r="AW35" s="172" t="e">
        <f t="shared" ref="AW35" si="65">#REF!</f>
        <v>#REF!</v>
      </c>
      <c r="AX35" s="172" t="e">
        <f t="shared" ref="AX35" si="66">#REF!</f>
        <v>#REF!</v>
      </c>
      <c r="AY35" s="172" t="e">
        <f t="shared" ref="AY35" si="67">#REF!</f>
        <v>#REF!</v>
      </c>
      <c r="AZ35" s="172" t="e">
        <f t="shared" ref="AZ35" si="68">#REF!</f>
        <v>#REF!</v>
      </c>
      <c r="BA35" s="173"/>
      <c r="BB35" s="174" t="e">
        <f>$AL35</f>
        <v>#REF!</v>
      </c>
      <c r="BC35" s="172" t="e">
        <f>$AL35*#REF!</f>
        <v>#REF!</v>
      </c>
      <c r="BD35" s="172"/>
      <c r="BE35" s="172" t="e">
        <f>$AL35*#REF!</f>
        <v>#REF!</v>
      </c>
      <c r="BF35" s="172" t="e">
        <f>$AL35*#REF!</f>
        <v>#REF!</v>
      </c>
      <c r="BG35" s="172" t="e">
        <f>$AL35*#REF!</f>
        <v>#REF!</v>
      </c>
      <c r="BH35" s="172" t="e">
        <f>$AL35*#REF!</f>
        <v>#REF!</v>
      </c>
      <c r="BI35" s="175"/>
      <c r="BJ35" s="176">
        <f>AD35</f>
        <v>0</v>
      </c>
      <c r="BK35" s="172" t="e">
        <f t="shared" ref="BK35" si="69">#REF!</f>
        <v>#REF!</v>
      </c>
      <c r="BL35" s="172" t="e">
        <f t="shared" ref="BL35" si="70">#REF!</f>
        <v>#REF!</v>
      </c>
      <c r="BM35" s="172" t="e">
        <f t="shared" ref="BM35" si="71">#REF!</f>
        <v>#REF!</v>
      </c>
      <c r="BN35" s="173"/>
      <c r="BO35" s="174" t="e">
        <f>$AL35</f>
        <v>#REF!</v>
      </c>
      <c r="BP35" s="172" t="e">
        <f t="shared" ref="BP35" si="72">#REF!</f>
        <v>#REF!</v>
      </c>
      <c r="BQ35" s="172" t="e">
        <f t="shared" ref="BQ35" si="73">#REF!</f>
        <v>#REF!</v>
      </c>
      <c r="BR35" s="172" t="e">
        <f t="shared" ref="BR35" si="74">#REF!</f>
        <v>#REF!</v>
      </c>
      <c r="BS35" s="178"/>
      <c r="BT35" s="179" t="e">
        <f>AL35</f>
        <v>#REF!</v>
      </c>
      <c r="BU35" s="177" t="e">
        <f t="shared" si="40"/>
        <v>#REF!</v>
      </c>
      <c r="BV35" s="177" t="e">
        <f t="shared" si="40"/>
        <v>#REF!</v>
      </c>
      <c r="BW35" s="177" t="e">
        <f t="shared" si="40"/>
        <v>#REF!</v>
      </c>
      <c r="BX35" s="169"/>
      <c r="BY35" s="180" t="e">
        <f>$AL35</f>
        <v>#REF!</v>
      </c>
      <c r="BZ35" s="177" t="e">
        <f t="shared" si="41"/>
        <v>#REF!</v>
      </c>
      <c r="CA35" s="177" t="e">
        <f t="shared" si="41"/>
        <v>#REF!</v>
      </c>
      <c r="CB35" s="177" t="e">
        <f t="shared" si="41"/>
        <v>#REF!</v>
      </c>
      <c r="CC35" s="178"/>
      <c r="CD35" s="179">
        <f t="shared" si="42"/>
        <v>0</v>
      </c>
      <c r="CE35" s="177" t="e">
        <f t="shared" si="42"/>
        <v>#REF!</v>
      </c>
      <c r="CF35" s="177" t="e">
        <f>AX35</f>
        <v>#REF!</v>
      </c>
      <c r="CG35" s="177" t="e">
        <f>AZ35</f>
        <v>#REF!</v>
      </c>
      <c r="CH35" s="169"/>
      <c r="CI35" s="180" t="e">
        <f>BB35</f>
        <v>#REF!</v>
      </c>
      <c r="CJ35" s="177" t="e">
        <f t="shared" si="43"/>
        <v>#REF!</v>
      </c>
      <c r="CK35" s="177" t="e">
        <f>BF35</f>
        <v>#REF!</v>
      </c>
      <c r="CL35" s="177" t="e">
        <f t="shared" si="44"/>
        <v>#REF!</v>
      </c>
      <c r="CM35" s="178"/>
      <c r="CN35" s="179">
        <f t="shared" si="45"/>
        <v>0</v>
      </c>
      <c r="CO35" s="177" t="e">
        <f t="shared" si="45"/>
        <v>#REF!</v>
      </c>
      <c r="CP35" s="177" t="e">
        <f>AX35</f>
        <v>#REF!</v>
      </c>
      <c r="CQ35" s="177" t="e">
        <f>AZ35</f>
        <v>#REF!</v>
      </c>
      <c r="CR35" s="169"/>
      <c r="CS35" s="180" t="e">
        <f>BB35</f>
        <v>#REF!</v>
      </c>
      <c r="CT35" s="177" t="e">
        <f t="shared" si="46"/>
        <v>#REF!</v>
      </c>
      <c r="CU35" s="177" t="e">
        <f>BF35</f>
        <v>#REF!</v>
      </c>
      <c r="CV35" s="177" t="e">
        <f t="shared" si="47"/>
        <v>#REF!</v>
      </c>
      <c r="CW35" s="178"/>
      <c r="CX35" s="179">
        <f>BJ35</f>
        <v>0</v>
      </c>
      <c r="CY35" s="177" t="e">
        <f t="shared" si="48"/>
        <v>#REF!</v>
      </c>
      <c r="CZ35" s="177" t="e">
        <f t="shared" si="48"/>
        <v>#REF!</v>
      </c>
      <c r="DA35" s="177" t="e">
        <f t="shared" si="48"/>
        <v>#REF!</v>
      </c>
      <c r="DB35" s="169"/>
      <c r="DC35" s="180" t="e">
        <f t="shared" si="49"/>
        <v>#REF!</v>
      </c>
      <c r="DD35" s="177" t="e">
        <f t="shared" si="49"/>
        <v>#REF!</v>
      </c>
      <c r="DE35" s="177" t="e">
        <f t="shared" si="49"/>
        <v>#REF!</v>
      </c>
      <c r="DF35" s="177" t="e">
        <f t="shared" si="49"/>
        <v>#REF!</v>
      </c>
      <c r="DG35" s="178"/>
    </row>
    <row r="36" spans="1:111">
      <c r="B36" s="108" t="s">
        <v>109</v>
      </c>
      <c r="C36" s="30"/>
      <c r="D36" s="43"/>
      <c r="E36" s="43"/>
      <c r="I36" s="40" t="str">
        <f>IFERROR((M36/G36*(1+#REF!))," ")</f>
        <v xml:space="preserve"> </v>
      </c>
      <c r="K36" s="205"/>
      <c r="L36" s="40">
        <f>SUM(L33:L35)</f>
        <v>6.928739896458783</v>
      </c>
      <c r="M36" s="40"/>
      <c r="AD36" s="135"/>
      <c r="AE36" s="431"/>
      <c r="AF36" s="140"/>
      <c r="AG36" s="140"/>
      <c r="AH36" s="140"/>
      <c r="AI36" s="140"/>
      <c r="AJ36" s="140"/>
      <c r="AK36" s="21"/>
      <c r="AL36" s="139"/>
      <c r="AM36" s="140"/>
      <c r="AN36" s="140"/>
      <c r="AO36" s="140"/>
      <c r="AP36" s="140"/>
      <c r="AQ36" s="140"/>
      <c r="AR36" s="140"/>
      <c r="AS36" s="125"/>
      <c r="AT36" s="138"/>
      <c r="AU36" s="140"/>
      <c r="AV36" s="140"/>
      <c r="AW36" s="140"/>
      <c r="AX36" s="140"/>
      <c r="AY36" s="140"/>
      <c r="AZ36" s="140"/>
      <c r="BA36" s="21"/>
      <c r="BB36" s="139"/>
      <c r="BC36" s="140"/>
      <c r="BD36" s="140"/>
      <c r="BE36" s="140"/>
      <c r="BF36" s="140"/>
      <c r="BG36" s="140"/>
      <c r="BH36" s="140"/>
      <c r="BI36" s="125"/>
      <c r="BJ36" s="138"/>
      <c r="BK36" s="140"/>
      <c r="BL36" s="140"/>
      <c r="BM36" s="140"/>
      <c r="BN36" s="21"/>
      <c r="BO36" s="139"/>
      <c r="BP36" s="140"/>
      <c r="BQ36" s="66"/>
      <c r="BR36" s="66"/>
      <c r="BS36" s="54"/>
      <c r="BT36" s="145"/>
      <c r="BU36" s="66"/>
      <c r="BV36" s="66"/>
      <c r="BW36" s="66"/>
      <c r="BY36" s="119"/>
      <c r="BZ36" s="66"/>
      <c r="CA36" s="66"/>
      <c r="CB36" s="66"/>
      <c r="CC36" s="54"/>
      <c r="CD36" s="145"/>
      <c r="CE36" s="66"/>
      <c r="CF36" s="66"/>
      <c r="CG36" s="66"/>
      <c r="CI36" s="119"/>
      <c r="CJ36" s="66"/>
      <c r="CK36" s="66"/>
      <c r="CL36" s="66"/>
      <c r="CM36" s="54"/>
      <c r="CN36" s="145"/>
      <c r="CO36" s="66"/>
      <c r="CP36" s="66"/>
      <c r="CQ36" s="66"/>
      <c r="CS36" s="119"/>
      <c r="CT36" s="66"/>
      <c r="CU36" s="66"/>
      <c r="CV36" s="66"/>
      <c r="CW36" s="54"/>
      <c r="CX36" s="145"/>
      <c r="CY36" s="66"/>
      <c r="CZ36" s="66"/>
      <c r="DA36" s="66"/>
      <c r="DC36" s="119"/>
      <c r="DD36" s="66"/>
      <c r="DE36" s="66"/>
      <c r="DF36" s="66"/>
      <c r="DG36" s="54"/>
    </row>
    <row r="37" spans="1:111">
      <c r="A37" s="166" t="s">
        <v>842</v>
      </c>
      <c r="B37" s="108" t="s">
        <v>843</v>
      </c>
      <c r="C37" s="30"/>
      <c r="D37" s="43"/>
      <c r="E37" s="43"/>
      <c r="I37" s="40"/>
      <c r="K37" s="430"/>
      <c r="L37" s="40"/>
      <c r="M37" s="40"/>
      <c r="AD37" s="431"/>
      <c r="AE37" s="431"/>
      <c r="AF37" s="140"/>
      <c r="AG37" s="140"/>
      <c r="AH37" s="140"/>
      <c r="AI37" s="140"/>
      <c r="AJ37" s="140"/>
      <c r="AK37" s="21"/>
      <c r="AL37" s="139"/>
      <c r="AM37" s="140"/>
      <c r="AN37" s="140"/>
      <c r="AO37" s="140"/>
      <c r="AP37" s="140"/>
      <c r="AQ37" s="140"/>
      <c r="AR37" s="140"/>
      <c r="AS37" s="21"/>
      <c r="AT37" s="139"/>
      <c r="AU37" s="140"/>
      <c r="AV37" s="140"/>
      <c r="AW37" s="140"/>
      <c r="AX37" s="140"/>
      <c r="AY37" s="140"/>
      <c r="AZ37" s="140"/>
      <c r="BA37" s="21"/>
      <c r="BB37" s="139"/>
      <c r="BC37" s="140"/>
      <c r="BD37" s="140"/>
      <c r="BE37" s="140"/>
      <c r="BF37" s="140"/>
      <c r="BG37" s="140"/>
      <c r="BH37" s="140"/>
      <c r="BI37" s="21"/>
      <c r="BJ37" s="139"/>
      <c r="BK37" s="140"/>
      <c r="BL37" s="140"/>
      <c r="BM37" s="140"/>
      <c r="BN37" s="21"/>
      <c r="BO37" s="139"/>
      <c r="BP37" s="140"/>
      <c r="BQ37" s="66"/>
      <c r="BR37" s="66"/>
      <c r="BS37" s="1"/>
      <c r="BT37" s="119"/>
      <c r="BU37" s="66"/>
      <c r="BV37" s="66"/>
      <c r="BW37" s="66"/>
      <c r="BY37" s="119"/>
      <c r="BZ37" s="66"/>
      <c r="CA37" s="66"/>
      <c r="CB37" s="66"/>
      <c r="CC37" s="1"/>
      <c r="CD37" s="119"/>
      <c r="CE37" s="66"/>
      <c r="CF37" s="66"/>
      <c r="CG37" s="66"/>
      <c r="CI37" s="119"/>
      <c r="CJ37" s="66"/>
      <c r="CK37" s="66"/>
      <c r="CL37" s="66"/>
      <c r="CM37" s="1"/>
      <c r="CN37" s="119"/>
      <c r="CO37" s="66"/>
      <c r="CP37" s="66"/>
      <c r="CQ37" s="66"/>
      <c r="CS37" s="119"/>
      <c r="CT37" s="66"/>
      <c r="CU37" s="66"/>
      <c r="CV37" s="66"/>
      <c r="CW37" s="1"/>
      <c r="CX37" s="119"/>
      <c r="CY37" s="66"/>
      <c r="CZ37" s="66"/>
      <c r="DA37" s="66"/>
      <c r="DC37" s="119"/>
      <c r="DD37" s="66"/>
      <c r="DE37" s="66"/>
      <c r="DF37" s="66"/>
      <c r="DG37" s="1"/>
    </row>
    <row r="38" spans="1:111">
      <c r="B38" s="108"/>
      <c r="C38" s="30"/>
      <c r="D38" s="43"/>
      <c r="E38" s="43"/>
      <c r="I38" s="40"/>
      <c r="K38" s="430"/>
      <c r="L38" s="40"/>
      <c r="M38" s="40"/>
      <c r="AD38" s="431"/>
      <c r="AE38" s="431"/>
      <c r="AF38" s="140"/>
      <c r="AG38" s="140"/>
      <c r="AH38" s="140"/>
      <c r="AI38" s="140"/>
      <c r="AJ38" s="140"/>
      <c r="AK38" s="21"/>
      <c r="AL38" s="139"/>
      <c r="AM38" s="140"/>
      <c r="AN38" s="140"/>
      <c r="AO38" s="140"/>
      <c r="AP38" s="140"/>
      <c r="AQ38" s="140"/>
      <c r="AR38" s="140"/>
      <c r="AS38" s="21"/>
      <c r="AT38" s="139"/>
      <c r="AU38" s="140"/>
      <c r="AV38" s="140"/>
      <c r="AW38" s="140"/>
      <c r="AX38" s="140"/>
      <c r="AY38" s="140"/>
      <c r="AZ38" s="140"/>
      <c r="BA38" s="21"/>
      <c r="BB38" s="139"/>
      <c r="BC38" s="140"/>
      <c r="BD38" s="140"/>
      <c r="BE38" s="140"/>
      <c r="BF38" s="140"/>
      <c r="BG38" s="140"/>
      <c r="BH38" s="140"/>
      <c r="BI38" s="21"/>
      <c r="BJ38" s="139"/>
      <c r="BK38" s="140"/>
      <c r="BL38" s="140"/>
      <c r="BM38" s="140"/>
      <c r="BN38" s="21"/>
      <c r="BO38" s="139"/>
      <c r="BP38" s="140"/>
      <c r="BQ38" s="66"/>
      <c r="BR38" s="66"/>
      <c r="BS38" s="1"/>
      <c r="BT38" s="119"/>
      <c r="BU38" s="66"/>
      <c r="BV38" s="66"/>
      <c r="BW38" s="66"/>
      <c r="BY38" s="119"/>
      <c r="BZ38" s="66"/>
      <c r="CA38" s="66"/>
      <c r="CB38" s="66"/>
      <c r="CC38" s="1"/>
      <c r="CD38" s="119"/>
      <c r="CE38" s="66"/>
      <c r="CF38" s="66"/>
      <c r="CG38" s="66"/>
      <c r="CI38" s="119"/>
      <c r="CJ38" s="66"/>
      <c r="CK38" s="66"/>
      <c r="CL38" s="66"/>
      <c r="CM38" s="1"/>
      <c r="CN38" s="119"/>
      <c r="CO38" s="66"/>
      <c r="CP38" s="66"/>
      <c r="CQ38" s="66"/>
      <c r="CS38" s="119"/>
      <c r="CT38" s="66"/>
      <c r="CU38" s="66"/>
      <c r="CV38" s="66"/>
      <c r="CW38" s="1"/>
      <c r="CX38" s="119"/>
      <c r="CY38" s="66"/>
      <c r="CZ38" s="66"/>
      <c r="DA38" s="66"/>
      <c r="DC38" s="119"/>
      <c r="DD38" s="66"/>
      <c r="DE38" s="66"/>
      <c r="DF38" s="66"/>
      <c r="DG38" s="1"/>
    </row>
    <row r="39" spans="1:111">
      <c r="B39" s="108"/>
      <c r="C39" s="30"/>
      <c r="D39" s="43"/>
      <c r="E39" s="43"/>
      <c r="I39" s="40"/>
      <c r="K39" s="430"/>
      <c r="L39" s="40"/>
      <c r="M39" s="40"/>
      <c r="AD39" s="431"/>
      <c r="AE39" s="431"/>
      <c r="AF39" s="140"/>
      <c r="AG39" s="140"/>
      <c r="AH39" s="140"/>
      <c r="AI39" s="140"/>
      <c r="AJ39" s="140"/>
      <c r="AK39" s="21"/>
      <c r="AL39" s="139"/>
      <c r="AM39" s="140"/>
      <c r="AN39" s="140"/>
      <c r="AO39" s="140"/>
      <c r="AP39" s="140"/>
      <c r="AQ39" s="140"/>
      <c r="AR39" s="140"/>
      <c r="AS39" s="21"/>
      <c r="AT39" s="139"/>
      <c r="AU39" s="140"/>
      <c r="AV39" s="140"/>
      <c r="AW39" s="140"/>
      <c r="AX39" s="140"/>
      <c r="AY39" s="140"/>
      <c r="AZ39" s="140"/>
      <c r="BA39" s="21"/>
      <c r="BB39" s="139"/>
      <c r="BC39" s="140"/>
      <c r="BD39" s="140"/>
      <c r="BE39" s="140"/>
      <c r="BF39" s="140"/>
      <c r="BG39" s="140"/>
      <c r="BH39" s="140"/>
      <c r="BI39" s="21"/>
      <c r="BJ39" s="139"/>
      <c r="BK39" s="140"/>
      <c r="BL39" s="140"/>
      <c r="BM39" s="140"/>
      <c r="BN39" s="21"/>
      <c r="BO39" s="139"/>
      <c r="BP39" s="140"/>
      <c r="BQ39" s="66"/>
      <c r="BR39" s="66"/>
      <c r="BS39" s="1"/>
      <c r="BT39" s="119"/>
      <c r="BU39" s="66"/>
      <c r="BV39" s="66"/>
      <c r="BW39" s="66"/>
      <c r="BY39" s="119"/>
      <c r="BZ39" s="66"/>
      <c r="CA39" s="66"/>
      <c r="CB39" s="66"/>
      <c r="CC39" s="1"/>
      <c r="CD39" s="119"/>
      <c r="CE39" s="66"/>
      <c r="CF39" s="66"/>
      <c r="CG39" s="66"/>
      <c r="CI39" s="119"/>
      <c r="CJ39" s="66"/>
      <c r="CK39" s="66"/>
      <c r="CL39" s="66"/>
      <c r="CM39" s="1"/>
      <c r="CN39" s="119"/>
      <c r="CO39" s="66"/>
      <c r="CP39" s="66"/>
      <c r="CQ39" s="66"/>
      <c r="CS39" s="119"/>
      <c r="CT39" s="66"/>
      <c r="CU39" s="66"/>
      <c r="CV39" s="66"/>
      <c r="CW39" s="1"/>
      <c r="CX39" s="119"/>
      <c r="CY39" s="66"/>
      <c r="CZ39" s="66"/>
      <c r="DA39" s="66"/>
      <c r="DC39" s="119"/>
      <c r="DD39" s="66"/>
      <c r="DE39" s="66"/>
      <c r="DF39" s="66"/>
      <c r="DG39" s="1"/>
    </row>
    <row r="40" spans="1:111" ht="31.35">
      <c r="B40" s="27" t="s">
        <v>81</v>
      </c>
      <c r="C40" s="27" t="s">
        <v>82</v>
      </c>
      <c r="D40" s="27" t="s">
        <v>83</v>
      </c>
      <c r="E40" s="27" t="s">
        <v>84</v>
      </c>
      <c r="F40" s="209" t="s">
        <v>85</v>
      </c>
      <c r="G40" s="27" t="s">
        <v>86</v>
      </c>
      <c r="H40" s="27" t="s">
        <v>87</v>
      </c>
      <c r="I40" s="27" t="s">
        <v>88</v>
      </c>
      <c r="K40" s="199" t="s">
        <v>398</v>
      </c>
      <c r="L40" s="25"/>
      <c r="M40" s="25"/>
      <c r="N40" s="25"/>
      <c r="O40" s="25"/>
      <c r="P40" s="25"/>
      <c r="Q40" s="25"/>
      <c r="R40" s="268" t="s">
        <v>883</v>
      </c>
      <c r="S40" s="193"/>
      <c r="T40" s="193"/>
      <c r="U40" s="193"/>
      <c r="V40" s="195" t="s">
        <v>428</v>
      </c>
      <c r="W40" s="196"/>
      <c r="X40" s="196"/>
      <c r="Y40" s="196"/>
      <c r="Z40" s="195" t="s">
        <v>430</v>
      </c>
      <c r="AA40" s="196"/>
      <c r="AB40" s="196"/>
      <c r="AC40" s="196"/>
      <c r="AD40" s="128">
        <v>0.01</v>
      </c>
      <c r="AE40" s="129"/>
      <c r="AF40" s="21"/>
      <c r="AG40" s="21"/>
      <c r="AH40" s="21"/>
      <c r="AI40" s="21"/>
      <c r="AJ40" s="21"/>
      <c r="AK40" s="21"/>
      <c r="AL40" s="129">
        <v>0.01</v>
      </c>
      <c r="AM40" s="21"/>
      <c r="AN40" s="21"/>
      <c r="AO40" s="21"/>
      <c r="AP40" s="21"/>
      <c r="AQ40" s="21"/>
      <c r="AR40" s="21"/>
      <c r="AS40" s="125"/>
      <c r="AT40" s="128">
        <v>0.01</v>
      </c>
      <c r="AU40" s="21"/>
      <c r="AV40" s="21"/>
      <c r="AW40" s="21"/>
      <c r="AX40" s="21"/>
      <c r="AY40" s="21"/>
      <c r="AZ40" s="21"/>
      <c r="BA40" s="21"/>
      <c r="BB40" s="129">
        <v>0.01</v>
      </c>
      <c r="BC40" s="21"/>
      <c r="BD40" s="21"/>
      <c r="BE40" s="21"/>
      <c r="BF40" s="21"/>
      <c r="BG40" s="21"/>
      <c r="BH40" s="21"/>
      <c r="BI40" s="125"/>
      <c r="BJ40" s="128">
        <v>0.01</v>
      </c>
      <c r="BK40" s="21"/>
      <c r="BL40" s="21"/>
      <c r="BM40" s="21"/>
      <c r="BN40" s="21"/>
      <c r="BO40" s="129">
        <v>0.01</v>
      </c>
      <c r="BP40" s="21"/>
      <c r="BQ40" s="1"/>
      <c r="BR40" s="1"/>
      <c r="BS40" s="54"/>
      <c r="BT40" s="55">
        <v>0.01</v>
      </c>
      <c r="BU40" s="1"/>
      <c r="BV40" s="1"/>
      <c r="BW40" s="1"/>
      <c r="BX40" s="1"/>
      <c r="BY40" s="56">
        <v>0.01</v>
      </c>
      <c r="BZ40" s="1"/>
      <c r="CA40" s="1"/>
      <c r="CB40" s="1"/>
      <c r="CC40" s="54"/>
      <c r="CD40" s="55">
        <v>0.01</v>
      </c>
      <c r="CE40" s="1"/>
      <c r="CF40" s="1"/>
      <c r="CG40" s="1"/>
      <c r="CH40" s="1"/>
      <c r="CI40" s="56">
        <v>0.01</v>
      </c>
      <c r="CJ40" s="1"/>
      <c r="CK40" s="1"/>
      <c r="CL40" s="1"/>
      <c r="CM40" s="54"/>
      <c r="CN40" s="55">
        <v>0.01</v>
      </c>
      <c r="CO40" s="1"/>
      <c r="CP40" s="1"/>
      <c r="CQ40" s="1"/>
      <c r="CR40" s="1"/>
      <c r="CS40" s="56">
        <v>0.01</v>
      </c>
      <c r="CT40" s="1"/>
      <c r="CU40" s="1"/>
      <c r="CV40" s="1"/>
      <c r="CW40" s="54"/>
      <c r="CX40" s="55">
        <v>0.01</v>
      </c>
      <c r="CY40" s="1"/>
      <c r="CZ40" s="1"/>
      <c r="DA40" s="1"/>
      <c r="DB40" s="1"/>
      <c r="DC40" s="56">
        <v>0.01</v>
      </c>
      <c r="DD40" s="1"/>
      <c r="DE40" s="1"/>
      <c r="DF40" s="1"/>
      <c r="DG40" s="54"/>
    </row>
    <row r="41" spans="1:111" ht="51" thickBot="1">
      <c r="A41" t="s">
        <v>419</v>
      </c>
      <c r="B41" s="45" t="s">
        <v>89</v>
      </c>
      <c r="C41" s="28" t="s">
        <v>90</v>
      </c>
      <c r="D41" s="28" t="s">
        <v>91</v>
      </c>
      <c r="E41" s="28" t="s">
        <v>92</v>
      </c>
      <c r="F41" s="210" t="s">
        <v>93</v>
      </c>
      <c r="G41" s="28" t="s">
        <v>94</v>
      </c>
      <c r="H41" s="28" t="s">
        <v>95</v>
      </c>
      <c r="I41" s="28" t="s">
        <v>96</v>
      </c>
      <c r="J41" s="62" t="s">
        <v>848</v>
      </c>
      <c r="K41" s="200" t="s">
        <v>97</v>
      </c>
      <c r="L41" s="28" t="s">
        <v>98</v>
      </c>
      <c r="M41" s="28" t="s">
        <v>99</v>
      </c>
      <c r="N41" s="28" t="s">
        <v>425</v>
      </c>
      <c r="O41" s="197" t="s">
        <v>427</v>
      </c>
      <c r="P41" s="28" t="s">
        <v>424</v>
      </c>
      <c r="Q41" s="28" t="s">
        <v>426</v>
      </c>
      <c r="R41" s="194">
        <v>2020</v>
      </c>
      <c r="S41" s="194">
        <v>2030</v>
      </c>
      <c r="T41" s="194">
        <v>2040</v>
      </c>
      <c r="U41" s="194">
        <v>2050</v>
      </c>
      <c r="V41" s="197">
        <v>2020</v>
      </c>
      <c r="W41" s="197">
        <v>2030</v>
      </c>
      <c r="X41" s="197">
        <v>2040</v>
      </c>
      <c r="Y41" s="197">
        <v>2050</v>
      </c>
      <c r="Z41" s="197">
        <v>2020</v>
      </c>
      <c r="AA41" s="197">
        <v>2030</v>
      </c>
      <c r="AB41" s="197">
        <v>2040</v>
      </c>
      <c r="AC41" s="197">
        <v>2050</v>
      </c>
      <c r="AD41" s="130" t="s">
        <v>126</v>
      </c>
      <c r="AE41" s="131" t="s">
        <v>127</v>
      </c>
      <c r="AF41" s="131" t="s">
        <v>127</v>
      </c>
      <c r="AG41" s="131" t="s">
        <v>127</v>
      </c>
      <c r="AH41" s="131" t="s">
        <v>127</v>
      </c>
      <c r="AI41" s="131" t="s">
        <v>127</v>
      </c>
      <c r="AJ41" s="131" t="s">
        <v>127</v>
      </c>
      <c r="AK41" s="21"/>
      <c r="AL41" s="131" t="s">
        <v>126</v>
      </c>
      <c r="AM41" s="131" t="s">
        <v>128</v>
      </c>
      <c r="AN41" s="131" t="s">
        <v>128</v>
      </c>
      <c r="AO41" s="131" t="s">
        <v>128</v>
      </c>
      <c r="AP41" s="131" t="s">
        <v>128</v>
      </c>
      <c r="AQ41" s="131" t="s">
        <v>128</v>
      </c>
      <c r="AR41" s="131" t="s">
        <v>128</v>
      </c>
      <c r="AS41" s="132" t="s">
        <v>100</v>
      </c>
      <c r="AT41" s="130" t="s">
        <v>126</v>
      </c>
      <c r="AU41" s="131" t="s">
        <v>127</v>
      </c>
      <c r="AV41" s="131"/>
      <c r="AW41" s="131" t="s">
        <v>127</v>
      </c>
      <c r="AX41" s="131" t="s">
        <v>127</v>
      </c>
      <c r="AY41" s="131" t="s">
        <v>127</v>
      </c>
      <c r="AZ41" s="131" t="s">
        <v>127</v>
      </c>
      <c r="BA41" s="21"/>
      <c r="BB41" s="131" t="s">
        <v>126</v>
      </c>
      <c r="BC41" s="131" t="s">
        <v>128</v>
      </c>
      <c r="BD41" s="131"/>
      <c r="BE41" s="131" t="s">
        <v>128</v>
      </c>
      <c r="BF41" s="131" t="s">
        <v>128</v>
      </c>
      <c r="BG41" s="131" t="s">
        <v>128</v>
      </c>
      <c r="BH41" s="131" t="s">
        <v>128</v>
      </c>
      <c r="BI41" s="132" t="s">
        <v>100</v>
      </c>
      <c r="BJ41" s="130" t="s">
        <v>126</v>
      </c>
      <c r="BK41" s="131" t="s">
        <v>127</v>
      </c>
      <c r="BL41" s="131" t="s">
        <v>127</v>
      </c>
      <c r="BM41" s="131" t="s">
        <v>127</v>
      </c>
      <c r="BN41" s="21"/>
      <c r="BO41" s="131" t="s">
        <v>126</v>
      </c>
      <c r="BP41" s="131" t="s">
        <v>128</v>
      </c>
      <c r="BQ41" s="28" t="s">
        <v>128</v>
      </c>
      <c r="BR41" s="28" t="s">
        <v>128</v>
      </c>
      <c r="BS41" s="58" t="s">
        <v>100</v>
      </c>
      <c r="BT41" s="57" t="s">
        <v>126</v>
      </c>
      <c r="BU41" s="28" t="s">
        <v>127</v>
      </c>
      <c r="BV41" s="28" t="s">
        <v>127</v>
      </c>
      <c r="BW41" s="28" t="s">
        <v>127</v>
      </c>
      <c r="BX41" s="62" t="s">
        <v>164</v>
      </c>
      <c r="BY41" s="28" t="s">
        <v>126</v>
      </c>
      <c r="BZ41" s="28" t="s">
        <v>128</v>
      </c>
      <c r="CA41" s="28" t="s">
        <v>128</v>
      </c>
      <c r="CB41" s="28" t="s">
        <v>128</v>
      </c>
      <c r="CC41" s="58" t="s">
        <v>100</v>
      </c>
      <c r="CD41" s="144" t="s">
        <v>126</v>
      </c>
      <c r="CE41" s="28" t="s">
        <v>127</v>
      </c>
      <c r="CF41" s="28" t="s">
        <v>127</v>
      </c>
      <c r="CG41" s="28" t="s">
        <v>127</v>
      </c>
      <c r="CI41" s="28" t="s">
        <v>126</v>
      </c>
      <c r="CJ41" s="28" t="s">
        <v>128</v>
      </c>
      <c r="CK41" s="28" t="s">
        <v>128</v>
      </c>
      <c r="CL41" s="28" t="s">
        <v>128</v>
      </c>
      <c r="CM41" s="58" t="s">
        <v>100</v>
      </c>
      <c r="CN41" s="57" t="s">
        <v>126</v>
      </c>
      <c r="CO41" s="28" t="s">
        <v>127</v>
      </c>
      <c r="CP41" s="28" t="s">
        <v>127</v>
      </c>
      <c r="CQ41" s="28" t="s">
        <v>127</v>
      </c>
      <c r="CS41" s="28" t="s">
        <v>126</v>
      </c>
      <c r="CT41" s="28" t="s">
        <v>128</v>
      </c>
      <c r="CU41" s="28" t="s">
        <v>128</v>
      </c>
      <c r="CV41" s="28" t="s">
        <v>128</v>
      </c>
      <c r="CW41" s="58" t="s">
        <v>100</v>
      </c>
      <c r="CX41" s="57" t="s">
        <v>126</v>
      </c>
      <c r="CY41" s="28" t="s">
        <v>127</v>
      </c>
      <c r="CZ41" s="28" t="s">
        <v>127</v>
      </c>
      <c r="DA41" s="28" t="s">
        <v>127</v>
      </c>
      <c r="DC41" s="28" t="s">
        <v>126</v>
      </c>
      <c r="DD41" s="28" t="s">
        <v>128</v>
      </c>
      <c r="DE41" s="28" t="s">
        <v>128</v>
      </c>
      <c r="DF41" s="28" t="s">
        <v>128</v>
      </c>
      <c r="DG41" s="58" t="s">
        <v>100</v>
      </c>
    </row>
    <row r="42" spans="1:111" ht="25.35">
      <c r="B42" s="46" t="s">
        <v>101</v>
      </c>
      <c r="C42" s="29"/>
      <c r="D42" s="29"/>
      <c r="E42" s="29"/>
      <c r="F42" s="211" t="s">
        <v>102</v>
      </c>
      <c r="G42" s="38" t="s">
        <v>103</v>
      </c>
      <c r="H42" s="37" t="s">
        <v>104</v>
      </c>
      <c r="I42" s="39" t="s">
        <v>105</v>
      </c>
      <c r="K42" s="201" t="s">
        <v>106</v>
      </c>
      <c r="L42" s="26" t="s">
        <v>107</v>
      </c>
      <c r="M42" s="26" t="s">
        <v>107</v>
      </c>
      <c r="N42" s="25"/>
      <c r="O42" s="25"/>
      <c r="P42" s="25"/>
      <c r="Q42" s="25"/>
      <c r="R42" s="25"/>
      <c r="S42" s="25"/>
      <c r="T42" s="25"/>
      <c r="U42" s="25"/>
      <c r="V42" s="25"/>
      <c r="W42" s="25"/>
      <c r="X42" s="25"/>
      <c r="Y42" s="25"/>
      <c r="Z42" s="25"/>
      <c r="AA42" s="25"/>
      <c r="AB42" s="25"/>
      <c r="AC42" s="25"/>
      <c r="AD42" s="124" t="s">
        <v>130</v>
      </c>
      <c r="AE42" s="21"/>
      <c r="AF42" t="s">
        <v>847</v>
      </c>
      <c r="AG42" s="21" t="s">
        <v>401</v>
      </c>
      <c r="AH42" s="21" t="e">
        <f>"U"&amp;#REF!</f>
        <v>#REF!</v>
      </c>
      <c r="AI42" s="21" t="s">
        <v>402</v>
      </c>
      <c r="AJ42" s="21" t="e">
        <f>"U"&amp;#REF!</f>
        <v>#REF!</v>
      </c>
      <c r="AK42" s="21" t="s">
        <v>134</v>
      </c>
      <c r="AL42" s="21" t="s">
        <v>131</v>
      </c>
      <c r="AM42" s="21" t="e">
        <f>"L"&amp;#REF!</f>
        <v>#REF!</v>
      </c>
      <c r="AN42" s="21"/>
      <c r="AO42" s="21" t="s">
        <v>403</v>
      </c>
      <c r="AP42" s="21" t="e">
        <f>"L"&amp;#REF!</f>
        <v>#REF!</v>
      </c>
      <c r="AQ42" s="21" t="s">
        <v>404</v>
      </c>
      <c r="AR42" s="21" t="e">
        <f>"L"&amp;#REF!</f>
        <v>#REF!</v>
      </c>
      <c r="AS42" s="125"/>
      <c r="AT42" s="124" t="s">
        <v>130</v>
      </c>
      <c r="AU42" s="21" t="e">
        <f>"U"&amp;#REF!</f>
        <v>#REF!</v>
      </c>
      <c r="AV42" s="21"/>
      <c r="AW42" s="21" t="s">
        <v>401</v>
      </c>
      <c r="AX42" s="21" t="e">
        <f>"U"&amp;#REF!</f>
        <v>#REF!</v>
      </c>
      <c r="AY42" s="21" t="s">
        <v>402</v>
      </c>
      <c r="AZ42" s="21" t="e">
        <f>"U"&amp;#REF!</f>
        <v>#REF!</v>
      </c>
      <c r="BA42" s="21"/>
      <c r="BB42" s="21" t="s">
        <v>131</v>
      </c>
      <c r="BC42" s="21" t="e">
        <f>"L"&amp;#REF!</f>
        <v>#REF!</v>
      </c>
      <c r="BD42" s="21"/>
      <c r="BE42" s="21" t="s">
        <v>403</v>
      </c>
      <c r="BF42" s="21" t="e">
        <f>"L"&amp;#REF!</f>
        <v>#REF!</v>
      </c>
      <c r="BG42" s="21" t="s">
        <v>404</v>
      </c>
      <c r="BH42" s="21" t="e">
        <f>"L"&amp;#REF!</f>
        <v>#REF!</v>
      </c>
      <c r="BI42" s="125"/>
      <c r="BJ42" s="124" t="s">
        <v>130</v>
      </c>
      <c r="BK42" s="21" t="e">
        <f>"U"&amp;#REF!</f>
        <v>#REF!</v>
      </c>
      <c r="BL42" s="21" t="e">
        <f>"U"&amp;#REF!</f>
        <v>#REF!</v>
      </c>
      <c r="BM42" s="21" t="e">
        <f>"U"&amp;#REF!</f>
        <v>#REF!</v>
      </c>
      <c r="BN42" s="21"/>
      <c r="BO42" s="21" t="s">
        <v>131</v>
      </c>
      <c r="BP42" s="21" t="e">
        <f>"L"&amp;#REF!</f>
        <v>#REF!</v>
      </c>
      <c r="BQ42" s="1" t="e">
        <f>"L"&amp;#REF!</f>
        <v>#REF!</v>
      </c>
      <c r="BR42" s="1" t="e">
        <f>"L"&amp;#REF!</f>
        <v>#REF!</v>
      </c>
      <c r="BS42" s="54"/>
      <c r="BT42" s="53" t="s">
        <v>130</v>
      </c>
      <c r="BU42" s="1" t="e">
        <f>"U"&amp;#REF!</f>
        <v>#REF!</v>
      </c>
      <c r="BV42" s="1" t="e">
        <f>"U"&amp;#REF!</f>
        <v>#REF!</v>
      </c>
      <c r="BW42" s="1" t="e">
        <f>"U"&amp;#REF!</f>
        <v>#REF!</v>
      </c>
      <c r="BX42" s="1"/>
      <c r="BY42" s="1" t="s">
        <v>131</v>
      </c>
      <c r="BZ42" s="1" t="e">
        <f>"L"&amp;#REF!</f>
        <v>#REF!</v>
      </c>
      <c r="CA42" s="1" t="e">
        <f>"L"&amp;#REF!</f>
        <v>#REF!</v>
      </c>
      <c r="CB42" s="1" t="e">
        <f>"L"&amp;#REF!</f>
        <v>#REF!</v>
      </c>
      <c r="CC42" s="54"/>
      <c r="CD42" s="53" t="s">
        <v>130</v>
      </c>
      <c r="CE42" s="1" t="e">
        <f>"U"&amp;#REF!</f>
        <v>#REF!</v>
      </c>
      <c r="CF42" s="1" t="e">
        <f>"U"&amp;#REF!</f>
        <v>#REF!</v>
      </c>
      <c r="CG42" s="1" t="e">
        <f>"U"&amp;#REF!</f>
        <v>#REF!</v>
      </c>
      <c r="CH42" s="1"/>
      <c r="CI42" s="1" t="s">
        <v>131</v>
      </c>
      <c r="CJ42" s="1" t="e">
        <f>"L"&amp;#REF!</f>
        <v>#REF!</v>
      </c>
      <c r="CK42" s="1" t="e">
        <f>"L"&amp;#REF!</f>
        <v>#REF!</v>
      </c>
      <c r="CL42" s="1" t="e">
        <f>"L"&amp;#REF!</f>
        <v>#REF!</v>
      </c>
      <c r="CM42" s="54"/>
      <c r="CN42" s="53" t="s">
        <v>130</v>
      </c>
      <c r="CO42" s="1" t="e">
        <f>"U"&amp;#REF!</f>
        <v>#REF!</v>
      </c>
      <c r="CP42" s="1" t="e">
        <f>"U"&amp;#REF!</f>
        <v>#REF!</v>
      </c>
      <c r="CQ42" s="1" t="e">
        <f>"U"&amp;#REF!</f>
        <v>#REF!</v>
      </c>
      <c r="CR42" s="1"/>
      <c r="CS42" s="1" t="s">
        <v>131</v>
      </c>
      <c r="CT42" s="1" t="e">
        <f>"L"&amp;#REF!</f>
        <v>#REF!</v>
      </c>
      <c r="CU42" s="1" t="e">
        <f>"L"&amp;#REF!</f>
        <v>#REF!</v>
      </c>
      <c r="CV42" s="1" t="e">
        <f>"L"&amp;#REF!</f>
        <v>#REF!</v>
      </c>
      <c r="CW42" s="54"/>
      <c r="CX42" s="53" t="s">
        <v>130</v>
      </c>
      <c r="CY42" s="1" t="e">
        <f>"U"&amp;#REF!</f>
        <v>#REF!</v>
      </c>
      <c r="CZ42" s="1" t="e">
        <f>"U"&amp;#REF!</f>
        <v>#REF!</v>
      </c>
      <c r="DA42" s="1" t="e">
        <f>"U"&amp;#REF!</f>
        <v>#REF!</v>
      </c>
      <c r="DB42" s="1"/>
      <c r="DC42" s="1" t="s">
        <v>131</v>
      </c>
      <c r="DD42" s="1" t="e">
        <f>"L"&amp;#REF!</f>
        <v>#REF!</v>
      </c>
      <c r="DE42" s="1" t="e">
        <f>"L"&amp;#REF!</f>
        <v>#REF!</v>
      </c>
      <c r="DF42" s="1" t="e">
        <f>"L"&amp;#REF!</f>
        <v>#REF!</v>
      </c>
      <c r="DG42" s="54"/>
    </row>
    <row r="43" spans="1:111">
      <c r="B43" s="47" t="s">
        <v>108</v>
      </c>
      <c r="C43" s="30"/>
      <c r="D43" s="31">
        <v>1</v>
      </c>
      <c r="E43" s="31">
        <f t="shared" ref="E43" si="75">D43+1</f>
        <v>2</v>
      </c>
      <c r="F43" s="212">
        <f>E43+1</f>
        <v>3</v>
      </c>
      <c r="G43" s="31">
        <f t="shared" ref="G43" si="76">F43+1</f>
        <v>4</v>
      </c>
      <c r="H43" s="31">
        <f t="shared" ref="H43" si="77">G43+1</f>
        <v>5</v>
      </c>
      <c r="I43" s="31">
        <f t="shared" ref="I43" si="78">H43+1</f>
        <v>6</v>
      </c>
      <c r="K43" s="202"/>
      <c r="L43" s="118"/>
      <c r="M43" s="118"/>
      <c r="N43" s="25"/>
      <c r="O43" s="25"/>
      <c r="P43" s="25"/>
      <c r="Q43" s="25"/>
      <c r="R43" s="25"/>
      <c r="S43" s="25"/>
      <c r="T43" s="25"/>
      <c r="U43" s="25"/>
      <c r="V43" s="25"/>
      <c r="W43" s="25"/>
      <c r="X43" s="25"/>
      <c r="Y43" s="25"/>
      <c r="Z43" s="25"/>
      <c r="AA43" s="25"/>
      <c r="AB43" s="25"/>
      <c r="AC43" s="25"/>
      <c r="AD43" s="124" t="s">
        <v>130</v>
      </c>
      <c r="AE43" s="21" t="s">
        <v>846</v>
      </c>
      <c r="AG43" s="21" t="e">
        <f>"U"&amp;#REF!</f>
        <v>#REF!</v>
      </c>
      <c r="AH43" s="21" t="e">
        <f>"U"&amp;#REF!</f>
        <v>#REF!</v>
      </c>
      <c r="AI43" s="21" t="e">
        <f>"U"&amp;#REF!</f>
        <v>#REF!</v>
      </c>
      <c r="AJ43" s="21" t="e">
        <f>"U"&amp;#REF!</f>
        <v>#REF!</v>
      </c>
      <c r="AK43" s="21" t="s">
        <v>131</v>
      </c>
      <c r="AL43" s="21"/>
      <c r="AM43" s="21"/>
      <c r="AN43" s="21"/>
      <c r="AO43" s="21"/>
      <c r="AP43" s="21"/>
      <c r="AQ43" s="21"/>
      <c r="AR43" s="21"/>
      <c r="AS43" s="125"/>
      <c r="AT43" s="124"/>
      <c r="AU43" s="21"/>
      <c r="AV43" s="21"/>
      <c r="AW43" s="21"/>
      <c r="AX43" s="21"/>
      <c r="AY43" s="21"/>
      <c r="AZ43" s="21"/>
      <c r="BA43" s="21"/>
      <c r="BB43" s="21"/>
      <c r="BC43" s="21"/>
      <c r="BD43" s="21"/>
      <c r="BE43" s="21"/>
      <c r="BF43" s="21"/>
      <c r="BG43" s="21"/>
      <c r="BH43" s="21"/>
      <c r="BI43" s="125"/>
      <c r="BJ43" s="124"/>
      <c r="BK43" s="21"/>
      <c r="BL43" s="21"/>
      <c r="BM43" s="21"/>
      <c r="BN43" s="21"/>
      <c r="BO43" s="21"/>
      <c r="BP43" s="21"/>
      <c r="BQ43" s="1"/>
      <c r="BR43" s="1"/>
      <c r="BS43" s="54"/>
      <c r="BT43" s="53"/>
      <c r="BU43" s="1"/>
      <c r="BV43" s="1"/>
      <c r="BW43" s="1"/>
      <c r="BX43" s="1"/>
      <c r="BY43" s="1"/>
      <c r="BZ43" s="1"/>
      <c r="CA43" s="1"/>
      <c r="CB43" s="1"/>
      <c r="CC43" s="54"/>
      <c r="CD43" s="53"/>
      <c r="CE43" s="1"/>
      <c r="CF43" s="1"/>
      <c r="CG43" s="1"/>
      <c r="CH43" s="1"/>
      <c r="CI43" s="1"/>
      <c r="CJ43" s="1"/>
      <c r="CK43" s="1"/>
      <c r="CL43" s="54"/>
      <c r="CM43" s="106"/>
      <c r="CN43" s="107"/>
      <c r="CW43" s="106"/>
      <c r="CX43" s="107"/>
      <c r="DG43" s="106"/>
    </row>
    <row r="44" spans="1:111" ht="15">
      <c r="B44" s="108" t="s">
        <v>114</v>
      </c>
      <c r="C44" s="30"/>
      <c r="D44" s="48"/>
      <c r="E44" s="48"/>
      <c r="F44" s="213"/>
      <c r="G44" s="29"/>
      <c r="H44" s="29"/>
      <c r="I44" s="29"/>
      <c r="K44" s="203"/>
      <c r="L44" s="13"/>
      <c r="M44" s="189"/>
      <c r="N44" s="146"/>
      <c r="O44" s="146"/>
      <c r="U44" s="146"/>
      <c r="V44" s="146"/>
      <c r="W44" s="146"/>
      <c r="X44" s="146"/>
      <c r="Y44" s="146"/>
      <c r="Z44" s="146"/>
      <c r="AA44" s="146"/>
      <c r="AB44" s="146"/>
      <c r="AC44" s="146"/>
      <c r="AD44" s="21">
        <v>1E-3</v>
      </c>
      <c r="AE44" s="21"/>
      <c r="AG44" s="21"/>
      <c r="AH44" s="21"/>
      <c r="AI44" s="21"/>
      <c r="AJ44" s="21"/>
      <c r="AK44" s="21"/>
      <c r="AL44" s="21"/>
      <c r="AM44" s="21"/>
      <c r="AN44" s="21"/>
      <c r="AO44" s="21"/>
      <c r="AP44" s="21"/>
      <c r="AQ44" s="21"/>
      <c r="AR44" s="21"/>
      <c r="AS44" s="125"/>
      <c r="AT44" s="124"/>
      <c r="AU44" s="21"/>
      <c r="AV44" s="21"/>
      <c r="AW44" s="21"/>
      <c r="AX44" s="21"/>
      <c r="AY44" s="21"/>
      <c r="AZ44" s="21"/>
      <c r="BA44" s="21"/>
      <c r="BB44" s="21"/>
      <c r="BC44" s="21"/>
      <c r="BD44" s="21"/>
      <c r="BE44" s="21"/>
      <c r="BF44" s="21"/>
      <c r="BG44" s="21"/>
      <c r="BH44" s="21"/>
      <c r="BI44" s="125"/>
      <c r="BJ44" s="124"/>
      <c r="BK44" s="21"/>
      <c r="BL44" s="21"/>
      <c r="BM44" s="21"/>
      <c r="BN44" s="21"/>
      <c r="BO44" s="21"/>
      <c r="BP44" s="21"/>
      <c r="BQ44" s="1"/>
      <c r="BR44" s="1"/>
      <c r="BS44" s="54"/>
      <c r="BT44" s="53"/>
      <c r="BU44" s="1"/>
      <c r="BV44" s="1"/>
      <c r="BX44" s="1"/>
      <c r="BY44" s="1"/>
      <c r="BZ44" s="1"/>
      <c r="CA44" s="1"/>
      <c r="CB44" s="1"/>
      <c r="CC44" s="54"/>
      <c r="CD44" s="53"/>
      <c r="CE44" s="1"/>
      <c r="CF44" s="1"/>
      <c r="CH44" s="1"/>
      <c r="CI44" s="1"/>
      <c r="CJ44" s="1"/>
      <c r="CK44" s="1"/>
      <c r="CL44" s="54"/>
      <c r="CM44" s="106"/>
      <c r="CN44" s="107"/>
      <c r="CW44" s="106"/>
      <c r="CX44" s="107"/>
      <c r="DG44" s="106"/>
    </row>
    <row r="45" spans="1:111" ht="15.7">
      <c r="A45" s="166" t="s">
        <v>333</v>
      </c>
      <c r="B45" s="165" t="s">
        <v>324</v>
      </c>
      <c r="C45" s="166" t="s">
        <v>177</v>
      </c>
      <c r="D45" s="167" t="s">
        <v>242</v>
      </c>
      <c r="E45" s="167" t="s">
        <v>255</v>
      </c>
      <c r="F45" s="207">
        <f>SUMIF($B$8:$B$11,$C45,$C$8:$C$11)</f>
        <v>1</v>
      </c>
      <c r="G45" s="207">
        <f>SUMIF(AFA!$B$3:$AJ$3,E45,AFA!$B$4:$AJ$4)</f>
        <v>0.34810000000000002</v>
      </c>
      <c r="H45" s="207">
        <f>SUMIF($B$8:$B$11,$C45,$D$8:$D$11)</f>
        <v>1</v>
      </c>
      <c r="I45" s="168" t="s">
        <v>592</v>
      </c>
      <c r="J45" s="169" t="e">
        <f>($F45*0.2+$F46*0.8+$F47*0)*(SUMIFS(Energy_Balance!#REF!,Energy_Balance!$C$55:$C$160,D45,Energy_Balance!$D$55:$D$160,E45))*SUM(K45:K47)</f>
        <v>#REF!</v>
      </c>
      <c r="K45" s="204">
        <f>K25</f>
        <v>0.19964000000000001</v>
      </c>
      <c r="L45" s="168">
        <f>(SUMIFS(Energy_Balance!I$55:I$160,Energy_Balance!$C$55:$C$160,D45,Energy_Balance!$D$55:$D$160,E45))*K45</f>
        <v>1.0268694711948596</v>
      </c>
      <c r="M45" s="168">
        <f>F45*L45</f>
        <v>1.0268694711948596</v>
      </c>
      <c r="N45" s="190">
        <f>(SUMIFS(Energy_Balance!I$55:I$160,Energy_Balance!$C$55:$C$160,D45,Energy_Balance!$D$55:$D$160,E45))*SUM(K45:K47)</f>
        <v>5.1436058464979943</v>
      </c>
      <c r="O45" s="190">
        <f>($F45*K45+$F46*K46+$F47*K47)/SUM(K45:K47)</f>
        <v>3.2658054255294111</v>
      </c>
      <c r="P45" s="190">
        <f>N45*O45</f>
        <v>16.798015880277948</v>
      </c>
      <c r="Q45" s="191">
        <f>IFERROR((P45/$G45)," ")</f>
        <v>48.256293824412374</v>
      </c>
      <c r="R45" s="191">
        <f>R25</f>
        <v>19.96</v>
      </c>
      <c r="S45" s="191">
        <v>1.7999999999999999E-2</v>
      </c>
      <c r="T45" s="191">
        <v>0</v>
      </c>
      <c r="U45" s="191">
        <v>0</v>
      </c>
      <c r="V45" s="190">
        <f>($F45*R45+$F46*R46+$F47*R47)/SUM(R45:R47)</f>
        <v>3.5618185364705877</v>
      </c>
      <c r="W45" s="190">
        <f t="shared" ref="W45" si="79">($F45*S45+$F46*S46+$F47*S47)/SUM(S45:S47)</f>
        <v>5.0822262431372547</v>
      </c>
      <c r="X45" s="190">
        <f t="shared" ref="X45" si="80">($F45*T45+$F46*T46+$F47*T47)/SUM(T45:T47)</f>
        <v>5.3019294117647053</v>
      </c>
      <c r="Y45" s="190">
        <f t="shared" ref="Y45" si="81">($F45*U45+$F46*U46+$F47*U47)/SUM(U45:U47)</f>
        <v>5.3019294117647053</v>
      </c>
      <c r="Z45" s="190" t="s">
        <v>592</v>
      </c>
      <c r="AA45" s="190" t="s">
        <v>592</v>
      </c>
      <c r="AB45" s="190" t="s">
        <v>592</v>
      </c>
      <c r="AC45" s="190" t="s">
        <v>592</v>
      </c>
      <c r="AD45" s="171">
        <f>IFERROR((M45/(SUMIF(RES!$D$39:$D$145,E45,$M$5:$M$217))),0)</f>
        <v>0</v>
      </c>
      <c r="AE45" s="172">
        <f>IF(RES!$G$16=1,BK45,IF(RES!$G$16=2,BU45,IF(RES!$G$16=3,CE45,IF(RES!$G$16=4,CO45,IF(RES!$G$16=5,CY45,AU45)))))</f>
        <v>1.0009999999999999</v>
      </c>
      <c r="AG45" s="172">
        <f>IF(RES!$G$16=1,BL45,IF(RES!$G$16=2,BV45,IF(RES!$G$16=3,CF45,IF(RES!$G$16=4,CP45,IF(RES!$G$16=5,CZ45,AW45)))))</f>
        <v>1</v>
      </c>
      <c r="AH45" s="172">
        <f>IF(RES!$G$16=1,BM45,IF(RES!$G$16=2,BW45,IF(RES!$G$16=3,CG45,IF(RES!$G$16=4,CQ45,IF(RES!$G$16=5,DA45,AX45)))))</f>
        <v>1</v>
      </c>
      <c r="AI45" s="172">
        <f>IF(RES!$G$16=1,BN45,IF(RES!$G$16=2,BX45,IF(RES!$G$16=3,CH45,IF(RES!$G$16=4,CR45,IF(RES!$G$16=5,DB45,AY45)))))</f>
        <v>1</v>
      </c>
      <c r="AJ45" s="172">
        <f>IF(RES!$G$16=1,BO45,IF(RES!$G$16=2,BY45,IF(RES!$G$16=3,CI45,IF(RES!$G$16=4,CS45,IF(RES!$G$16=5,DC45,AZ45)))))</f>
        <v>1</v>
      </c>
      <c r="AK45" s="173"/>
      <c r="AL45" s="174" t="e">
        <f>AD45/(1+#REF!+#REF!)</f>
        <v>#REF!</v>
      </c>
      <c r="AM45" s="172">
        <f>1-$AD$24</f>
        <v>0.999</v>
      </c>
      <c r="AN45" s="172"/>
      <c r="AO45" s="172">
        <f>1-$AD$24</f>
        <v>0.999</v>
      </c>
      <c r="AP45" s="172">
        <f>1-$AD$24</f>
        <v>0.999</v>
      </c>
      <c r="AQ45" s="172">
        <f>1-$AD$24</f>
        <v>0.999</v>
      </c>
      <c r="AR45" s="172">
        <f>1-$AD$24</f>
        <v>0.999</v>
      </c>
      <c r="AS45" s="175">
        <f>ROW()</f>
        <v>45</v>
      </c>
      <c r="AT45" s="176">
        <f>$AD45</f>
        <v>0</v>
      </c>
      <c r="AU45" s="172">
        <f>1+$AD$24</f>
        <v>1.0009999999999999</v>
      </c>
      <c r="AV45" s="172"/>
      <c r="AW45" s="172">
        <v>1</v>
      </c>
      <c r="AX45" s="172">
        <v>1</v>
      </c>
      <c r="AY45" s="172">
        <v>1</v>
      </c>
      <c r="AZ45" s="172">
        <v>1</v>
      </c>
      <c r="BA45" s="173"/>
      <c r="BB45" s="174" t="e">
        <f>$AL45</f>
        <v>#REF!</v>
      </c>
      <c r="BC45" s="172">
        <f>1-$AD$24</f>
        <v>0.999</v>
      </c>
      <c r="BD45" s="172"/>
      <c r="BE45" s="172">
        <f>1-$AD$24</f>
        <v>0.999</v>
      </c>
      <c r="BF45" s="172">
        <f>1-$AD$24</f>
        <v>0.999</v>
      </c>
      <c r="BG45" s="172">
        <f>1-$AD$24</f>
        <v>0.999</v>
      </c>
      <c r="BH45" s="172">
        <f>1-$AD$24</f>
        <v>0.999</v>
      </c>
      <c r="BI45" s="175">
        <f>ROW()</f>
        <v>45</v>
      </c>
      <c r="BJ45" s="176">
        <f>AD45</f>
        <v>0</v>
      </c>
      <c r="BK45" s="172">
        <v>0.27</v>
      </c>
      <c r="BL45" s="172">
        <v>0.05</v>
      </c>
      <c r="BM45" s="172">
        <v>0</v>
      </c>
      <c r="BN45" s="173"/>
      <c r="BO45" s="174" t="e">
        <f>$AL45</f>
        <v>#REF!</v>
      </c>
      <c r="BP45" s="172">
        <f>BC45</f>
        <v>0.999</v>
      </c>
      <c r="BQ45" s="172">
        <f>BF45</f>
        <v>0.999</v>
      </c>
      <c r="BR45" s="172">
        <f t="shared" ref="BR45:BR47" si="82">BH45</f>
        <v>0.999</v>
      </c>
      <c r="BS45" s="178"/>
      <c r="BT45" s="179" t="e">
        <f>AL45</f>
        <v>#REF!</v>
      </c>
      <c r="BU45" s="182" t="e">
        <f>BT45</f>
        <v>#REF!</v>
      </c>
      <c r="BV45" s="182">
        <v>0.05</v>
      </c>
      <c r="BW45" s="182">
        <v>0</v>
      </c>
      <c r="BX45" s="169"/>
      <c r="BY45" s="180" t="e">
        <f>$AL45</f>
        <v>#REF!</v>
      </c>
      <c r="BZ45" s="177">
        <f t="shared" ref="BZ45:BZ47" si="83">BP45</f>
        <v>0.999</v>
      </c>
      <c r="CA45" s="177">
        <f t="shared" ref="CA45:CA47" si="84">BQ45</f>
        <v>0.999</v>
      </c>
      <c r="CB45" s="177">
        <f t="shared" ref="CB45:CB47" si="85">BR45</f>
        <v>0.999</v>
      </c>
      <c r="CC45" s="178">
        <f>ROW()</f>
        <v>45</v>
      </c>
      <c r="CD45" s="179">
        <f t="shared" ref="CD45:CD47" si="86">AT45</f>
        <v>0</v>
      </c>
      <c r="CE45" s="177">
        <f t="shared" ref="CE45:CE47" si="87">AU45</f>
        <v>1.0009999999999999</v>
      </c>
      <c r="CF45" s="177">
        <f>AX45</f>
        <v>1</v>
      </c>
      <c r="CG45" s="177">
        <f>AZ45</f>
        <v>1</v>
      </c>
      <c r="CH45" s="169"/>
      <c r="CI45" s="180" t="e">
        <f>BB45</f>
        <v>#REF!</v>
      </c>
      <c r="CJ45" s="177">
        <f t="shared" ref="CJ45:CJ47" si="88">BC45</f>
        <v>0.999</v>
      </c>
      <c r="CK45" s="177">
        <f>BF45</f>
        <v>0.999</v>
      </c>
      <c r="CL45" s="177">
        <f t="shared" ref="CL45:CL47" si="89">BH45</f>
        <v>0.999</v>
      </c>
      <c r="CM45" s="178">
        <f>ROW()</f>
        <v>45</v>
      </c>
      <c r="CN45" s="179">
        <f t="shared" ref="CN45:CN47" si="90">AT45</f>
        <v>0</v>
      </c>
      <c r="CO45" s="177">
        <f t="shared" ref="CO45:CO47" si="91">AU45</f>
        <v>1.0009999999999999</v>
      </c>
      <c r="CP45" s="177">
        <f>AX45</f>
        <v>1</v>
      </c>
      <c r="CQ45" s="177">
        <f>AZ45</f>
        <v>1</v>
      </c>
      <c r="CR45" s="169"/>
      <c r="CS45" s="180" t="e">
        <f>BB45</f>
        <v>#REF!</v>
      </c>
      <c r="CT45" s="177">
        <f t="shared" ref="CT45:CT47" si="92">BC45</f>
        <v>0.999</v>
      </c>
      <c r="CU45" s="177">
        <f>BF45</f>
        <v>0.999</v>
      </c>
      <c r="CV45" s="177">
        <f t="shared" ref="CV45:CV47" si="93">BH45</f>
        <v>0.999</v>
      </c>
      <c r="CW45" s="178">
        <f>ROW()</f>
        <v>45</v>
      </c>
      <c r="CX45" s="179">
        <f t="shared" ref="CX45:CX47" si="94">BJ45</f>
        <v>0</v>
      </c>
      <c r="CY45" s="177">
        <f t="shared" ref="CY45:CY47" si="95">BK45</f>
        <v>0.27</v>
      </c>
      <c r="CZ45" s="177">
        <f t="shared" ref="CZ45:CZ47" si="96">BL45</f>
        <v>0.05</v>
      </c>
      <c r="DA45" s="177">
        <f t="shared" ref="DA45:DA47" si="97">BM45</f>
        <v>0</v>
      </c>
      <c r="DB45" s="169"/>
      <c r="DC45" s="180" t="e">
        <f t="shared" ref="DC45:DC47" si="98">BO45</f>
        <v>#REF!</v>
      </c>
      <c r="DD45" s="177">
        <f t="shared" ref="DD45:DD47" si="99">BP45</f>
        <v>0.999</v>
      </c>
      <c r="DE45" s="177">
        <f t="shared" ref="DE45:DE47" si="100">BQ45</f>
        <v>0.999</v>
      </c>
      <c r="DF45" s="177">
        <f t="shared" ref="DF45:DF47" si="101">BR45</f>
        <v>0.999</v>
      </c>
      <c r="DG45" s="178"/>
    </row>
    <row r="46" spans="1:111" ht="15.7">
      <c r="A46" s="169" t="s">
        <v>420</v>
      </c>
      <c r="B46" s="165" t="s">
        <v>325</v>
      </c>
      <c r="C46" s="166" t="s">
        <v>56</v>
      </c>
      <c r="D46" s="167" t="s">
        <v>242</v>
      </c>
      <c r="E46" s="167" t="s">
        <v>255</v>
      </c>
      <c r="F46" s="207">
        <f>SUMIF($B$8:$B$11,$C46,$C$8:$C$11)</f>
        <v>3.7555333333333332</v>
      </c>
      <c r="G46" s="207">
        <f>SUMIF(AFA!$B$3:$AJ$3,E46,AFA!$B$4:$AJ$4)</f>
        <v>0.34810000000000002</v>
      </c>
      <c r="H46" s="207">
        <f>SUMIF($B$8:$B$11,$C46,$D$8:$D$11)</f>
        <v>4.9000000000000004</v>
      </c>
      <c r="I46" s="168" t="s">
        <v>592</v>
      </c>
      <c r="J46" s="169"/>
      <c r="K46" s="204">
        <f t="shared" ref="K46:K47" si="102">K26</f>
        <v>0.76131000000000004</v>
      </c>
      <c r="L46" s="168" t="e">
        <f>(SUMIFS(Energy_Balance!#REF!,Energy_Balance!$C$55:$C$160,D46,Energy_Balance!$D$55:$D$160,E46))*K46</f>
        <v>#REF!</v>
      </c>
      <c r="M46" s="168" t="e">
        <f>F46*L46</f>
        <v>#REF!</v>
      </c>
      <c r="N46" s="170"/>
      <c r="O46" s="170"/>
      <c r="P46" s="170"/>
      <c r="Q46" s="170"/>
      <c r="R46" s="191">
        <f t="shared" ref="R46:R47" si="103">R26</f>
        <v>57</v>
      </c>
      <c r="S46" s="191">
        <v>9.1999999999999998E-2</v>
      </c>
      <c r="T46" s="191">
        <v>0</v>
      </c>
      <c r="U46" s="191">
        <v>0</v>
      </c>
      <c r="V46" s="170"/>
      <c r="W46" s="170"/>
      <c r="X46" s="170"/>
      <c r="Y46" s="170"/>
      <c r="Z46" s="170"/>
      <c r="AA46" s="170"/>
      <c r="AB46" s="170"/>
      <c r="AC46" s="170"/>
      <c r="AD46" s="171">
        <f>IFERROR((M46/(SUMIF(RES!$D$39:$D$145,E46,$M$5:$M$217))),0)</f>
        <v>0</v>
      </c>
      <c r="AE46" s="172" t="e">
        <f>IF(#REF!=1,BK46,IF(#REF!=2,BU46,IF(#REF!=3,CE46,IF(#REF!=4,CO46,IF(#REF!=5,CY46,AU46)))))</f>
        <v>#REF!</v>
      </c>
      <c r="AG46" s="172" t="e">
        <f>IF(#REF!=1,BL46,IF(#REF!=2,BV46,IF(#REF!=3,CF46,IF(#REF!=4,CP46,IF(#REF!=5,CZ46,AW46)))))</f>
        <v>#REF!</v>
      </c>
      <c r="AH46" s="172" t="e">
        <f>IF(#REF!=1,BM46,IF(#REF!=2,BW46,IF(#REF!=3,CG46,IF(#REF!=4,CQ46,IF(#REF!=5,DA46,AX46)))))</f>
        <v>#REF!</v>
      </c>
      <c r="AI46" s="172" t="e">
        <f>IF(#REF!=1,BN46,IF(#REF!=2,BX46,IF(#REF!=3,CH46,IF(#REF!=4,CR46,IF(#REF!=5,DB46,AY46)))))</f>
        <v>#REF!</v>
      </c>
      <c r="AJ46" s="172" t="e">
        <f>IF(#REF!=1,BO46,IF(#REF!=2,BY46,IF(#REF!=3,CI46,IF(#REF!=4,CS46,IF(#REF!=5,DC46,AZ46)))))</f>
        <v>#REF!</v>
      </c>
      <c r="AK46" s="173"/>
      <c r="AL46" s="174" t="e">
        <f>AD46/(1+#REF!+#REF!)</f>
        <v>#REF!</v>
      </c>
      <c r="AM46" s="172" t="e">
        <f>IF(#REF!=1,BP46,IF(#REF!=2,BZ46,IF(#REF!=3,CJ46,IF(#REF!=4,CT46,IF(#REF!=5,DD46,BC46)))))</f>
        <v>#REF!</v>
      </c>
      <c r="AN46" s="172"/>
      <c r="AO46" s="172" t="e">
        <f>IF(#REF!=1,BQ46,IF(#REF!=2,CA46,IF(#REF!=3,CK46,IF(#REF!=4,CU46,IF(#REF!=5,DE46,BF46)))))</f>
        <v>#REF!</v>
      </c>
      <c r="AP46" s="172" t="e">
        <f>IF(#REF!=1,BQ46,IF(#REF!=2,CA46,IF(#REF!=3,CK46,IF(#REF!=4,CU46,IF(#REF!=5,DE46,BF46)))))</f>
        <v>#REF!</v>
      </c>
      <c r="AQ46" s="172" t="e">
        <f>IF(#REF!=1,BR46,IF(#REF!=2,CB46,IF(#REF!=3,CL46,IF(#REF!=4,CV46,IF(#REF!=5,DF46,BH46)))))</f>
        <v>#REF!</v>
      </c>
      <c r="AR46" s="172" t="e">
        <f>IF(#REF!=1,BR46,IF(#REF!=2,CB46,IF(#REF!=3,CL46,IF(#REF!=4,CV46,IF(#REF!=5,DF46,BH46)))))</f>
        <v>#REF!</v>
      </c>
      <c r="AS46" s="175"/>
      <c r="AT46" s="176">
        <f>$AD46</f>
        <v>0</v>
      </c>
      <c r="AU46" s="172" t="e">
        <f>MIN(1,$AD46+#REF!)</f>
        <v>#REF!</v>
      </c>
      <c r="AV46" s="172"/>
      <c r="AW46" s="172" t="e">
        <f>MIN(1,$AD46+#REF!)</f>
        <v>#REF!</v>
      </c>
      <c r="AX46" s="172" t="e">
        <f>MIN(1,$AD46+#REF!)</f>
        <v>#REF!</v>
      </c>
      <c r="AY46" s="172" t="e">
        <f>MIN(1,$AD46+#REF!)</f>
        <v>#REF!</v>
      </c>
      <c r="AZ46" s="172" t="e">
        <f>MIN(1,$AD46+#REF!)</f>
        <v>#REF!</v>
      </c>
      <c r="BA46" s="173"/>
      <c r="BB46" s="174" t="e">
        <f>$AL46</f>
        <v>#REF!</v>
      </c>
      <c r="BC46" s="172" t="e">
        <f>$AL46*#REF!</f>
        <v>#REF!</v>
      </c>
      <c r="BD46" s="172"/>
      <c r="BE46" s="172" t="e">
        <f>$AL46*#REF!</f>
        <v>#REF!</v>
      </c>
      <c r="BF46" s="172" t="e">
        <f>$AL46*#REF!</f>
        <v>#REF!</v>
      </c>
      <c r="BG46" s="172" t="e">
        <f>$AL46*#REF!</f>
        <v>#REF!</v>
      </c>
      <c r="BH46" s="172" t="e">
        <f>$AL46*#REF!</f>
        <v>#REF!</v>
      </c>
      <c r="BI46" s="175"/>
      <c r="BJ46" s="176">
        <f>AD46</f>
        <v>0</v>
      </c>
      <c r="BK46" s="172">
        <v>0.6</v>
      </c>
      <c r="BL46" s="172">
        <v>0.5</v>
      </c>
      <c r="BM46" s="172">
        <v>0.15</v>
      </c>
      <c r="BN46" s="173"/>
      <c r="BO46" s="174" t="e">
        <f>$AL46</f>
        <v>#REF!</v>
      </c>
      <c r="BP46" s="172" t="e">
        <f>BC46</f>
        <v>#REF!</v>
      </c>
      <c r="BQ46" s="172" t="e">
        <f>BF46</f>
        <v>#REF!</v>
      </c>
      <c r="BR46" s="172" t="e">
        <f t="shared" si="82"/>
        <v>#REF!</v>
      </c>
      <c r="BS46" s="178"/>
      <c r="BT46" s="179" t="e">
        <f>AL46</f>
        <v>#REF!</v>
      </c>
      <c r="BU46" s="182" t="e">
        <f>BT46</f>
        <v>#REF!</v>
      </c>
      <c r="BV46" s="182">
        <v>0.5</v>
      </c>
      <c r="BW46" s="182">
        <v>0.15</v>
      </c>
      <c r="BX46" s="169"/>
      <c r="BY46" s="180" t="e">
        <f>$AL46</f>
        <v>#REF!</v>
      </c>
      <c r="BZ46" s="177" t="e">
        <f t="shared" si="83"/>
        <v>#REF!</v>
      </c>
      <c r="CA46" s="177" t="e">
        <f t="shared" si="84"/>
        <v>#REF!</v>
      </c>
      <c r="CB46" s="177" t="e">
        <f t="shared" si="85"/>
        <v>#REF!</v>
      </c>
      <c r="CC46" s="178"/>
      <c r="CD46" s="179">
        <f t="shared" si="86"/>
        <v>0</v>
      </c>
      <c r="CE46" s="177" t="e">
        <f t="shared" si="87"/>
        <v>#REF!</v>
      </c>
      <c r="CF46" s="177" t="e">
        <f>AX46</f>
        <v>#REF!</v>
      </c>
      <c r="CG46" s="177" t="e">
        <f>AZ46</f>
        <v>#REF!</v>
      </c>
      <c r="CH46" s="169"/>
      <c r="CI46" s="180" t="e">
        <f>BB46</f>
        <v>#REF!</v>
      </c>
      <c r="CJ46" s="177" t="e">
        <f t="shared" si="88"/>
        <v>#REF!</v>
      </c>
      <c r="CK46" s="177" t="e">
        <f>BF46</f>
        <v>#REF!</v>
      </c>
      <c r="CL46" s="177" t="e">
        <f t="shared" si="89"/>
        <v>#REF!</v>
      </c>
      <c r="CM46" s="178"/>
      <c r="CN46" s="179">
        <f t="shared" si="90"/>
        <v>0</v>
      </c>
      <c r="CO46" s="177" t="e">
        <f t="shared" si="91"/>
        <v>#REF!</v>
      </c>
      <c r="CP46" s="177" t="e">
        <f>AX46</f>
        <v>#REF!</v>
      </c>
      <c r="CQ46" s="177" t="e">
        <f>AZ46</f>
        <v>#REF!</v>
      </c>
      <c r="CR46" s="169"/>
      <c r="CS46" s="180" t="e">
        <f>BB46</f>
        <v>#REF!</v>
      </c>
      <c r="CT46" s="177" t="e">
        <f t="shared" si="92"/>
        <v>#REF!</v>
      </c>
      <c r="CU46" s="177" t="e">
        <f>BF46</f>
        <v>#REF!</v>
      </c>
      <c r="CV46" s="177" t="e">
        <f t="shared" si="93"/>
        <v>#REF!</v>
      </c>
      <c r="CW46" s="178"/>
      <c r="CX46" s="179">
        <f t="shared" si="94"/>
        <v>0</v>
      </c>
      <c r="CY46" s="177">
        <f t="shared" si="95"/>
        <v>0.6</v>
      </c>
      <c r="CZ46" s="177">
        <f t="shared" si="96"/>
        <v>0.5</v>
      </c>
      <c r="DA46" s="177">
        <f t="shared" si="97"/>
        <v>0.15</v>
      </c>
      <c r="DB46" s="169"/>
      <c r="DC46" s="180" t="e">
        <f t="shared" si="98"/>
        <v>#REF!</v>
      </c>
      <c r="DD46" s="177" t="e">
        <f t="shared" si="99"/>
        <v>#REF!</v>
      </c>
      <c r="DE46" s="177" t="e">
        <f t="shared" si="100"/>
        <v>#REF!</v>
      </c>
      <c r="DF46" s="177" t="e">
        <f t="shared" si="101"/>
        <v>#REF!</v>
      </c>
      <c r="DG46" s="178"/>
    </row>
    <row r="47" spans="1:111" ht="15.7">
      <c r="A47" s="169" t="s">
        <v>420</v>
      </c>
      <c r="B47" s="165" t="s">
        <v>326</v>
      </c>
      <c r="C47" s="166" t="s">
        <v>113</v>
      </c>
      <c r="D47" s="167" t="s">
        <v>242</v>
      </c>
      <c r="E47" s="167" t="s">
        <v>255</v>
      </c>
      <c r="F47" s="207">
        <f>SUMIF($B$8:$B$11,$C47,$C$8:$C$11)</f>
        <v>5.3019294117647053</v>
      </c>
      <c r="G47" s="207">
        <f>SUMIF(AFA!$B$3:$AJ$3,E47,AFA!$B$4:$AJ$4)</f>
        <v>0.34810000000000002</v>
      </c>
      <c r="H47" s="207">
        <f>SUMIF($B$8:$B$11,$C47,$D$8:$D$11)</f>
        <v>9.6</v>
      </c>
      <c r="I47" s="168" t="s">
        <v>592</v>
      </c>
      <c r="J47" s="169"/>
      <c r="K47" s="204">
        <f t="shared" si="102"/>
        <v>3.9049999999999918E-2</v>
      </c>
      <c r="L47" s="168" t="e">
        <f>(SUMIFS(Energy_Balance!#REF!,Energy_Balance!$C$55:$C$160,D47,Energy_Balance!$D$55:$D$160,E47))*K47</f>
        <v>#REF!</v>
      </c>
      <c r="M47" s="168" t="e">
        <f>F47*L47</f>
        <v>#REF!</v>
      </c>
      <c r="N47" s="170"/>
      <c r="O47" s="170"/>
      <c r="P47" s="170"/>
      <c r="Q47" s="170"/>
      <c r="R47" s="191">
        <f t="shared" si="103"/>
        <v>23.039999999999992</v>
      </c>
      <c r="S47" s="191">
        <f>1-S45-S46</f>
        <v>0.89</v>
      </c>
      <c r="T47" s="191">
        <v>1</v>
      </c>
      <c r="U47" s="191">
        <v>1</v>
      </c>
      <c r="V47" s="170"/>
      <c r="W47" s="170"/>
      <c r="X47" s="170"/>
      <c r="Y47" s="170"/>
      <c r="Z47" s="170"/>
      <c r="AA47" s="170"/>
      <c r="AB47" s="170"/>
      <c r="AC47" s="170"/>
      <c r="AD47" s="171">
        <f>IFERROR((M47/(SUMIF(RES!$D$39:$D$145,E47,$M$5:$M$217))),0)</f>
        <v>0</v>
      </c>
      <c r="AE47" s="172" t="e">
        <f>IF(#REF!=1,BK47,IF(#REF!=2,BU47,IF(#REF!=3,CE47,IF(#REF!=4,CO47,IF(#REF!=5,CY47,AU47)))))</f>
        <v>#REF!</v>
      </c>
      <c r="AG47" s="172" t="e">
        <f>IF(#REF!=1,BL47,IF(#REF!=2,BV47,IF(#REF!=3,CF47,IF(#REF!=4,CP47,IF(#REF!=5,CZ47,AW47)))))</f>
        <v>#REF!</v>
      </c>
      <c r="AH47" s="172" t="e">
        <f>IF(#REF!=1,BM47,IF(#REF!=2,BW47,IF(#REF!=3,CG47,IF(#REF!=4,CQ47,IF(#REF!=5,DA47,AX47)))))</f>
        <v>#REF!</v>
      </c>
      <c r="AI47" s="172" t="e">
        <f>IF(#REF!=1,BN47,IF(#REF!=2,BX47,IF(#REF!=3,CH47,IF(#REF!=4,CR47,IF(#REF!=5,DB47,AY47)))))</f>
        <v>#REF!</v>
      </c>
      <c r="AJ47" s="172" t="e">
        <f>IF(#REF!=1,BO47,IF(#REF!=2,BY47,IF(#REF!=3,CI47,IF(#REF!=4,CS47,IF(#REF!=5,DC47,AZ47)))))</f>
        <v>#REF!</v>
      </c>
      <c r="AK47" s="173"/>
      <c r="AL47" s="174" t="e">
        <f>AD47/(1+#REF!+#REF!)</f>
        <v>#REF!</v>
      </c>
      <c r="AM47" s="172" t="e">
        <f>IF(#REF!=1,BP47,IF(#REF!=2,BZ47,IF(#REF!=3,CJ47,IF(#REF!=4,CT47,IF(#REF!=5,DD47,BC47)))))</f>
        <v>#REF!</v>
      </c>
      <c r="AN47" s="172"/>
      <c r="AO47" s="172" t="e">
        <f>IF(#REF!=1,BQ47,IF(#REF!=2,CA47,IF(#REF!=3,CK47,IF(#REF!=4,CU47,IF(#REF!=5,DE47,BF47)))))</f>
        <v>#REF!</v>
      </c>
      <c r="AP47" s="172" t="e">
        <f>IF(#REF!=1,BQ47,IF(#REF!=2,CA47,IF(#REF!=3,CK47,IF(#REF!=4,CU47,IF(#REF!=5,DE47,BF47)))))</f>
        <v>#REF!</v>
      </c>
      <c r="AQ47" s="172" t="e">
        <f>IF(#REF!=1,BR47,IF(#REF!=2,CB47,IF(#REF!=3,CL47,IF(#REF!=4,CV47,IF(#REF!=5,DF47,BH47)))))</f>
        <v>#REF!</v>
      </c>
      <c r="AR47" s="172" t="e">
        <f>IF(#REF!=1,BR47,IF(#REF!=2,CB47,IF(#REF!=3,CL47,IF(#REF!=4,CV47,IF(#REF!=5,DF47,BH47)))))</f>
        <v>#REF!</v>
      </c>
      <c r="AS47" s="175"/>
      <c r="AT47" s="176">
        <f>$AD47</f>
        <v>0</v>
      </c>
      <c r="AU47" s="172" t="e">
        <f>MIN(1,$AD47+#REF!)</f>
        <v>#REF!</v>
      </c>
      <c r="AV47" s="172"/>
      <c r="AW47" s="172" t="e">
        <f>MIN(1,$AD47+#REF!)</f>
        <v>#REF!</v>
      </c>
      <c r="AX47" s="172" t="e">
        <f>MIN(1,$AD47+#REF!)</f>
        <v>#REF!</v>
      </c>
      <c r="AY47" s="172" t="e">
        <f>MIN(1,$AD47+#REF!)</f>
        <v>#REF!</v>
      </c>
      <c r="AZ47" s="172" t="e">
        <f>MIN(1,$AD47+#REF!)</f>
        <v>#REF!</v>
      </c>
      <c r="BA47" s="173"/>
      <c r="BB47" s="174" t="e">
        <f>$AL47</f>
        <v>#REF!</v>
      </c>
      <c r="BC47" s="172" t="e">
        <f>$AL47*#REF!</f>
        <v>#REF!</v>
      </c>
      <c r="BD47" s="172"/>
      <c r="BE47" s="172" t="e">
        <f>$AL47*#REF!</f>
        <v>#REF!</v>
      </c>
      <c r="BF47" s="172" t="e">
        <f>$AL47*#REF!</f>
        <v>#REF!</v>
      </c>
      <c r="BG47" s="172" t="e">
        <f>$AL47*#REF!</f>
        <v>#REF!</v>
      </c>
      <c r="BH47" s="172" t="e">
        <f>$AL47*#REF!</f>
        <v>#REF!</v>
      </c>
      <c r="BI47" s="175"/>
      <c r="BJ47" s="176">
        <f>AD47</f>
        <v>0</v>
      </c>
      <c r="BK47" s="172">
        <v>0.2</v>
      </c>
      <c r="BL47" s="172">
        <v>0.5</v>
      </c>
      <c r="BM47" s="172">
        <v>0.9</v>
      </c>
      <c r="BN47" s="173"/>
      <c r="BO47" s="174" t="e">
        <f>$AL47</f>
        <v>#REF!</v>
      </c>
      <c r="BP47" s="172" t="e">
        <f>BC47</f>
        <v>#REF!</v>
      </c>
      <c r="BQ47" s="172" t="e">
        <f>BF47</f>
        <v>#REF!</v>
      </c>
      <c r="BR47" s="172" t="e">
        <f t="shared" si="82"/>
        <v>#REF!</v>
      </c>
      <c r="BS47" s="178"/>
      <c r="BT47" s="179" t="e">
        <f>AL47</f>
        <v>#REF!</v>
      </c>
      <c r="BU47" s="182" t="e">
        <f>BT47</f>
        <v>#REF!</v>
      </c>
      <c r="BV47" s="182">
        <v>0.5</v>
      </c>
      <c r="BW47" s="182">
        <v>0.9</v>
      </c>
      <c r="BX47" s="169"/>
      <c r="BY47" s="180" t="e">
        <f>$AL47</f>
        <v>#REF!</v>
      </c>
      <c r="BZ47" s="177" t="e">
        <f t="shared" si="83"/>
        <v>#REF!</v>
      </c>
      <c r="CA47" s="177" t="e">
        <f t="shared" si="84"/>
        <v>#REF!</v>
      </c>
      <c r="CB47" s="177" t="e">
        <f t="shared" si="85"/>
        <v>#REF!</v>
      </c>
      <c r="CC47" s="178"/>
      <c r="CD47" s="179">
        <f t="shared" si="86"/>
        <v>0</v>
      </c>
      <c r="CE47" s="177" t="e">
        <f t="shared" si="87"/>
        <v>#REF!</v>
      </c>
      <c r="CF47" s="177" t="e">
        <f>AX47</f>
        <v>#REF!</v>
      </c>
      <c r="CG47" s="177" t="e">
        <f>AZ47</f>
        <v>#REF!</v>
      </c>
      <c r="CH47" s="169"/>
      <c r="CI47" s="180" t="e">
        <f>BB47</f>
        <v>#REF!</v>
      </c>
      <c r="CJ47" s="177" t="e">
        <f t="shared" si="88"/>
        <v>#REF!</v>
      </c>
      <c r="CK47" s="177" t="e">
        <f>BF47</f>
        <v>#REF!</v>
      </c>
      <c r="CL47" s="177" t="e">
        <f t="shared" si="89"/>
        <v>#REF!</v>
      </c>
      <c r="CM47" s="178"/>
      <c r="CN47" s="179">
        <f t="shared" si="90"/>
        <v>0</v>
      </c>
      <c r="CO47" s="177" t="e">
        <f t="shared" si="91"/>
        <v>#REF!</v>
      </c>
      <c r="CP47" s="177" t="e">
        <f>AX47</f>
        <v>#REF!</v>
      </c>
      <c r="CQ47" s="177" t="e">
        <f>AZ47</f>
        <v>#REF!</v>
      </c>
      <c r="CR47" s="169"/>
      <c r="CS47" s="180" t="e">
        <f>BB47</f>
        <v>#REF!</v>
      </c>
      <c r="CT47" s="177" t="e">
        <f t="shared" si="92"/>
        <v>#REF!</v>
      </c>
      <c r="CU47" s="177" t="e">
        <f>BF47</f>
        <v>#REF!</v>
      </c>
      <c r="CV47" s="177" t="e">
        <f t="shared" si="93"/>
        <v>#REF!</v>
      </c>
      <c r="CW47" s="178"/>
      <c r="CX47" s="179">
        <f t="shared" si="94"/>
        <v>0</v>
      </c>
      <c r="CY47" s="177">
        <f t="shared" si="95"/>
        <v>0.2</v>
      </c>
      <c r="CZ47" s="177">
        <f t="shared" si="96"/>
        <v>0.5</v>
      </c>
      <c r="DA47" s="177">
        <f t="shared" si="97"/>
        <v>0.9</v>
      </c>
      <c r="DB47" s="169"/>
      <c r="DC47" s="180" t="e">
        <f t="shared" si="98"/>
        <v>#REF!</v>
      </c>
      <c r="DD47" s="177" t="e">
        <f t="shared" si="99"/>
        <v>#REF!</v>
      </c>
      <c r="DE47" s="177" t="e">
        <f t="shared" si="100"/>
        <v>#REF!</v>
      </c>
      <c r="DF47" s="177" t="e">
        <f t="shared" si="101"/>
        <v>#REF!</v>
      </c>
      <c r="DG47" s="178">
        <f>ROW()</f>
        <v>47</v>
      </c>
    </row>
    <row r="48" spans="1:111">
      <c r="B48" s="108" t="s">
        <v>120</v>
      </c>
      <c r="C48" s="30" t="s">
        <v>334</v>
      </c>
      <c r="D48" s="43"/>
      <c r="E48" s="43"/>
      <c r="F48" s="207" t="str">
        <f>IF($D48="","",SUMIF(#REF!,$B48,#REF!))</f>
        <v/>
      </c>
      <c r="G48" s="207" t="str">
        <f>IF($D48="","",SUMIF(#REF!,$B48,#REF!))</f>
        <v/>
      </c>
      <c r="H48" s="207" t="str">
        <f>IF($D48="","",SUMIF(#REF!,$B48,#REF!))</f>
        <v/>
      </c>
      <c r="I48" s="40" t="str">
        <f>IFERROR((M48/G48*(1+#REF!))," ")</f>
        <v xml:space="preserve"> </v>
      </c>
      <c r="K48" s="205"/>
      <c r="L48" s="40"/>
      <c r="M48" s="40"/>
      <c r="AD48" s="135"/>
      <c r="AE48" s="136"/>
      <c r="AG48" s="136"/>
      <c r="AH48" s="136"/>
      <c r="AI48" s="136"/>
      <c r="AJ48" s="136"/>
      <c r="AK48" s="21"/>
      <c r="AL48" s="137"/>
      <c r="AM48" s="136"/>
      <c r="AN48" s="136"/>
      <c r="AO48" s="136"/>
      <c r="AP48" s="136"/>
      <c r="AQ48" s="136"/>
      <c r="AR48" s="136"/>
      <c r="AS48" s="125"/>
      <c r="AT48" s="138"/>
      <c r="AU48" s="140"/>
      <c r="AV48" s="140"/>
      <c r="AW48" s="140"/>
      <c r="AX48" s="140"/>
      <c r="AY48" s="140"/>
      <c r="AZ48" s="140"/>
      <c r="BA48" s="21"/>
      <c r="BB48" s="139"/>
      <c r="BC48" s="140"/>
      <c r="BD48" s="140"/>
      <c r="BE48" s="140"/>
      <c r="BF48" s="140"/>
      <c r="BG48" s="140"/>
      <c r="BH48" s="140"/>
      <c r="BI48" s="125"/>
      <c r="BJ48" s="138"/>
      <c r="BK48" s="140"/>
      <c r="BL48" s="140"/>
      <c r="BM48" s="140"/>
      <c r="BN48" s="21"/>
      <c r="BO48" s="139"/>
      <c r="BP48" s="140"/>
      <c r="BQ48" s="66"/>
      <c r="BR48" s="66"/>
      <c r="BS48" s="54"/>
      <c r="BT48" s="145"/>
      <c r="BU48" s="66"/>
      <c r="BV48" s="66"/>
      <c r="BW48" s="66"/>
      <c r="BY48" s="119"/>
      <c r="BZ48" s="66"/>
      <c r="CA48" s="66"/>
      <c r="CB48" s="66"/>
      <c r="CC48" s="54"/>
      <c r="CD48" s="145"/>
      <c r="CE48" s="66"/>
      <c r="CF48" s="66"/>
      <c r="CG48" s="66"/>
      <c r="CI48" s="119"/>
      <c r="CJ48" s="66"/>
      <c r="CK48" s="66"/>
      <c r="CL48" s="66"/>
      <c r="CM48" s="54"/>
      <c r="CN48" s="145"/>
      <c r="CO48" s="66"/>
      <c r="CP48" s="66"/>
      <c r="CQ48" s="66"/>
      <c r="CS48" s="119"/>
      <c r="CT48" s="66"/>
      <c r="CU48" s="66"/>
      <c r="CV48" s="66"/>
      <c r="CW48" s="54"/>
      <c r="CX48" s="145"/>
      <c r="CY48" s="66"/>
      <c r="CZ48" s="66"/>
      <c r="DA48" s="66"/>
      <c r="DC48" s="119"/>
      <c r="DD48" s="66"/>
      <c r="DE48" s="66"/>
      <c r="DF48" s="66"/>
      <c r="DG48" s="54"/>
    </row>
    <row r="49" spans="1:111" ht="15.7">
      <c r="A49" s="166" t="s">
        <v>354</v>
      </c>
      <c r="B49" s="165" t="s">
        <v>327</v>
      </c>
      <c r="C49" s="166" t="s">
        <v>177</v>
      </c>
      <c r="D49" s="167" t="s">
        <v>242</v>
      </c>
      <c r="E49" s="43" t="s">
        <v>261</v>
      </c>
      <c r="F49" s="207">
        <f>SUMIF($B$8:$B$11,$C49,$C$8:$C$11)</f>
        <v>1</v>
      </c>
      <c r="G49" s="207">
        <f>SUMIF(AFA!$B$3:$AJ$3,E49,AFA!$B$4:$AJ$4)</f>
        <v>0.34810000000000002</v>
      </c>
      <c r="H49" s="207">
        <f>SUMIF($B$8:$B$11,$C49,$D$8:$D$11)</f>
        <v>1</v>
      </c>
      <c r="I49" s="168" t="s">
        <v>592</v>
      </c>
      <c r="J49" s="169" t="e">
        <f>($F49*0.2+$F50*0.8+$F51*0)*(SUMIFS(Energy_Balance!#REF!,Energy_Balance!$C$55:$C$160,D49,Energy_Balance!$D$55:$D$160,E49))*SUM(K49:K51)</f>
        <v>#REF!</v>
      </c>
      <c r="K49" s="205">
        <f>K45</f>
        <v>0.19964000000000001</v>
      </c>
      <c r="L49" s="168">
        <f>(SUMIFS(Energy_Balance!I$55:I$160,Energy_Balance!$C$55:$C$160,D49,Energy_Balance!$D$55:$D$160,E49))*K49</f>
        <v>1.0560685420660481</v>
      </c>
      <c r="M49" s="168">
        <f>F49*L49</f>
        <v>1.0560685420660481</v>
      </c>
      <c r="N49" s="190">
        <f>(SUMIFS(Energy_Balance!I$55:I$160,Energy_Balance!$C$55:$C$160,D49,Energy_Balance!$D$55:$D$160,E49))*SUM(K49:K51)</f>
        <v>5.2898644663697052</v>
      </c>
      <c r="O49" s="190">
        <f>($F49*K49+$F50*K50+$F51*K51)/SUM(K49:K51)</f>
        <v>3.2658054255294111</v>
      </c>
      <c r="P49" s="190">
        <f>N49*O49</f>
        <v>17.275668074585425</v>
      </c>
      <c r="Q49" s="191">
        <f>IFERROR((P49/$G49)," ")</f>
        <v>49.628463299584674</v>
      </c>
      <c r="R49" s="191">
        <v>0</v>
      </c>
      <c r="S49" s="191">
        <f>S45</f>
        <v>1.7999999999999999E-2</v>
      </c>
      <c r="T49" s="191">
        <v>0</v>
      </c>
      <c r="U49" s="191">
        <v>0</v>
      </c>
      <c r="V49" s="190">
        <f>($F49*R49+$F50*R50+$F51*R51)/SUM(R49:R51)</f>
        <v>4.0648125490196083</v>
      </c>
      <c r="W49" s="190">
        <f t="shared" ref="W49" si="104">($F49*S49+$F50*S50+$F51*S51)/SUM(S49:S51)</f>
        <v>5.0822262431372547</v>
      </c>
      <c r="X49" s="190">
        <f t="shared" ref="X49" si="105">($F49*T49+$F50*T50+$F51*T51)/SUM(T49:T51)</f>
        <v>5.3019294117647053</v>
      </c>
      <c r="Y49" s="190">
        <f t="shared" ref="Y49" si="106">($F49*U49+$F50*U50+$F51*U51)/SUM(U49:U51)</f>
        <v>5.3019294117647053</v>
      </c>
      <c r="Z49" s="190" t="s">
        <v>592</v>
      </c>
      <c r="AA49" s="190" t="s">
        <v>592</v>
      </c>
      <c r="AB49" s="190" t="s">
        <v>592</v>
      </c>
      <c r="AC49" s="190" t="s">
        <v>592</v>
      </c>
      <c r="AD49" s="171">
        <f>IFERROR((M49/(SUMIF(RES!$D$39:$D$145,E49,$M$4:$M$202))),0)</f>
        <v>0</v>
      </c>
      <c r="AE49" s="172">
        <v>1</v>
      </c>
      <c r="AG49" s="172">
        <v>1</v>
      </c>
      <c r="AH49" s="172">
        <v>1</v>
      </c>
      <c r="AI49" s="172">
        <v>1</v>
      </c>
      <c r="AJ49" s="172">
        <v>1</v>
      </c>
      <c r="AK49" s="173"/>
      <c r="AL49" s="174" t="e">
        <f>AD49/(1+#REF!+#REF!)</f>
        <v>#REF!</v>
      </c>
      <c r="AM49" s="172">
        <v>1</v>
      </c>
      <c r="AN49" s="172"/>
      <c r="AO49" s="172">
        <v>1</v>
      </c>
      <c r="AP49" s="172">
        <v>1</v>
      </c>
      <c r="AQ49" s="172">
        <v>1</v>
      </c>
      <c r="AR49" s="172">
        <v>1</v>
      </c>
      <c r="AS49" s="175"/>
      <c r="AT49" s="176">
        <f>$AD49</f>
        <v>0</v>
      </c>
      <c r="AU49" s="172">
        <f>1+$AD$24</f>
        <v>1.0009999999999999</v>
      </c>
      <c r="AV49" s="172"/>
      <c r="AW49" s="172">
        <v>1</v>
      </c>
      <c r="AX49" s="172">
        <v>1</v>
      </c>
      <c r="AY49" s="172">
        <v>1</v>
      </c>
      <c r="AZ49" s="172">
        <v>1</v>
      </c>
      <c r="BA49" s="173"/>
      <c r="BB49" s="174" t="e">
        <f>$AL49</f>
        <v>#REF!</v>
      </c>
      <c r="BC49" s="172">
        <f>1-$AD$24</f>
        <v>0.999</v>
      </c>
      <c r="BD49" s="172"/>
      <c r="BE49" s="172">
        <f>1-$AD$24</f>
        <v>0.999</v>
      </c>
      <c r="BF49" s="172">
        <f>1-$AD$24</f>
        <v>0.999</v>
      </c>
      <c r="BG49" s="172">
        <f>1-$AD$24</f>
        <v>0.999</v>
      </c>
      <c r="BH49" s="172">
        <f>1-$AD$24</f>
        <v>0.999</v>
      </c>
      <c r="BI49" s="175"/>
      <c r="BJ49" s="176">
        <f>AD49</f>
        <v>0</v>
      </c>
      <c r="BK49" s="172" t="e">
        <f>MIN(1,$AD49+#REF!)</f>
        <v>#REF!</v>
      </c>
      <c r="BL49" s="172" t="e">
        <f>MIN(1,$AD49+#REF!)</f>
        <v>#REF!</v>
      </c>
      <c r="BM49" s="172" t="e">
        <f>MIN(1,$AD49+#REF!)</f>
        <v>#REF!</v>
      </c>
      <c r="BN49" s="173"/>
      <c r="BO49" s="174" t="e">
        <f>$AL49</f>
        <v>#REF!</v>
      </c>
      <c r="BP49" s="172" t="e">
        <f>$AL49*#REF!</f>
        <v>#REF!</v>
      </c>
      <c r="BQ49" s="177" t="e">
        <f>$AL49*#REF!</f>
        <v>#REF!</v>
      </c>
      <c r="BR49" s="177" t="e">
        <f>$AL49*#REF!</f>
        <v>#REF!</v>
      </c>
      <c r="BS49" s="178"/>
      <c r="BT49" s="179" t="e">
        <f>AL49</f>
        <v>#REF!</v>
      </c>
      <c r="BU49" s="177" t="e">
        <f>IF(BX50,MIN(1,$AD49+#REF!),MIN(1,$AD49+#REF!))</f>
        <v>#REF!</v>
      </c>
      <c r="BV49" s="177" t="e">
        <f>IF(BX50,MIN(1,$AD49+#REF!),MIN(1,$AD49+#REF!))</f>
        <v>#REF!</v>
      </c>
      <c r="BW49" s="177" t="e">
        <f>IF(BX50,MIN(1,$AD49+#REF!),MIN(1,$AD49+#REF!))</f>
        <v>#REF!</v>
      </c>
      <c r="BX49" s="169"/>
      <c r="BY49" s="180" t="e">
        <f>$AL49</f>
        <v>#REF!</v>
      </c>
      <c r="BZ49" s="177" t="e">
        <f>IF(BX49,$AL49*#REF!,$AL49*#REF!)</f>
        <v>#REF!</v>
      </c>
      <c r="CA49" s="177" t="e">
        <f>IF(BX49,$AL49*#REF!,$AL49*#REF!)</f>
        <v>#REF!</v>
      </c>
      <c r="CB49" s="177" t="e">
        <f>IF(BX49,$AL49*#REF!,$AL49*#REF!)</f>
        <v>#REF!</v>
      </c>
      <c r="CC49" s="178"/>
      <c r="CD49" s="179">
        <f t="shared" ref="CD49:CD51" si="107">AT49</f>
        <v>0</v>
      </c>
      <c r="CE49" s="177">
        <f t="shared" ref="CE49:CE51" si="108">AU49</f>
        <v>1.0009999999999999</v>
      </c>
      <c r="CF49" s="177">
        <f>AX49</f>
        <v>1</v>
      </c>
      <c r="CG49" s="177">
        <f>AZ49</f>
        <v>1</v>
      </c>
      <c r="CH49" s="169"/>
      <c r="CI49" s="180" t="e">
        <f>BB49</f>
        <v>#REF!</v>
      </c>
      <c r="CJ49" s="177">
        <f t="shared" ref="CJ49:CJ51" si="109">BC49</f>
        <v>0.999</v>
      </c>
      <c r="CK49" s="177">
        <f>BF49</f>
        <v>0.999</v>
      </c>
      <c r="CL49" s="177">
        <f t="shared" ref="CL49:CL51" si="110">BH49</f>
        <v>0.999</v>
      </c>
      <c r="CM49" s="178"/>
      <c r="CN49" s="179">
        <f t="shared" ref="CN49:CN51" si="111">AT49</f>
        <v>0</v>
      </c>
      <c r="CO49" s="177">
        <f t="shared" ref="CO49:CO51" si="112">AU49</f>
        <v>1.0009999999999999</v>
      </c>
      <c r="CP49" s="177">
        <f>AX49</f>
        <v>1</v>
      </c>
      <c r="CQ49" s="177">
        <f>AZ49</f>
        <v>1</v>
      </c>
      <c r="CR49" s="169"/>
      <c r="CS49" s="180" t="e">
        <f>BB49</f>
        <v>#REF!</v>
      </c>
      <c r="CT49" s="177">
        <f t="shared" ref="CT49:CT51" si="113">BC49</f>
        <v>0.999</v>
      </c>
      <c r="CU49" s="177">
        <f>BF49</f>
        <v>0.999</v>
      </c>
      <c r="CV49" s="177">
        <f t="shared" ref="CV49:CV51" si="114">BH49</f>
        <v>0.999</v>
      </c>
      <c r="CW49" s="178"/>
      <c r="CX49" s="179">
        <f>BJ49</f>
        <v>0</v>
      </c>
      <c r="CY49" s="177">
        <f t="shared" ref="CY49:CY51" si="115">CE49</f>
        <v>1.0009999999999999</v>
      </c>
      <c r="CZ49" s="177">
        <f t="shared" ref="CZ49:CZ51" si="116">CF49</f>
        <v>1</v>
      </c>
      <c r="DA49" s="177">
        <f t="shared" ref="DA49:DA51" si="117">CG49</f>
        <v>1</v>
      </c>
      <c r="DB49" s="169"/>
      <c r="DC49" s="180" t="e">
        <f t="shared" ref="DC49:DC51" si="118">BO49</f>
        <v>#REF!</v>
      </c>
      <c r="DD49" s="177" t="e">
        <f t="shared" ref="DD49:DD51" si="119">BP49</f>
        <v>#REF!</v>
      </c>
      <c r="DE49" s="177" t="e">
        <f t="shared" ref="DE49:DE51" si="120">BQ49</f>
        <v>#REF!</v>
      </c>
      <c r="DF49" s="177" t="e">
        <f t="shared" ref="DF49:DF51" si="121">BR49</f>
        <v>#REF!</v>
      </c>
      <c r="DG49" s="178"/>
    </row>
    <row r="50" spans="1:111" ht="15.7">
      <c r="A50" s="169"/>
      <c r="B50" s="165" t="s">
        <v>328</v>
      </c>
      <c r="C50" s="166" t="s">
        <v>56</v>
      </c>
      <c r="D50" s="167" t="s">
        <v>242</v>
      </c>
      <c r="E50" s="43" t="s">
        <v>261</v>
      </c>
      <c r="F50" s="207">
        <f t="shared" ref="F50:F51" si="122">SUMIF($B$8:$B$11,$C50,$C$8:$C$11)</f>
        <v>3.7555333333333332</v>
      </c>
      <c r="G50" s="207">
        <f>SUMIF(AFA!$B$3:$AJ$3,E50,AFA!$B$4:$AJ$4)</f>
        <v>0.34810000000000002</v>
      </c>
      <c r="H50" s="207">
        <f>SUMIF($B$8:$B$11,$C50,$D$8:$D$11)</f>
        <v>4.9000000000000004</v>
      </c>
      <c r="I50" s="168" t="s">
        <v>592</v>
      </c>
      <c r="J50" s="169"/>
      <c r="K50" s="205">
        <f t="shared" ref="K50:K51" si="123">K46</f>
        <v>0.76131000000000004</v>
      </c>
      <c r="L50" s="168">
        <f>(SUMIFS(Energy_Balance!I$55:I$160,Energy_Balance!$C$55:$C$160,D50,Energy_Balance!$D$55:$D$160,E50))*K50</f>
        <v>4.0272267168919207</v>
      </c>
      <c r="M50" s="168">
        <f>F50*L50</f>
        <v>15.12438417617817</v>
      </c>
      <c r="N50" s="170"/>
      <c r="O50" s="170"/>
      <c r="P50" s="170"/>
      <c r="Q50" s="170"/>
      <c r="R50" s="191">
        <v>0.8</v>
      </c>
      <c r="S50" s="191">
        <f t="shared" ref="S50:S51" si="124">S46</f>
        <v>9.1999999999999998E-2</v>
      </c>
      <c r="T50" s="191">
        <v>0</v>
      </c>
      <c r="U50" s="191">
        <v>0</v>
      </c>
      <c r="V50" s="170"/>
      <c r="W50" s="170"/>
      <c r="X50" s="170"/>
      <c r="Y50" s="170"/>
      <c r="Z50" s="170"/>
      <c r="AA50" s="170"/>
      <c r="AB50" s="170"/>
      <c r="AC50" s="170"/>
      <c r="AD50" s="171">
        <f>IFERROR((M50/(SUMIF(RES!$D$39:$D$145,E50,$M$4:$M$202))),0)</f>
        <v>0</v>
      </c>
      <c r="AE50" s="172" t="e">
        <f>IF(#REF!=1,BK50,IF(#REF!=2,BU50,IF(#REF!=3,CE50,IF(#REF!=4,CO50,IF(#REF!=5,CY50,AU50)))))</f>
        <v>#REF!</v>
      </c>
      <c r="AG50" s="172" t="e">
        <f>IF(#REF!=1,BL50,IF(#REF!=2,BV50,IF(#REF!=3,CF50,IF(#REF!=4,CP50,IF(#REF!=5,CZ50,AW50)))))</f>
        <v>#REF!</v>
      </c>
      <c r="AH50" s="172" t="e">
        <f>IF(#REF!=1,BM50,IF(#REF!=2,BW50,IF(#REF!=3,CG50,IF(#REF!=4,CQ50,IF(#REF!=5,DA50,AX50)))))</f>
        <v>#REF!</v>
      </c>
      <c r="AI50" s="172" t="e">
        <f>IF(#REF!=1,BN50,IF(#REF!=2,BX50,IF(#REF!=3,CH50,IF(#REF!=4,CR50,IF(#REF!=5,DB50,AY50)))))</f>
        <v>#REF!</v>
      </c>
      <c r="AJ50" s="172" t="e">
        <f>IF(#REF!=1,BO50,IF(#REF!=2,BY50,IF(#REF!=3,CI50,IF(#REF!=4,CS50,IF(#REF!=5,DC50,AZ50)))))</f>
        <v>#REF!</v>
      </c>
      <c r="AK50" s="173"/>
      <c r="AL50" s="174" t="e">
        <f>AD50/(1+#REF!+#REF!)</f>
        <v>#REF!</v>
      </c>
      <c r="AM50" s="172" t="e">
        <f>IF(#REF!=1,BP50,IF(#REF!=2,BZ50,IF(#REF!=3,CJ50,IF(#REF!=4,CT50,IF(#REF!=5,DD50,BC50)))))</f>
        <v>#REF!</v>
      </c>
      <c r="AN50" s="172"/>
      <c r="AO50" s="172" t="e">
        <f>IF(#REF!=1,BQ50,IF(#REF!=2,CA50,IF(#REF!=3,CK50,IF(#REF!=4,CU50,IF(#REF!=5,DE50,BF50)))))</f>
        <v>#REF!</v>
      </c>
      <c r="AP50" s="172" t="e">
        <f>IF(#REF!=1,BQ50,IF(#REF!=2,CA50,IF(#REF!=3,CK50,IF(#REF!=4,CU50,IF(#REF!=5,DE50,BF50)))))</f>
        <v>#REF!</v>
      </c>
      <c r="AQ50" s="172" t="e">
        <f>IF(#REF!=1,BR50,IF(#REF!=2,CB50,IF(#REF!=3,CL50,IF(#REF!=4,CV50,IF(#REF!=5,DF50,BH50)))))</f>
        <v>#REF!</v>
      </c>
      <c r="AR50" s="172" t="e">
        <f>IF(#REF!=1,BR50,IF(#REF!=2,CB50,IF(#REF!=3,CL50,IF(#REF!=4,CV50,IF(#REF!=5,DF50,BH50)))))</f>
        <v>#REF!</v>
      </c>
      <c r="AS50" s="175"/>
      <c r="AT50" s="176">
        <f>$AD50</f>
        <v>0</v>
      </c>
      <c r="AU50" s="172" t="e">
        <f>#REF!</f>
        <v>#REF!</v>
      </c>
      <c r="AV50" s="172"/>
      <c r="AW50" s="172" t="e">
        <f>#REF!</f>
        <v>#REF!</v>
      </c>
      <c r="AX50" s="172" t="e">
        <f>#REF!</f>
        <v>#REF!</v>
      </c>
      <c r="AY50" s="172" t="e">
        <f>#REF!</f>
        <v>#REF!</v>
      </c>
      <c r="AZ50" s="172" t="e">
        <f>#REF!</f>
        <v>#REF!</v>
      </c>
      <c r="BA50" s="173"/>
      <c r="BB50" s="174" t="e">
        <f>$AL50</f>
        <v>#REF!</v>
      </c>
      <c r="BC50" s="172" t="e">
        <f>$AL50*#REF!</f>
        <v>#REF!</v>
      </c>
      <c r="BD50" s="172"/>
      <c r="BE50" s="172" t="e">
        <f>$AL50*#REF!</f>
        <v>#REF!</v>
      </c>
      <c r="BF50" s="172" t="e">
        <f>$AL50*#REF!</f>
        <v>#REF!</v>
      </c>
      <c r="BG50" s="172" t="e">
        <f>$AL50*#REF!</f>
        <v>#REF!</v>
      </c>
      <c r="BH50" s="172" t="e">
        <f>$AL50*#REF!</f>
        <v>#REF!</v>
      </c>
      <c r="BI50" s="175"/>
      <c r="BJ50" s="176">
        <f>AD50</f>
        <v>0</v>
      </c>
      <c r="BK50" s="172" t="e">
        <f>AU50</f>
        <v>#REF!</v>
      </c>
      <c r="BL50" s="172" t="e">
        <f>AX50</f>
        <v>#REF!</v>
      </c>
      <c r="BM50" s="172" t="e">
        <f>AZ50</f>
        <v>#REF!</v>
      </c>
      <c r="BN50" s="173"/>
      <c r="BO50" s="174" t="e">
        <f>$AL50</f>
        <v>#REF!</v>
      </c>
      <c r="BP50" s="172" t="e">
        <f>BC50</f>
        <v>#REF!</v>
      </c>
      <c r="BQ50" s="172" t="e">
        <f>BF50</f>
        <v>#REF!</v>
      </c>
      <c r="BR50" s="172" t="e">
        <f t="shared" ref="BR50:BR51" si="125">BH50</f>
        <v>#REF!</v>
      </c>
      <c r="BS50" s="181"/>
      <c r="BT50" s="179" t="e">
        <f>AL50</f>
        <v>#REF!</v>
      </c>
      <c r="BU50" s="177" t="e">
        <f t="shared" ref="BU50:BU51" si="126">BK50</f>
        <v>#REF!</v>
      </c>
      <c r="BV50" s="177" t="e">
        <f t="shared" ref="BV50:BV51" si="127">BL50</f>
        <v>#REF!</v>
      </c>
      <c r="BW50" s="177" t="e">
        <f t="shared" ref="BW50:BW51" si="128">BM50</f>
        <v>#REF!</v>
      </c>
      <c r="BX50" s="169"/>
      <c r="BY50" s="180" t="e">
        <f>$AL50</f>
        <v>#REF!</v>
      </c>
      <c r="BZ50" s="177" t="e">
        <f t="shared" ref="BZ50:BZ51" si="129">BP50</f>
        <v>#REF!</v>
      </c>
      <c r="CA50" s="177" t="e">
        <f t="shared" ref="CA50:CA51" si="130">BQ50</f>
        <v>#REF!</v>
      </c>
      <c r="CB50" s="177" t="e">
        <f t="shared" ref="CB50:CB51" si="131">BR50</f>
        <v>#REF!</v>
      </c>
      <c r="CC50" s="178"/>
      <c r="CD50" s="179">
        <f t="shared" si="107"/>
        <v>0</v>
      </c>
      <c r="CE50" s="177" t="e">
        <f t="shared" si="108"/>
        <v>#REF!</v>
      </c>
      <c r="CF50" s="177" t="e">
        <f>AX50</f>
        <v>#REF!</v>
      </c>
      <c r="CG50" s="177" t="e">
        <f>AZ50</f>
        <v>#REF!</v>
      </c>
      <c r="CH50" s="169"/>
      <c r="CI50" s="180" t="e">
        <f>BB50</f>
        <v>#REF!</v>
      </c>
      <c r="CJ50" s="177" t="e">
        <f t="shared" si="109"/>
        <v>#REF!</v>
      </c>
      <c r="CK50" s="177" t="e">
        <f>BF50</f>
        <v>#REF!</v>
      </c>
      <c r="CL50" s="177" t="e">
        <f t="shared" si="110"/>
        <v>#REF!</v>
      </c>
      <c r="CM50" s="178"/>
      <c r="CN50" s="179">
        <f t="shared" si="111"/>
        <v>0</v>
      </c>
      <c r="CO50" s="177" t="e">
        <f t="shared" si="112"/>
        <v>#REF!</v>
      </c>
      <c r="CP50" s="177" t="e">
        <f>AX50</f>
        <v>#REF!</v>
      </c>
      <c r="CQ50" s="177" t="e">
        <f>AZ50</f>
        <v>#REF!</v>
      </c>
      <c r="CR50" s="169"/>
      <c r="CS50" s="180" t="e">
        <f>BB50</f>
        <v>#REF!</v>
      </c>
      <c r="CT50" s="177" t="e">
        <f t="shared" si="113"/>
        <v>#REF!</v>
      </c>
      <c r="CU50" s="177" t="e">
        <f>BF50</f>
        <v>#REF!</v>
      </c>
      <c r="CV50" s="177" t="e">
        <f t="shared" si="114"/>
        <v>#REF!</v>
      </c>
      <c r="CW50" s="178"/>
      <c r="CX50" s="179">
        <f>BJ50</f>
        <v>0</v>
      </c>
      <c r="CY50" s="177" t="e">
        <f t="shared" si="115"/>
        <v>#REF!</v>
      </c>
      <c r="CZ50" s="177" t="e">
        <f t="shared" si="116"/>
        <v>#REF!</v>
      </c>
      <c r="DA50" s="177" t="e">
        <f t="shared" si="117"/>
        <v>#REF!</v>
      </c>
      <c r="DB50" s="169"/>
      <c r="DC50" s="180" t="e">
        <f t="shared" si="118"/>
        <v>#REF!</v>
      </c>
      <c r="DD50" s="177" t="e">
        <f t="shared" si="119"/>
        <v>#REF!</v>
      </c>
      <c r="DE50" s="177" t="e">
        <f t="shared" si="120"/>
        <v>#REF!</v>
      </c>
      <c r="DF50" s="177" t="e">
        <f t="shared" si="121"/>
        <v>#REF!</v>
      </c>
      <c r="DG50" s="178"/>
    </row>
    <row r="51" spans="1:111" ht="15.7">
      <c r="A51" s="169"/>
      <c r="B51" s="165" t="s">
        <v>329</v>
      </c>
      <c r="C51" s="166" t="s">
        <v>113</v>
      </c>
      <c r="D51" s="167" t="s">
        <v>242</v>
      </c>
      <c r="E51" s="43" t="s">
        <v>261</v>
      </c>
      <c r="F51" s="207">
        <f t="shared" si="122"/>
        <v>5.3019294117647053</v>
      </c>
      <c r="G51" s="207">
        <f>SUMIF(AFA!$B$3:$AJ$3,E51,AFA!$B$4:$AJ$4)</f>
        <v>0.34810000000000002</v>
      </c>
      <c r="H51" s="207">
        <f>SUMIF($B$8:$B$11,$C51,$D$8:$D$11)</f>
        <v>9.6</v>
      </c>
      <c r="I51" s="168" t="s">
        <v>592</v>
      </c>
      <c r="J51" s="169"/>
      <c r="K51" s="205">
        <f t="shared" si="123"/>
        <v>3.9049999999999918E-2</v>
      </c>
      <c r="L51" s="168">
        <f>(SUMIFS(Energy_Balance!I$55:I$160,Energy_Balance!$C$55:$C$160,D51,Energy_Balance!$D$55:$D$160,E51))*K51</f>
        <v>0.20656920741173657</v>
      </c>
      <c r="M51" s="168">
        <f>F51*L51</f>
        <v>1.0952153563412099</v>
      </c>
      <c r="N51" s="170"/>
      <c r="O51" s="170"/>
      <c r="P51" s="170"/>
      <c r="Q51" s="170"/>
      <c r="R51" s="191">
        <v>0.2</v>
      </c>
      <c r="S51" s="191">
        <f t="shared" si="124"/>
        <v>0.89</v>
      </c>
      <c r="T51" s="191">
        <v>1</v>
      </c>
      <c r="U51" s="191">
        <v>1</v>
      </c>
      <c r="V51" s="170"/>
      <c r="W51" s="170"/>
      <c r="X51" s="170"/>
      <c r="Y51" s="170"/>
      <c r="Z51" s="170"/>
      <c r="AA51" s="170"/>
      <c r="AB51" s="170"/>
      <c r="AC51" s="170"/>
      <c r="AD51" s="171">
        <f>IFERROR((M51/(SUMIF(RES!$D$39:$D$145,E51,$M$4:$M$202))),0)</f>
        <v>0</v>
      </c>
      <c r="AE51" s="172" t="e">
        <f>IF(#REF!=1,BK51,IF(#REF!=2,BU51,IF(#REF!=3,CE51,IF(#REF!=4,CO51,IF(#REF!=5,CY51,AU51)))))</f>
        <v>#REF!</v>
      </c>
      <c r="AG51" s="172" t="e">
        <f>IF(#REF!=1,BL51,IF(#REF!=2,BV51,IF(#REF!=3,CF51,IF(#REF!=4,CP51,IF(#REF!=5,CZ51,AW51)))))</f>
        <v>#REF!</v>
      </c>
      <c r="AH51" s="172" t="e">
        <f>IF(#REF!=1,BM51,IF(#REF!=2,BW51,IF(#REF!=3,CG51,IF(#REF!=4,CQ51,IF(#REF!=5,DA51,AX51)))))</f>
        <v>#REF!</v>
      </c>
      <c r="AI51" s="172" t="e">
        <f>IF(#REF!=1,BN51,IF(#REF!=2,BX51,IF(#REF!=3,CH51,IF(#REF!=4,CR51,IF(#REF!=5,DB51,AY51)))))</f>
        <v>#REF!</v>
      </c>
      <c r="AJ51" s="172" t="e">
        <f>IF(#REF!=1,BO51,IF(#REF!=2,BY51,IF(#REF!=3,CI51,IF(#REF!=4,CS51,IF(#REF!=5,DC51,AZ51)))))</f>
        <v>#REF!</v>
      </c>
      <c r="AK51" s="173"/>
      <c r="AL51" s="174" t="e">
        <f>AD51/(1+#REF!+#REF!)</f>
        <v>#REF!</v>
      </c>
      <c r="AM51" s="172" t="e">
        <f>IF(#REF!=1,BP51,IF(#REF!=2,BZ51,IF(#REF!=3,CJ51,IF(#REF!=4,CT51,IF(#REF!=5,DD51,BC51)))))</f>
        <v>#REF!</v>
      </c>
      <c r="AN51" s="172"/>
      <c r="AO51" s="172" t="e">
        <f>IF(#REF!=1,BQ51,IF(#REF!=2,CA51,IF(#REF!=3,CK51,IF(#REF!=4,CU51,IF(#REF!=5,DE51,BF51)))))</f>
        <v>#REF!</v>
      </c>
      <c r="AP51" s="172" t="e">
        <f>IF(#REF!=1,BQ51,IF(#REF!=2,CA51,IF(#REF!=3,CK51,IF(#REF!=4,CU51,IF(#REF!=5,DE51,BF51)))))</f>
        <v>#REF!</v>
      </c>
      <c r="AQ51" s="172" t="e">
        <f>IF(#REF!=1,BR51,IF(#REF!=2,CB51,IF(#REF!=3,CL51,IF(#REF!=4,CV51,IF(#REF!=5,DF51,BH51)))))</f>
        <v>#REF!</v>
      </c>
      <c r="AR51" s="172" t="e">
        <f>IF(#REF!=1,BR51,IF(#REF!=2,CB51,IF(#REF!=3,CL51,IF(#REF!=4,CV51,IF(#REF!=5,DF51,BH51)))))</f>
        <v>#REF!</v>
      </c>
      <c r="AS51" s="175"/>
      <c r="AT51" s="176">
        <f>$AD51</f>
        <v>0</v>
      </c>
      <c r="AU51" s="172" t="e">
        <f>#REF!</f>
        <v>#REF!</v>
      </c>
      <c r="AV51" s="172"/>
      <c r="AW51" s="172" t="e">
        <f>#REF!</f>
        <v>#REF!</v>
      </c>
      <c r="AX51" s="172" t="e">
        <f>#REF!</f>
        <v>#REF!</v>
      </c>
      <c r="AY51" s="172" t="e">
        <f>#REF!</f>
        <v>#REF!</v>
      </c>
      <c r="AZ51" s="172" t="e">
        <f>#REF!</f>
        <v>#REF!</v>
      </c>
      <c r="BA51" s="173"/>
      <c r="BB51" s="174" t="e">
        <f>$AL51</f>
        <v>#REF!</v>
      </c>
      <c r="BC51" s="172" t="e">
        <f>$AL51*#REF!</f>
        <v>#REF!</v>
      </c>
      <c r="BD51" s="172"/>
      <c r="BE51" s="172" t="e">
        <f>$AL51*#REF!</f>
        <v>#REF!</v>
      </c>
      <c r="BF51" s="172" t="e">
        <f>$AL51*#REF!</f>
        <v>#REF!</v>
      </c>
      <c r="BG51" s="172" t="e">
        <f>$AL51*#REF!</f>
        <v>#REF!</v>
      </c>
      <c r="BH51" s="172" t="e">
        <f>$AL51*#REF!</f>
        <v>#REF!</v>
      </c>
      <c r="BI51" s="175"/>
      <c r="BJ51" s="176">
        <f>AD51</f>
        <v>0</v>
      </c>
      <c r="BK51" s="172" t="e">
        <f>AU51</f>
        <v>#REF!</v>
      </c>
      <c r="BL51" s="172" t="e">
        <f>AX51</f>
        <v>#REF!</v>
      </c>
      <c r="BM51" s="172" t="e">
        <f>AZ51</f>
        <v>#REF!</v>
      </c>
      <c r="BN51" s="173"/>
      <c r="BO51" s="174" t="e">
        <f>$AL51</f>
        <v>#REF!</v>
      </c>
      <c r="BP51" s="172" t="e">
        <f>BC51</f>
        <v>#REF!</v>
      </c>
      <c r="BQ51" s="172" t="e">
        <f>BF51</f>
        <v>#REF!</v>
      </c>
      <c r="BR51" s="172" t="e">
        <f t="shared" si="125"/>
        <v>#REF!</v>
      </c>
      <c r="BS51" s="178"/>
      <c r="BT51" s="179" t="e">
        <f>AL51</f>
        <v>#REF!</v>
      </c>
      <c r="BU51" s="177" t="e">
        <f t="shared" si="126"/>
        <v>#REF!</v>
      </c>
      <c r="BV51" s="177" t="e">
        <f t="shared" si="127"/>
        <v>#REF!</v>
      </c>
      <c r="BW51" s="177" t="e">
        <f t="shared" si="128"/>
        <v>#REF!</v>
      </c>
      <c r="BX51" s="169"/>
      <c r="BY51" s="180" t="e">
        <f>$AL51</f>
        <v>#REF!</v>
      </c>
      <c r="BZ51" s="177" t="e">
        <f t="shared" si="129"/>
        <v>#REF!</v>
      </c>
      <c r="CA51" s="177" t="e">
        <f t="shared" si="130"/>
        <v>#REF!</v>
      </c>
      <c r="CB51" s="177" t="e">
        <f t="shared" si="131"/>
        <v>#REF!</v>
      </c>
      <c r="CC51" s="178"/>
      <c r="CD51" s="179">
        <f t="shared" si="107"/>
        <v>0</v>
      </c>
      <c r="CE51" s="177" t="e">
        <f t="shared" si="108"/>
        <v>#REF!</v>
      </c>
      <c r="CF51" s="177" t="e">
        <f>AX51</f>
        <v>#REF!</v>
      </c>
      <c r="CG51" s="177" t="e">
        <f>AZ51</f>
        <v>#REF!</v>
      </c>
      <c r="CH51" s="169"/>
      <c r="CI51" s="180" t="e">
        <f>BB51</f>
        <v>#REF!</v>
      </c>
      <c r="CJ51" s="177" t="e">
        <f t="shared" si="109"/>
        <v>#REF!</v>
      </c>
      <c r="CK51" s="177" t="e">
        <f>BF51</f>
        <v>#REF!</v>
      </c>
      <c r="CL51" s="177" t="e">
        <f t="shared" si="110"/>
        <v>#REF!</v>
      </c>
      <c r="CM51" s="178"/>
      <c r="CN51" s="179">
        <f t="shared" si="111"/>
        <v>0</v>
      </c>
      <c r="CO51" s="177" t="e">
        <f t="shared" si="112"/>
        <v>#REF!</v>
      </c>
      <c r="CP51" s="177" t="e">
        <f>AX51</f>
        <v>#REF!</v>
      </c>
      <c r="CQ51" s="177" t="e">
        <f>AZ51</f>
        <v>#REF!</v>
      </c>
      <c r="CR51" s="169"/>
      <c r="CS51" s="180" t="e">
        <f>BB51</f>
        <v>#REF!</v>
      </c>
      <c r="CT51" s="177" t="e">
        <f t="shared" si="113"/>
        <v>#REF!</v>
      </c>
      <c r="CU51" s="177" t="e">
        <f>BF51</f>
        <v>#REF!</v>
      </c>
      <c r="CV51" s="177" t="e">
        <f t="shared" si="114"/>
        <v>#REF!</v>
      </c>
      <c r="CW51" s="178"/>
      <c r="CX51" s="179">
        <f>BJ51</f>
        <v>0</v>
      </c>
      <c r="CY51" s="177" t="e">
        <f t="shared" si="115"/>
        <v>#REF!</v>
      </c>
      <c r="CZ51" s="177" t="e">
        <f t="shared" si="116"/>
        <v>#REF!</v>
      </c>
      <c r="DA51" s="177" t="e">
        <f t="shared" si="117"/>
        <v>#REF!</v>
      </c>
      <c r="DB51" s="169"/>
      <c r="DC51" s="180" t="e">
        <f t="shared" si="118"/>
        <v>#REF!</v>
      </c>
      <c r="DD51" s="177" t="e">
        <f t="shared" si="119"/>
        <v>#REF!</v>
      </c>
      <c r="DE51" s="177" t="e">
        <f t="shared" si="120"/>
        <v>#REF!</v>
      </c>
      <c r="DF51" s="177" t="e">
        <f t="shared" si="121"/>
        <v>#REF!</v>
      </c>
      <c r="DG51" s="178"/>
    </row>
    <row r="52" spans="1:111">
      <c r="B52" s="108" t="s">
        <v>121</v>
      </c>
      <c r="C52" s="30" t="s">
        <v>334</v>
      </c>
      <c r="D52" s="43"/>
      <c r="E52" s="43"/>
      <c r="F52" s="207" t="str">
        <f>IF($D52="","",SUMIF(#REF!,$B52,#REF!))</f>
        <v/>
      </c>
      <c r="G52" s="207" t="str">
        <f>IF($D52="","",SUMIF(#REF!,$B52,#REF!))</f>
        <v/>
      </c>
      <c r="H52" s="207" t="str">
        <f>IF($D52="","",SUMIF(#REF!,$B52,#REF!))</f>
        <v/>
      </c>
      <c r="I52" s="40" t="str">
        <f>IFERROR((M52/G52*(1+#REF!))," ")</f>
        <v xml:space="preserve"> </v>
      </c>
      <c r="K52" s="205"/>
      <c r="L52" s="40"/>
      <c r="M52" s="40"/>
      <c r="AD52" s="135"/>
      <c r="AE52" s="140"/>
      <c r="AG52" s="140"/>
      <c r="AH52" s="140"/>
      <c r="AI52" s="140"/>
      <c r="AJ52" s="140"/>
      <c r="AK52" s="21"/>
      <c r="AL52" s="139"/>
      <c r="AM52" s="140"/>
      <c r="AN52" s="140"/>
      <c r="AO52" s="140"/>
      <c r="AP52" s="140"/>
      <c r="AQ52" s="140"/>
      <c r="AR52" s="140"/>
      <c r="AS52" s="125"/>
      <c r="AT52" s="138"/>
      <c r="AU52" s="140"/>
      <c r="AV52" s="140"/>
      <c r="AW52" s="140"/>
      <c r="AX52" s="140"/>
      <c r="AY52" s="140"/>
      <c r="AZ52" s="140"/>
      <c r="BA52" s="21"/>
      <c r="BB52" s="139"/>
      <c r="BC52" s="140"/>
      <c r="BD52" s="140"/>
      <c r="BE52" s="140"/>
      <c r="BF52" s="140"/>
      <c r="BG52" s="140"/>
      <c r="BH52" s="140"/>
      <c r="BI52" s="125"/>
      <c r="BJ52" s="138"/>
      <c r="BK52" s="140"/>
      <c r="BL52" s="140"/>
      <c r="BM52" s="140"/>
      <c r="BN52" s="21"/>
      <c r="BO52" s="139"/>
      <c r="BP52" s="140"/>
      <c r="BQ52" s="140"/>
      <c r="BR52" s="140"/>
      <c r="BS52" s="54"/>
      <c r="BT52" s="145"/>
      <c r="BU52" s="66"/>
      <c r="BV52" s="66"/>
      <c r="BW52" s="66"/>
      <c r="BY52" s="119"/>
      <c r="BZ52" s="66"/>
      <c r="CA52" s="66"/>
      <c r="CB52" s="66"/>
      <c r="CC52" s="54"/>
      <c r="CD52" s="145"/>
      <c r="CE52" s="66"/>
      <c r="CF52" s="66"/>
      <c r="CG52" s="66"/>
      <c r="CI52" s="119"/>
      <c r="CJ52" s="66"/>
      <c r="CK52" s="66"/>
      <c r="CL52" s="66"/>
      <c r="CM52" s="54"/>
      <c r="CN52" s="145"/>
      <c r="CO52" s="66"/>
      <c r="CP52" s="66"/>
      <c r="CQ52" s="66"/>
      <c r="CS52" s="119"/>
      <c r="CT52" s="66"/>
      <c r="CU52" s="66"/>
      <c r="CV52" s="66"/>
      <c r="CW52" s="54"/>
      <c r="CX52" s="145"/>
      <c r="CY52" s="66"/>
      <c r="CZ52" s="66"/>
      <c r="DA52" s="66"/>
      <c r="DC52" s="119"/>
      <c r="DD52" s="66"/>
      <c r="DE52" s="66"/>
      <c r="DF52" s="66"/>
      <c r="DG52" s="54"/>
    </row>
    <row r="53" spans="1:111" ht="15.7">
      <c r="A53" s="166" t="s">
        <v>375</v>
      </c>
      <c r="B53" s="165" t="s">
        <v>330</v>
      </c>
      <c r="C53" s="166" t="s">
        <v>177</v>
      </c>
      <c r="D53" s="167" t="s">
        <v>242</v>
      </c>
      <c r="E53" s="167" t="s">
        <v>267</v>
      </c>
      <c r="F53" s="207">
        <f>SUMIF($B$8:$B$11,$C53,$C$8:$C$11)</f>
        <v>1</v>
      </c>
      <c r="G53" s="207">
        <f>SUMIF(AFA!$B$3:$AJ$3,E53,AFA!$B$4:$AJ$4)</f>
        <v>0.38019999999999998</v>
      </c>
      <c r="H53" s="207">
        <f>SUMIF($B$8:$B$11,$C53,$D$8:$D$11)</f>
        <v>1</v>
      </c>
      <c r="I53" s="168" t="s">
        <v>592</v>
      </c>
      <c r="J53" s="169" t="e">
        <f>($F53*0.15+$F54*0.8+$F55*0.05)*(SUMIFS(Energy_Balance!#REF!,Energy_Balance!$C$55:$C$160,D53,Energy_Balance!$D$55:$D$160,E53))*SUM(K53:K55)</f>
        <v>#REF!</v>
      </c>
      <c r="K53" s="204">
        <f>K49</f>
        <v>0.19964000000000001</v>
      </c>
      <c r="L53" s="168">
        <f>(SUMIFS(Energy_Balance!I$55:I$160,Energy_Balance!$C$55:$C$160,D53,Energy_Balance!$D$55:$D$160,E53))*K53</f>
        <v>1.3832536329290315</v>
      </c>
      <c r="M53" s="168">
        <f>F53*L53</f>
        <v>1.3832536329290315</v>
      </c>
      <c r="N53" s="190">
        <f>(SUMIFS(Energy_Balance!I$55:I$160,Energy_Balance!$C$55:$C$160,D53,Energy_Balance!$D$55:$D$160,E53))*SUM(K53:K55)</f>
        <v>6.928739896458783</v>
      </c>
      <c r="O53" s="190">
        <f>($F53*K53+$F54*K54+$F55*K55)/SUM(K53:K55)</f>
        <v>3.2658054255294111</v>
      </c>
      <c r="P53" s="190">
        <f>N53*O53</f>
        <v>22.627916345937184</v>
      </c>
      <c r="Q53" s="191">
        <f>IFERROR((P53/$G53)," ")</f>
        <v>59.515824160802694</v>
      </c>
      <c r="R53" s="191">
        <v>0</v>
      </c>
      <c r="S53" s="191">
        <f>S49</f>
        <v>1.7999999999999999E-2</v>
      </c>
      <c r="T53" s="191">
        <v>0</v>
      </c>
      <c r="U53" s="191">
        <v>0</v>
      </c>
      <c r="V53" s="190">
        <f>($F53*R53+$F54*R54+$F55*R55)/SUM(R53:R55)</f>
        <v>4.2194521568627446</v>
      </c>
      <c r="W53" s="190">
        <f t="shared" ref="W53" si="132">($F53*S53+$F54*S54+$F55*S55)/SUM(S53:S55)</f>
        <v>5.0822262431372547</v>
      </c>
      <c r="X53" s="190">
        <f t="shared" ref="X53" si="133">($F53*T53+$F54*T54+$F55*T55)/SUM(T53:T55)</f>
        <v>5.3019294117647053</v>
      </c>
      <c r="Y53" s="190">
        <f t="shared" ref="Y53" si="134">($F53*U53+$F54*U54+$F55*U55)/SUM(U53:U55)</f>
        <v>5.3019294117647053</v>
      </c>
      <c r="Z53" s="190"/>
      <c r="AA53" s="190"/>
      <c r="AB53" s="190"/>
      <c r="AC53" s="190"/>
      <c r="AD53" s="171">
        <f>IFERROR((M53/(SUMIF(RES!$D$39:$D$145,E53,$M$4:$M$202))),0)</f>
        <v>0</v>
      </c>
      <c r="AE53" s="172">
        <v>1</v>
      </c>
      <c r="AG53" s="172">
        <v>1</v>
      </c>
      <c r="AH53" s="172">
        <v>1</v>
      </c>
      <c r="AI53" s="172">
        <v>1</v>
      </c>
      <c r="AJ53" s="172">
        <v>1</v>
      </c>
      <c r="AK53" s="173"/>
      <c r="AL53" s="174" t="e">
        <f>AD53/(1+#REF!+#REF!)</f>
        <v>#REF!</v>
      </c>
      <c r="AM53" s="172">
        <v>1</v>
      </c>
      <c r="AN53" s="172"/>
      <c r="AO53" s="172">
        <v>1</v>
      </c>
      <c r="AP53" s="172">
        <v>1</v>
      </c>
      <c r="AQ53" s="172">
        <v>1</v>
      </c>
      <c r="AR53" s="172">
        <v>1</v>
      </c>
      <c r="AS53" s="175"/>
      <c r="AT53" s="176">
        <f>$AD53</f>
        <v>0</v>
      </c>
      <c r="AU53" s="172">
        <f>1+$AD$24</f>
        <v>1.0009999999999999</v>
      </c>
      <c r="AV53" s="172"/>
      <c r="AW53" s="172">
        <v>1</v>
      </c>
      <c r="AX53" s="172">
        <v>1</v>
      </c>
      <c r="AY53" s="172">
        <v>1</v>
      </c>
      <c r="AZ53" s="172">
        <v>1</v>
      </c>
      <c r="BA53" s="173"/>
      <c r="BB53" s="174" t="e">
        <f>$AL53</f>
        <v>#REF!</v>
      </c>
      <c r="BC53" s="172">
        <f>1-$AD$24</f>
        <v>0.999</v>
      </c>
      <c r="BD53" s="172"/>
      <c r="BE53" s="172">
        <f>1-$AD$24</f>
        <v>0.999</v>
      </c>
      <c r="BF53" s="172">
        <f>1-$AD$24</f>
        <v>0.999</v>
      </c>
      <c r="BG53" s="172">
        <f>1-$AD$24</f>
        <v>0.999</v>
      </c>
      <c r="BH53" s="172">
        <f>1-$AD$24</f>
        <v>0.999</v>
      </c>
      <c r="BI53" s="175"/>
      <c r="BJ53" s="176">
        <f>AD53</f>
        <v>0</v>
      </c>
      <c r="BK53" s="172" t="e">
        <f t="shared" ref="BK53:BM53" si="135">#REF!</f>
        <v>#REF!</v>
      </c>
      <c r="BL53" s="172" t="e">
        <f t="shared" si="135"/>
        <v>#REF!</v>
      </c>
      <c r="BM53" s="172" t="e">
        <f t="shared" si="135"/>
        <v>#REF!</v>
      </c>
      <c r="BN53" s="173"/>
      <c r="BO53" s="174" t="e">
        <f>$AL53</f>
        <v>#REF!</v>
      </c>
      <c r="BP53" s="172" t="e">
        <f t="shared" ref="BP53:BR53" si="136">#REF!</f>
        <v>#REF!</v>
      </c>
      <c r="BQ53" s="172" t="e">
        <f t="shared" si="136"/>
        <v>#REF!</v>
      </c>
      <c r="BR53" s="172" t="e">
        <f t="shared" si="136"/>
        <v>#REF!</v>
      </c>
      <c r="BS53" s="178"/>
      <c r="BT53" s="179" t="e">
        <f>AL53</f>
        <v>#REF!</v>
      </c>
      <c r="BU53" s="177" t="e">
        <f t="shared" ref="BU53:BU55" si="137">BK53</f>
        <v>#REF!</v>
      </c>
      <c r="BV53" s="177" t="e">
        <f t="shared" ref="BV53:BV55" si="138">BL53</f>
        <v>#REF!</v>
      </c>
      <c r="BW53" s="177" t="e">
        <f t="shared" ref="BW53:BW55" si="139">BM53</f>
        <v>#REF!</v>
      </c>
      <c r="BX53" s="169"/>
      <c r="BY53" s="180" t="e">
        <f>$AL53</f>
        <v>#REF!</v>
      </c>
      <c r="BZ53" s="177" t="e">
        <f t="shared" ref="BZ53:BZ55" si="140">BP53</f>
        <v>#REF!</v>
      </c>
      <c r="CA53" s="177" t="e">
        <f t="shared" ref="CA53:CA55" si="141">BQ53</f>
        <v>#REF!</v>
      </c>
      <c r="CB53" s="177" t="e">
        <f t="shared" ref="CB53:CB55" si="142">BR53</f>
        <v>#REF!</v>
      </c>
      <c r="CC53" s="178"/>
      <c r="CD53" s="179">
        <f t="shared" ref="CD53:CD55" si="143">AT53</f>
        <v>0</v>
      </c>
      <c r="CE53" s="177">
        <f t="shared" ref="CE53:CE55" si="144">AU53</f>
        <v>1.0009999999999999</v>
      </c>
      <c r="CF53" s="177">
        <f>AX53</f>
        <v>1</v>
      </c>
      <c r="CG53" s="177">
        <f>AZ53</f>
        <v>1</v>
      </c>
      <c r="CH53" s="169"/>
      <c r="CI53" s="180" t="e">
        <f>BB53</f>
        <v>#REF!</v>
      </c>
      <c r="CJ53" s="177">
        <f t="shared" ref="CJ53:CJ55" si="145">BC53</f>
        <v>0.999</v>
      </c>
      <c r="CK53" s="177">
        <f>BF53</f>
        <v>0.999</v>
      </c>
      <c r="CL53" s="177">
        <f t="shared" ref="CL53:CL55" si="146">BH53</f>
        <v>0.999</v>
      </c>
      <c r="CM53" s="178"/>
      <c r="CN53" s="179">
        <f t="shared" ref="CN53:CN55" si="147">AT53</f>
        <v>0</v>
      </c>
      <c r="CO53" s="177">
        <f t="shared" ref="CO53:CO55" si="148">AU53</f>
        <v>1.0009999999999999</v>
      </c>
      <c r="CP53" s="177">
        <f>AX53</f>
        <v>1</v>
      </c>
      <c r="CQ53" s="177">
        <f>AZ53</f>
        <v>1</v>
      </c>
      <c r="CR53" s="169"/>
      <c r="CS53" s="180" t="e">
        <f>BB53</f>
        <v>#REF!</v>
      </c>
      <c r="CT53" s="177">
        <f t="shared" ref="CT53:CT55" si="149">BC53</f>
        <v>0.999</v>
      </c>
      <c r="CU53" s="177">
        <f>BF53</f>
        <v>0.999</v>
      </c>
      <c r="CV53" s="177">
        <f t="shared" ref="CV53:CV55" si="150">BH53</f>
        <v>0.999</v>
      </c>
      <c r="CW53" s="178"/>
      <c r="CX53" s="179">
        <f>BJ53</f>
        <v>0</v>
      </c>
      <c r="CY53" s="177">
        <f t="shared" ref="CY53:CY55" si="151">CE53</f>
        <v>1.0009999999999999</v>
      </c>
      <c r="CZ53" s="177">
        <f t="shared" ref="CZ53:CZ55" si="152">CF53</f>
        <v>1</v>
      </c>
      <c r="DA53" s="177">
        <f t="shared" ref="DA53:DA55" si="153">CG53</f>
        <v>1</v>
      </c>
      <c r="DB53" s="169"/>
      <c r="DC53" s="180" t="e">
        <f t="shared" ref="DC53:DC55" si="154">BO53</f>
        <v>#REF!</v>
      </c>
      <c r="DD53" s="177" t="e">
        <f t="shared" ref="DD53:DD55" si="155">BP53</f>
        <v>#REF!</v>
      </c>
      <c r="DE53" s="177" t="e">
        <f t="shared" ref="DE53:DE55" si="156">BQ53</f>
        <v>#REF!</v>
      </c>
      <c r="DF53" s="177" t="e">
        <f t="shared" ref="DF53:DF55" si="157">BR53</f>
        <v>#REF!</v>
      </c>
      <c r="DG53" s="178"/>
    </row>
    <row r="54" spans="1:111" ht="15.7">
      <c r="A54" s="169"/>
      <c r="B54" s="165" t="s">
        <v>331</v>
      </c>
      <c r="C54" s="166" t="s">
        <v>56</v>
      </c>
      <c r="D54" s="167" t="s">
        <v>242</v>
      </c>
      <c r="E54" s="167" t="s">
        <v>267</v>
      </c>
      <c r="F54" s="207">
        <f t="shared" ref="F54:F55" si="158">SUMIF($B$8:$B$11,$C54,$C$8:$C$11)</f>
        <v>3.7555333333333332</v>
      </c>
      <c r="G54" s="207">
        <f>SUMIF(AFA!$B$3:$AJ$3,E54,AFA!$B$4:$AJ$4)</f>
        <v>0.38019999999999998</v>
      </c>
      <c r="H54" s="207">
        <f>SUMIF($B$8:$B$11,$C54,$D$8:$D$11)</f>
        <v>4.9000000000000004</v>
      </c>
      <c r="I54" s="168" t="s">
        <v>592</v>
      </c>
      <c r="J54" s="169"/>
      <c r="K54" s="204">
        <f t="shared" ref="K54:K55" si="159">K50</f>
        <v>0.76131000000000004</v>
      </c>
      <c r="L54" s="168">
        <f>(SUMIFS(Energy_Balance!I$55:I$160,Energy_Balance!$C$55:$C$160,D54,Energy_Balance!$D$55:$D$160,E54))*K54</f>
        <v>5.2749189705730366</v>
      </c>
      <c r="M54" s="168">
        <f>F54*L54</f>
        <v>19.810134024619391</v>
      </c>
      <c r="N54" s="170"/>
      <c r="O54" s="170"/>
      <c r="P54" s="170"/>
      <c r="Q54" s="170"/>
      <c r="R54" s="191">
        <v>0.7</v>
      </c>
      <c r="S54" s="191">
        <f t="shared" ref="S54:S55" si="160">S50</f>
        <v>9.1999999999999998E-2</v>
      </c>
      <c r="T54" s="191">
        <v>0</v>
      </c>
      <c r="U54" s="191">
        <v>0</v>
      </c>
      <c r="V54" s="170"/>
      <c r="W54" s="170"/>
      <c r="X54" s="170"/>
      <c r="Y54" s="170"/>
      <c r="Z54" s="170"/>
      <c r="AA54" s="170"/>
      <c r="AB54" s="170"/>
      <c r="AC54" s="170"/>
      <c r="AD54" s="171">
        <f>IFERROR((M54/(SUMIF(RES!$D$39:$D$145,E54,$M$4:$M$202))),0)</f>
        <v>0</v>
      </c>
      <c r="AE54" s="172" t="e">
        <f>IF(#REF!=1,BK54,IF(#REF!=2,BU54,IF(#REF!=3,CE54,IF(#REF!=4,CO54,IF(#REF!=5,CY54,AU54)))))</f>
        <v>#REF!</v>
      </c>
      <c r="AG54" s="172" t="e">
        <f>IF(#REF!=1,BL54,IF(#REF!=2,BV54,IF(#REF!=3,CF54,IF(#REF!=4,CP54,IF(#REF!=5,CZ54,AW54)))))</f>
        <v>#REF!</v>
      </c>
      <c r="AH54" s="172" t="e">
        <f>IF(#REF!=1,BM54,IF(#REF!=2,BW54,IF(#REF!=3,CG54,IF(#REF!=4,CQ54,IF(#REF!=5,DA54,AX54)))))</f>
        <v>#REF!</v>
      </c>
      <c r="AI54" s="172" t="e">
        <f>IF(#REF!=1,BN54,IF(#REF!=2,BX54,IF(#REF!=3,CH54,IF(#REF!=4,CR54,IF(#REF!=5,DB54,AY54)))))</f>
        <v>#REF!</v>
      </c>
      <c r="AJ54" s="172" t="e">
        <f>IF(#REF!=1,BO54,IF(#REF!=2,BY54,IF(#REF!=3,CI54,IF(#REF!=4,CS54,IF(#REF!=5,DC54,AZ54)))))</f>
        <v>#REF!</v>
      </c>
      <c r="AK54" s="173"/>
      <c r="AL54" s="174" t="e">
        <f>AD54/(1+#REF!+#REF!)</f>
        <v>#REF!</v>
      </c>
      <c r="AM54" s="172" t="e">
        <f>IF(#REF!=1,BP54,IF(#REF!=2,BZ54,IF(#REF!=3,CJ54,IF(#REF!=4,CT54,IF(#REF!=5,DD54,BC54)))))</f>
        <v>#REF!</v>
      </c>
      <c r="AN54" s="172"/>
      <c r="AO54" s="172" t="e">
        <f>IF(#REF!=1,BQ54,IF(#REF!=2,CA54,IF(#REF!=3,CK54,IF(#REF!=4,CU54,IF(#REF!=5,DE54,BF54)))))</f>
        <v>#REF!</v>
      </c>
      <c r="AP54" s="172" t="e">
        <f>IF(#REF!=1,BQ54,IF(#REF!=2,CA54,IF(#REF!=3,CK54,IF(#REF!=4,CU54,IF(#REF!=5,DE54,BF54)))))</f>
        <v>#REF!</v>
      </c>
      <c r="AQ54" s="172" t="e">
        <f>IF(#REF!=1,BR54,IF(#REF!=2,CB54,IF(#REF!=3,CL54,IF(#REF!=4,CV54,IF(#REF!=5,DF54,BH54)))))</f>
        <v>#REF!</v>
      </c>
      <c r="AR54" s="172" t="e">
        <f>IF(#REF!=1,BR54,IF(#REF!=2,CB54,IF(#REF!=3,CL54,IF(#REF!=4,CV54,IF(#REF!=5,DF54,BH54)))))</f>
        <v>#REF!</v>
      </c>
      <c r="AS54" s="175"/>
      <c r="AT54" s="176">
        <f>$AD54</f>
        <v>0</v>
      </c>
      <c r="AU54" s="172" t="e">
        <f t="shared" ref="AU54" si="161">#REF!</f>
        <v>#REF!</v>
      </c>
      <c r="AV54" s="172"/>
      <c r="AW54" s="172" t="e">
        <f t="shared" ref="AW54:AZ54" si="162">#REF!</f>
        <v>#REF!</v>
      </c>
      <c r="AX54" s="172" t="e">
        <f t="shared" si="162"/>
        <v>#REF!</v>
      </c>
      <c r="AY54" s="172" t="e">
        <f t="shared" si="162"/>
        <v>#REF!</v>
      </c>
      <c r="AZ54" s="172" t="e">
        <f t="shared" si="162"/>
        <v>#REF!</v>
      </c>
      <c r="BA54" s="173"/>
      <c r="BB54" s="174" t="e">
        <f>$AL54</f>
        <v>#REF!</v>
      </c>
      <c r="BC54" s="172" t="e">
        <f>$AL54*#REF!</f>
        <v>#REF!</v>
      </c>
      <c r="BD54" s="172"/>
      <c r="BE54" s="172" t="e">
        <f>$AL54*#REF!</f>
        <v>#REF!</v>
      </c>
      <c r="BF54" s="172" t="e">
        <f>$AL54*#REF!</f>
        <v>#REF!</v>
      </c>
      <c r="BG54" s="172" t="e">
        <f>$AL54*#REF!</f>
        <v>#REF!</v>
      </c>
      <c r="BH54" s="172" t="e">
        <f>$AL54*#REF!</f>
        <v>#REF!</v>
      </c>
      <c r="BI54" s="175"/>
      <c r="BJ54" s="176">
        <f>AD54</f>
        <v>0</v>
      </c>
      <c r="BK54" s="172" t="e">
        <f t="shared" ref="BK54:BM54" si="163">#REF!</f>
        <v>#REF!</v>
      </c>
      <c r="BL54" s="172" t="e">
        <f t="shared" si="163"/>
        <v>#REF!</v>
      </c>
      <c r="BM54" s="172" t="e">
        <f t="shared" si="163"/>
        <v>#REF!</v>
      </c>
      <c r="BN54" s="173"/>
      <c r="BO54" s="174" t="e">
        <f>$AL54</f>
        <v>#REF!</v>
      </c>
      <c r="BP54" s="172" t="e">
        <f t="shared" ref="BP54:BR54" si="164">#REF!</f>
        <v>#REF!</v>
      </c>
      <c r="BQ54" s="172" t="e">
        <f t="shared" si="164"/>
        <v>#REF!</v>
      </c>
      <c r="BR54" s="172" t="e">
        <f t="shared" si="164"/>
        <v>#REF!</v>
      </c>
      <c r="BS54" s="178"/>
      <c r="BT54" s="179" t="e">
        <f>AL54</f>
        <v>#REF!</v>
      </c>
      <c r="BU54" s="177" t="e">
        <f t="shared" si="137"/>
        <v>#REF!</v>
      </c>
      <c r="BV54" s="177" t="e">
        <f t="shared" si="138"/>
        <v>#REF!</v>
      </c>
      <c r="BW54" s="177" t="e">
        <f t="shared" si="139"/>
        <v>#REF!</v>
      </c>
      <c r="BX54" s="169"/>
      <c r="BY54" s="180" t="e">
        <f>$AL54</f>
        <v>#REF!</v>
      </c>
      <c r="BZ54" s="177" t="e">
        <f t="shared" si="140"/>
        <v>#REF!</v>
      </c>
      <c r="CA54" s="177" t="e">
        <f t="shared" si="141"/>
        <v>#REF!</v>
      </c>
      <c r="CB54" s="177" t="e">
        <f t="shared" si="142"/>
        <v>#REF!</v>
      </c>
      <c r="CC54" s="178"/>
      <c r="CD54" s="179">
        <f t="shared" si="143"/>
        <v>0</v>
      </c>
      <c r="CE54" s="177" t="e">
        <f t="shared" si="144"/>
        <v>#REF!</v>
      </c>
      <c r="CF54" s="177" t="e">
        <f>AX54</f>
        <v>#REF!</v>
      </c>
      <c r="CG54" s="177" t="e">
        <f>AZ54</f>
        <v>#REF!</v>
      </c>
      <c r="CH54" s="169"/>
      <c r="CI54" s="180" t="e">
        <f>BB54</f>
        <v>#REF!</v>
      </c>
      <c r="CJ54" s="177" t="e">
        <f t="shared" si="145"/>
        <v>#REF!</v>
      </c>
      <c r="CK54" s="177" t="e">
        <f>BF54</f>
        <v>#REF!</v>
      </c>
      <c r="CL54" s="177" t="e">
        <f t="shared" si="146"/>
        <v>#REF!</v>
      </c>
      <c r="CM54" s="178"/>
      <c r="CN54" s="179">
        <f t="shared" si="147"/>
        <v>0</v>
      </c>
      <c r="CO54" s="177" t="e">
        <f t="shared" si="148"/>
        <v>#REF!</v>
      </c>
      <c r="CP54" s="177" t="e">
        <f>AX54</f>
        <v>#REF!</v>
      </c>
      <c r="CQ54" s="177" t="e">
        <f>AZ54</f>
        <v>#REF!</v>
      </c>
      <c r="CR54" s="169"/>
      <c r="CS54" s="180" t="e">
        <f>BB54</f>
        <v>#REF!</v>
      </c>
      <c r="CT54" s="177" t="e">
        <f t="shared" si="149"/>
        <v>#REF!</v>
      </c>
      <c r="CU54" s="177" t="e">
        <f>BF54</f>
        <v>#REF!</v>
      </c>
      <c r="CV54" s="177" t="e">
        <f t="shared" si="150"/>
        <v>#REF!</v>
      </c>
      <c r="CW54" s="178"/>
      <c r="CX54" s="179">
        <f>BJ54</f>
        <v>0</v>
      </c>
      <c r="CY54" s="177" t="e">
        <f t="shared" si="151"/>
        <v>#REF!</v>
      </c>
      <c r="CZ54" s="177" t="e">
        <f t="shared" si="152"/>
        <v>#REF!</v>
      </c>
      <c r="DA54" s="177" t="e">
        <f t="shared" si="153"/>
        <v>#REF!</v>
      </c>
      <c r="DB54" s="169"/>
      <c r="DC54" s="180" t="e">
        <f t="shared" si="154"/>
        <v>#REF!</v>
      </c>
      <c r="DD54" s="177" t="e">
        <f t="shared" si="155"/>
        <v>#REF!</v>
      </c>
      <c r="DE54" s="177" t="e">
        <f t="shared" si="156"/>
        <v>#REF!</v>
      </c>
      <c r="DF54" s="177" t="e">
        <f t="shared" si="157"/>
        <v>#REF!</v>
      </c>
      <c r="DG54" s="178"/>
    </row>
    <row r="55" spans="1:111" ht="15.7">
      <c r="A55" s="169"/>
      <c r="B55" s="165" t="s">
        <v>332</v>
      </c>
      <c r="C55" s="166" t="s">
        <v>113</v>
      </c>
      <c r="D55" s="167" t="s">
        <v>242</v>
      </c>
      <c r="E55" s="167" t="s">
        <v>267</v>
      </c>
      <c r="F55" s="207">
        <f t="shared" si="158"/>
        <v>5.3019294117647053</v>
      </c>
      <c r="G55" s="207">
        <f>SUMIF(AFA!$B$3:$AJ$3,E55,AFA!$B$4:$AJ$4)</f>
        <v>0.38019999999999998</v>
      </c>
      <c r="H55" s="207">
        <f>SUMIF($B$8:$B$11,$C55,$D$8:$D$11)</f>
        <v>9.6</v>
      </c>
      <c r="I55" s="168" t="s">
        <v>592</v>
      </c>
      <c r="J55" s="169"/>
      <c r="K55" s="204">
        <f t="shared" si="159"/>
        <v>3.9049999999999918E-2</v>
      </c>
      <c r="L55" s="168">
        <f>(SUMIFS(Energy_Balance!I$55:I$160,Energy_Balance!$C$55:$C$160,D55,Energy_Balance!$D$55:$D$160,E55))*K55</f>
        <v>0.27056729295671489</v>
      </c>
      <c r="M55" s="168">
        <f>F55*L55</f>
        <v>1.434528688388764</v>
      </c>
      <c r="N55" s="170"/>
      <c r="O55" s="170"/>
      <c r="P55" s="170"/>
      <c r="Q55" s="170"/>
      <c r="R55" s="191">
        <v>0.3</v>
      </c>
      <c r="S55" s="191">
        <f t="shared" si="160"/>
        <v>0.89</v>
      </c>
      <c r="T55" s="191">
        <v>1</v>
      </c>
      <c r="U55" s="191">
        <v>1</v>
      </c>
      <c r="V55" s="170"/>
      <c r="W55" s="170"/>
      <c r="X55" s="170"/>
      <c r="Y55" s="170"/>
      <c r="Z55" s="170"/>
      <c r="AA55" s="170"/>
      <c r="AB55" s="170"/>
      <c r="AC55" s="170"/>
      <c r="AD55" s="171">
        <f>IFERROR((M55/(SUMIF(RES!$D$39:$D$145,E55,$M$4:$M$202))),0)</f>
        <v>0</v>
      </c>
      <c r="AE55" s="172" t="e">
        <f>IF(#REF!=1,BK55,IF(#REF!=2,BU55,IF(#REF!=3,CE55,IF(#REF!=4,CO55,IF(#REF!=5,CY55,AU55)))))</f>
        <v>#REF!</v>
      </c>
      <c r="AG55" s="172" t="e">
        <f>IF(#REF!=1,BL55,IF(#REF!=2,BV55,IF(#REF!=3,CF55,IF(#REF!=4,CP55,IF(#REF!=5,CZ55,AW55)))))</f>
        <v>#REF!</v>
      </c>
      <c r="AH55" s="172" t="e">
        <f>IF(#REF!=1,BM55,IF(#REF!=2,BW55,IF(#REF!=3,CG55,IF(#REF!=4,CQ55,IF(#REF!=5,DA55,AX55)))))</f>
        <v>#REF!</v>
      </c>
      <c r="AI55" s="172" t="e">
        <f>IF(#REF!=1,BN55,IF(#REF!=2,BX55,IF(#REF!=3,CH55,IF(#REF!=4,CR55,IF(#REF!=5,DB55,AY55)))))</f>
        <v>#REF!</v>
      </c>
      <c r="AJ55" s="172" t="e">
        <f>IF(#REF!=1,BO55,IF(#REF!=2,BY55,IF(#REF!=3,CI55,IF(#REF!=4,CS55,IF(#REF!=5,DC55,AZ55)))))</f>
        <v>#REF!</v>
      </c>
      <c r="AK55" s="173"/>
      <c r="AL55" s="174" t="e">
        <f>AD55/(1+#REF!+#REF!)</f>
        <v>#REF!</v>
      </c>
      <c r="AM55" s="172" t="e">
        <f>IF(#REF!=1,BP55,IF(#REF!=2,BZ55,IF(#REF!=3,CJ55,IF(#REF!=4,CT55,IF(#REF!=5,DD55,BC55)))))</f>
        <v>#REF!</v>
      </c>
      <c r="AN55" s="172"/>
      <c r="AO55" s="172" t="e">
        <f>IF(#REF!=1,BQ55,IF(#REF!=2,CA55,IF(#REF!=3,CK55,IF(#REF!=4,CU55,IF(#REF!=5,DE55,BF55)))))</f>
        <v>#REF!</v>
      </c>
      <c r="AP55" s="172" t="e">
        <f>IF(#REF!=1,BQ55,IF(#REF!=2,CA55,IF(#REF!=3,CK55,IF(#REF!=4,CU55,IF(#REF!=5,DE55,BF55)))))</f>
        <v>#REF!</v>
      </c>
      <c r="AQ55" s="172" t="e">
        <f>IF(#REF!=1,BR55,IF(#REF!=2,CB55,IF(#REF!=3,CL55,IF(#REF!=4,CV55,IF(#REF!=5,DF55,BH55)))))</f>
        <v>#REF!</v>
      </c>
      <c r="AR55" s="172" t="e">
        <f>IF(#REF!=1,BR55,IF(#REF!=2,CB55,IF(#REF!=3,CL55,IF(#REF!=4,CV55,IF(#REF!=5,DF55,BH55)))))</f>
        <v>#REF!</v>
      </c>
      <c r="AS55" s="175"/>
      <c r="AT55" s="176">
        <f>$AD55</f>
        <v>0</v>
      </c>
      <c r="AU55" s="172" t="e">
        <f t="shared" ref="AU55" si="165">#REF!</f>
        <v>#REF!</v>
      </c>
      <c r="AV55" s="172"/>
      <c r="AW55" s="172" t="e">
        <f t="shared" ref="AW55:AZ55" si="166">#REF!</f>
        <v>#REF!</v>
      </c>
      <c r="AX55" s="172" t="e">
        <f t="shared" si="166"/>
        <v>#REF!</v>
      </c>
      <c r="AY55" s="172" t="e">
        <f t="shared" si="166"/>
        <v>#REF!</v>
      </c>
      <c r="AZ55" s="172" t="e">
        <f t="shared" si="166"/>
        <v>#REF!</v>
      </c>
      <c r="BA55" s="173"/>
      <c r="BB55" s="174" t="e">
        <f>$AL55</f>
        <v>#REF!</v>
      </c>
      <c r="BC55" s="172" t="e">
        <f>$AL55*#REF!</f>
        <v>#REF!</v>
      </c>
      <c r="BD55" s="172"/>
      <c r="BE55" s="172" t="e">
        <f>$AL55*#REF!</f>
        <v>#REF!</v>
      </c>
      <c r="BF55" s="172" t="e">
        <f>$AL55*#REF!</f>
        <v>#REF!</v>
      </c>
      <c r="BG55" s="172" t="e">
        <f>$AL55*#REF!</f>
        <v>#REF!</v>
      </c>
      <c r="BH55" s="172" t="e">
        <f>$AL55*#REF!</f>
        <v>#REF!</v>
      </c>
      <c r="BI55" s="175"/>
      <c r="BJ55" s="176">
        <f>AD55</f>
        <v>0</v>
      </c>
      <c r="BK55" s="172" t="e">
        <f t="shared" ref="BK55:BM55" si="167">#REF!</f>
        <v>#REF!</v>
      </c>
      <c r="BL55" s="172" t="e">
        <f t="shared" si="167"/>
        <v>#REF!</v>
      </c>
      <c r="BM55" s="172" t="e">
        <f t="shared" si="167"/>
        <v>#REF!</v>
      </c>
      <c r="BN55" s="173"/>
      <c r="BO55" s="174" t="e">
        <f>$AL55</f>
        <v>#REF!</v>
      </c>
      <c r="BP55" s="172" t="e">
        <f t="shared" ref="BP55:BR55" si="168">#REF!</f>
        <v>#REF!</v>
      </c>
      <c r="BQ55" s="172" t="e">
        <f t="shared" si="168"/>
        <v>#REF!</v>
      </c>
      <c r="BR55" s="172" t="e">
        <f t="shared" si="168"/>
        <v>#REF!</v>
      </c>
      <c r="BS55" s="178"/>
      <c r="BT55" s="179" t="e">
        <f>AL55</f>
        <v>#REF!</v>
      </c>
      <c r="BU55" s="177" t="e">
        <f t="shared" si="137"/>
        <v>#REF!</v>
      </c>
      <c r="BV55" s="177" t="e">
        <f t="shared" si="138"/>
        <v>#REF!</v>
      </c>
      <c r="BW55" s="177" t="e">
        <f t="shared" si="139"/>
        <v>#REF!</v>
      </c>
      <c r="BX55" s="169"/>
      <c r="BY55" s="180" t="e">
        <f>$AL55</f>
        <v>#REF!</v>
      </c>
      <c r="BZ55" s="177" t="e">
        <f t="shared" si="140"/>
        <v>#REF!</v>
      </c>
      <c r="CA55" s="177" t="e">
        <f t="shared" si="141"/>
        <v>#REF!</v>
      </c>
      <c r="CB55" s="177" t="e">
        <f t="shared" si="142"/>
        <v>#REF!</v>
      </c>
      <c r="CC55" s="178"/>
      <c r="CD55" s="179">
        <f t="shared" si="143"/>
        <v>0</v>
      </c>
      <c r="CE55" s="177" t="e">
        <f t="shared" si="144"/>
        <v>#REF!</v>
      </c>
      <c r="CF55" s="177" t="e">
        <f>AX55</f>
        <v>#REF!</v>
      </c>
      <c r="CG55" s="177" t="e">
        <f>AZ55</f>
        <v>#REF!</v>
      </c>
      <c r="CH55" s="169"/>
      <c r="CI55" s="180" t="e">
        <f>BB55</f>
        <v>#REF!</v>
      </c>
      <c r="CJ55" s="177" t="e">
        <f t="shared" si="145"/>
        <v>#REF!</v>
      </c>
      <c r="CK55" s="177" t="e">
        <f>BF55</f>
        <v>#REF!</v>
      </c>
      <c r="CL55" s="177" t="e">
        <f t="shared" si="146"/>
        <v>#REF!</v>
      </c>
      <c r="CM55" s="178"/>
      <c r="CN55" s="179">
        <f t="shared" si="147"/>
        <v>0</v>
      </c>
      <c r="CO55" s="177" t="e">
        <f t="shared" si="148"/>
        <v>#REF!</v>
      </c>
      <c r="CP55" s="177" t="e">
        <f>AX55</f>
        <v>#REF!</v>
      </c>
      <c r="CQ55" s="177" t="e">
        <f>AZ55</f>
        <v>#REF!</v>
      </c>
      <c r="CR55" s="169"/>
      <c r="CS55" s="180" t="e">
        <f>BB55</f>
        <v>#REF!</v>
      </c>
      <c r="CT55" s="177" t="e">
        <f t="shared" si="149"/>
        <v>#REF!</v>
      </c>
      <c r="CU55" s="177" t="e">
        <f>BF55</f>
        <v>#REF!</v>
      </c>
      <c r="CV55" s="177" t="e">
        <f t="shared" si="150"/>
        <v>#REF!</v>
      </c>
      <c r="CW55" s="178"/>
      <c r="CX55" s="179">
        <f>BJ55</f>
        <v>0</v>
      </c>
      <c r="CY55" s="177" t="e">
        <f t="shared" si="151"/>
        <v>#REF!</v>
      </c>
      <c r="CZ55" s="177" t="e">
        <f t="shared" si="152"/>
        <v>#REF!</v>
      </c>
      <c r="DA55" s="177" t="e">
        <f t="shared" si="153"/>
        <v>#REF!</v>
      </c>
      <c r="DB55" s="169"/>
      <c r="DC55" s="180" t="e">
        <f t="shared" si="154"/>
        <v>#REF!</v>
      </c>
      <c r="DD55" s="177" t="e">
        <f t="shared" si="155"/>
        <v>#REF!</v>
      </c>
      <c r="DE55" s="177" t="e">
        <f t="shared" si="156"/>
        <v>#REF!</v>
      </c>
      <c r="DF55" s="177" t="e">
        <f t="shared" si="157"/>
        <v>#REF!</v>
      </c>
      <c r="DG55" s="178"/>
    </row>
  </sheetData>
  <mergeCells count="8">
    <mergeCell ref="G6:I6"/>
    <mergeCell ref="M6:O6"/>
    <mergeCell ref="B18:C18"/>
    <mergeCell ref="B15:C15"/>
    <mergeCell ref="B16:C16"/>
    <mergeCell ref="B17:C17"/>
    <mergeCell ref="B13:C13"/>
    <mergeCell ref="B14:C14"/>
  </mergeCells>
  <conditionalFormatting sqref="L36:L39">
    <cfRule type="expression" dxfId="308" priority="14">
      <formula>$L$97&lt;&gt;#REF!</formula>
    </cfRule>
    <cfRule type="expression" dxfId="307" priority="15">
      <formula>$L$97=#REF!</formula>
    </cfRule>
  </conditionalFormatting>
  <pageMargins left="0.7" right="0.7" top="0.75" bottom="0.75" header="0.3" footer="0.3"/>
  <pageSetup paperSize="0"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4BD29-0A78-B149-A44D-3BD2444B536C}">
  <dimension ref="A1:R103"/>
  <sheetViews>
    <sheetView workbookViewId="0">
      <selection activeCell="L8" sqref="L8"/>
    </sheetView>
  </sheetViews>
  <sheetFormatPr defaultColWidth="10.8203125" defaultRowHeight="12.7"/>
  <sheetData>
    <row r="1" spans="1:18">
      <c r="A1">
        <v>1</v>
      </c>
      <c r="B1">
        <v>2</v>
      </c>
      <c r="C1">
        <v>3</v>
      </c>
      <c r="D1">
        <v>4</v>
      </c>
      <c r="E1">
        <v>5</v>
      </c>
      <c r="F1">
        <v>6</v>
      </c>
      <c r="G1">
        <v>7</v>
      </c>
      <c r="H1">
        <v>8</v>
      </c>
      <c r="I1">
        <v>9</v>
      </c>
      <c r="J1">
        <v>10</v>
      </c>
      <c r="K1">
        <v>11</v>
      </c>
      <c r="L1">
        <v>12</v>
      </c>
      <c r="M1">
        <v>13</v>
      </c>
      <c r="N1">
        <v>14</v>
      </c>
      <c r="O1">
        <v>15</v>
      </c>
      <c r="P1">
        <v>16</v>
      </c>
      <c r="Q1">
        <v>17</v>
      </c>
      <c r="R1">
        <v>1</v>
      </c>
    </row>
    <row r="2" spans="1:18">
      <c r="A2" s="5" t="s">
        <v>93</v>
      </c>
      <c r="B2" s="1" t="s">
        <v>919</v>
      </c>
      <c r="R2">
        <v>2</v>
      </c>
    </row>
    <row r="3" spans="1:18">
      <c r="A3" s="1" t="s">
        <v>884</v>
      </c>
      <c r="R3">
        <v>3</v>
      </c>
    </row>
    <row r="4" spans="1:18">
      <c r="A4" s="1" t="s">
        <v>885</v>
      </c>
      <c r="I4" s="1" t="s">
        <v>920</v>
      </c>
      <c r="R4">
        <v>4</v>
      </c>
    </row>
    <row r="5" spans="1:18">
      <c r="R5">
        <v>5</v>
      </c>
    </row>
    <row r="6" spans="1:18" ht="16" thickBot="1">
      <c r="A6" s="463"/>
      <c r="B6" s="464">
        <v>2020</v>
      </c>
      <c r="C6" s="464">
        <v>2030</v>
      </c>
      <c r="D6" s="464">
        <v>2040</v>
      </c>
      <c r="E6" s="1" t="s">
        <v>894</v>
      </c>
      <c r="L6" s="1" t="s">
        <v>895</v>
      </c>
      <c r="R6">
        <v>6</v>
      </c>
    </row>
    <row r="7" spans="1:18" ht="16" thickBot="1">
      <c r="A7" s="465" t="s">
        <v>886</v>
      </c>
      <c r="B7" s="466"/>
      <c r="C7" s="466"/>
      <c r="D7" s="466"/>
      <c r="L7">
        <v>2017</v>
      </c>
      <c r="M7">
        <v>2020</v>
      </c>
      <c r="N7">
        <v>2030</v>
      </c>
      <c r="O7">
        <v>2040</v>
      </c>
      <c r="P7">
        <v>2050</v>
      </c>
      <c r="R7">
        <v>7</v>
      </c>
    </row>
    <row r="8" spans="1:18" ht="14.35">
      <c r="A8" s="467" t="s">
        <v>887</v>
      </c>
      <c r="B8" s="468">
        <v>0.99</v>
      </c>
      <c r="C8" s="468">
        <v>0.94</v>
      </c>
      <c r="D8" s="468">
        <v>0.93</v>
      </c>
      <c r="I8" s="1" t="str">
        <f>A8</f>
        <v xml:space="preserve">   Cooking</v>
      </c>
      <c r="K8" s="1" t="s">
        <v>256</v>
      </c>
      <c r="L8" s="3">
        <v>0.8</v>
      </c>
      <c r="M8">
        <f>(1/B8)*$L8</f>
        <v>0.80808080808080818</v>
      </c>
      <c r="N8">
        <f t="shared" ref="N8:O11" si="0">(1/C8)*$L8</f>
        <v>0.85106382978723405</v>
      </c>
      <c r="O8">
        <f t="shared" si="0"/>
        <v>0.86021505376344087</v>
      </c>
      <c r="P8">
        <f>O8</f>
        <v>0.86021505376344087</v>
      </c>
      <c r="R8">
        <v>8</v>
      </c>
    </row>
    <row r="9" spans="1:18" ht="14.35">
      <c r="A9" s="467" t="s">
        <v>888</v>
      </c>
      <c r="B9" s="468">
        <v>0.99</v>
      </c>
      <c r="C9" s="468">
        <v>0.94</v>
      </c>
      <c r="D9" s="468">
        <v>0.9</v>
      </c>
      <c r="I9" s="1" t="str">
        <f>A9</f>
        <v xml:space="preserve">   Other appliances</v>
      </c>
      <c r="K9" s="1" t="s">
        <v>260</v>
      </c>
      <c r="L9">
        <v>0.8</v>
      </c>
      <c r="M9">
        <f t="shared" ref="M9:M11" si="1">(1/B9)*$L9</f>
        <v>0.80808080808080818</v>
      </c>
      <c r="N9">
        <f t="shared" si="0"/>
        <v>0.85106382978723405</v>
      </c>
      <c r="O9">
        <f t="shared" si="0"/>
        <v>0.88888888888888895</v>
      </c>
      <c r="P9">
        <f t="shared" ref="P9:P23" si="2">O9</f>
        <v>0.88888888888888895</v>
      </c>
      <c r="R9">
        <v>9</v>
      </c>
    </row>
    <row r="10" spans="1:18" ht="14.35">
      <c r="A10" s="467" t="s">
        <v>889</v>
      </c>
      <c r="B10" s="468">
        <v>0.86</v>
      </c>
      <c r="C10" s="468">
        <v>0.53</v>
      </c>
      <c r="D10" s="468">
        <v>0.49</v>
      </c>
      <c r="I10" s="1" t="str">
        <f>A10</f>
        <v xml:space="preserve">   Refrigeration</v>
      </c>
      <c r="K10" s="1" t="s">
        <v>259</v>
      </c>
      <c r="L10">
        <v>0.4</v>
      </c>
      <c r="M10">
        <f t="shared" si="1"/>
        <v>0.46511627906976749</v>
      </c>
      <c r="N10">
        <f t="shared" si="0"/>
        <v>0.75471698113207542</v>
      </c>
      <c r="O10">
        <f t="shared" si="0"/>
        <v>0.81632653061224492</v>
      </c>
      <c r="P10">
        <f t="shared" si="2"/>
        <v>0.81632653061224492</v>
      </c>
      <c r="R10">
        <v>10</v>
      </c>
    </row>
    <row r="11" spans="1:18" ht="14.35">
      <c r="A11" s="467" t="s">
        <v>890</v>
      </c>
      <c r="B11" s="468">
        <v>1</v>
      </c>
      <c r="C11" s="468">
        <v>1</v>
      </c>
      <c r="D11" s="468">
        <v>1</v>
      </c>
      <c r="I11" s="1" t="str">
        <f>A11</f>
        <v xml:space="preserve">   Space heating</v>
      </c>
      <c r="K11" s="1" t="s">
        <v>257</v>
      </c>
      <c r="L11">
        <v>0.94750000000000001</v>
      </c>
      <c r="M11">
        <f t="shared" si="1"/>
        <v>0.94750000000000001</v>
      </c>
      <c r="N11">
        <f t="shared" si="0"/>
        <v>0.94750000000000001</v>
      </c>
      <c r="O11">
        <f t="shared" si="0"/>
        <v>0.94750000000000001</v>
      </c>
      <c r="P11">
        <f t="shared" si="2"/>
        <v>0.94750000000000001</v>
      </c>
      <c r="R11">
        <v>11</v>
      </c>
    </row>
    <row r="12" spans="1:18" ht="16" thickBot="1">
      <c r="A12" s="465" t="s">
        <v>891</v>
      </c>
      <c r="B12" s="466"/>
      <c r="C12" s="466"/>
      <c r="D12" s="466"/>
      <c r="I12" s="1"/>
      <c r="R12">
        <v>12</v>
      </c>
    </row>
    <row r="13" spans="1:18" ht="14.35">
      <c r="A13" s="467" t="s">
        <v>892</v>
      </c>
      <c r="B13" s="468">
        <v>0.95</v>
      </c>
      <c r="C13" s="468">
        <v>0.88</v>
      </c>
      <c r="D13" s="468">
        <v>0.86</v>
      </c>
      <c r="I13" s="1" t="str">
        <f>A13</f>
        <v xml:space="preserve">    Hot water Geyser</v>
      </c>
      <c r="K13" t="str">
        <f>RES!D57</f>
        <v>RLEWG</v>
      </c>
      <c r="L13" s="3">
        <v>0.7</v>
      </c>
      <c r="M13">
        <f t="shared" ref="M13:O17" si="3">(1/B13)*$L13</f>
        <v>0.73684210526315785</v>
      </c>
      <c r="N13">
        <f t="shared" si="3"/>
        <v>0.79545454545454553</v>
      </c>
      <c r="O13">
        <f t="shared" si="3"/>
        <v>0.81395348837209303</v>
      </c>
      <c r="P13">
        <f t="shared" si="2"/>
        <v>0.81395348837209303</v>
      </c>
      <c r="R13">
        <v>13</v>
      </c>
    </row>
    <row r="14" spans="1:18" ht="14.35">
      <c r="A14" s="467" t="s">
        <v>887</v>
      </c>
      <c r="B14" s="468">
        <v>0.98</v>
      </c>
      <c r="C14" s="468">
        <v>0.91</v>
      </c>
      <c r="D14" s="468">
        <v>0.89</v>
      </c>
      <c r="I14" s="1" t="str">
        <f>A14</f>
        <v xml:space="preserve">   Cooking</v>
      </c>
      <c r="K14" s="1" t="s">
        <v>262</v>
      </c>
      <c r="L14">
        <v>0.65</v>
      </c>
      <c r="M14">
        <f t="shared" si="3"/>
        <v>0.66326530612244905</v>
      </c>
      <c r="N14">
        <f t="shared" si="3"/>
        <v>0.71428571428571419</v>
      </c>
      <c r="O14">
        <f t="shared" si="3"/>
        <v>0.73033707865168551</v>
      </c>
      <c r="P14">
        <f t="shared" si="2"/>
        <v>0.73033707865168551</v>
      </c>
      <c r="R14">
        <v>14</v>
      </c>
    </row>
    <row r="15" spans="1:18" ht="14.35">
      <c r="A15" s="467" t="s">
        <v>888</v>
      </c>
      <c r="B15" s="468">
        <v>0.99</v>
      </c>
      <c r="C15" s="468">
        <v>0.95</v>
      </c>
      <c r="D15" s="468">
        <v>0.94</v>
      </c>
      <c r="I15" s="1" t="str">
        <f>A15</f>
        <v xml:space="preserve">   Other appliances</v>
      </c>
      <c r="K15" s="1" t="s">
        <v>266</v>
      </c>
      <c r="L15">
        <v>0.8</v>
      </c>
      <c r="M15">
        <f t="shared" si="3"/>
        <v>0.80808080808080818</v>
      </c>
      <c r="N15">
        <f t="shared" si="3"/>
        <v>0.84210526315789469</v>
      </c>
      <c r="O15">
        <f t="shared" si="3"/>
        <v>0.85106382978723405</v>
      </c>
      <c r="P15">
        <f t="shared" si="2"/>
        <v>0.85106382978723405</v>
      </c>
      <c r="R15">
        <v>15</v>
      </c>
    </row>
    <row r="16" spans="1:18" ht="14.35">
      <c r="A16" s="467" t="s">
        <v>889</v>
      </c>
      <c r="B16" s="468">
        <v>0.86</v>
      </c>
      <c r="C16" s="468">
        <v>0.52</v>
      </c>
      <c r="D16" s="468">
        <v>0.49</v>
      </c>
      <c r="I16" s="1" t="str">
        <f>A16</f>
        <v xml:space="preserve">   Refrigeration</v>
      </c>
      <c r="K16" s="1" t="s">
        <v>265</v>
      </c>
      <c r="L16">
        <v>0.64200000000000002</v>
      </c>
      <c r="M16">
        <f t="shared" si="3"/>
        <v>0.74651162790697678</v>
      </c>
      <c r="N16">
        <f t="shared" si="3"/>
        <v>1.2346153846153844</v>
      </c>
      <c r="O16">
        <f t="shared" si="3"/>
        <v>1.3102040816326532</v>
      </c>
      <c r="P16">
        <f t="shared" si="2"/>
        <v>1.3102040816326532</v>
      </c>
      <c r="R16">
        <v>16</v>
      </c>
    </row>
    <row r="17" spans="1:18" ht="14.35">
      <c r="A17" s="467" t="s">
        <v>890</v>
      </c>
      <c r="B17" s="468">
        <v>1</v>
      </c>
      <c r="C17" s="468">
        <v>1</v>
      </c>
      <c r="D17" s="468">
        <v>1</v>
      </c>
      <c r="I17" s="1" t="str">
        <f>A17</f>
        <v xml:space="preserve">   Space heating</v>
      </c>
      <c r="K17" s="1" t="s">
        <v>263</v>
      </c>
      <c r="L17">
        <v>0.94750000000000012</v>
      </c>
      <c r="M17">
        <f t="shared" si="3"/>
        <v>0.94750000000000012</v>
      </c>
      <c r="N17">
        <f t="shared" si="3"/>
        <v>0.94750000000000012</v>
      </c>
      <c r="O17">
        <f t="shared" si="3"/>
        <v>0.94750000000000012</v>
      </c>
      <c r="P17">
        <f t="shared" si="2"/>
        <v>0.94750000000000012</v>
      </c>
      <c r="R17">
        <v>17</v>
      </c>
    </row>
    <row r="18" spans="1:18" ht="16" thickBot="1">
      <c r="A18" s="469" t="s">
        <v>893</v>
      </c>
      <c r="B18" s="470"/>
      <c r="C18" s="470"/>
      <c r="D18" s="470"/>
      <c r="I18" s="1"/>
      <c r="R18">
        <v>18</v>
      </c>
    </row>
    <row r="19" spans="1:18" ht="14.35">
      <c r="A19" s="467" t="s">
        <v>892</v>
      </c>
      <c r="B19" s="468">
        <v>0.97</v>
      </c>
      <c r="C19" s="468">
        <v>0.88</v>
      </c>
      <c r="D19" s="468">
        <v>0.84</v>
      </c>
      <c r="I19" s="1" t="str">
        <f>A19</f>
        <v xml:space="preserve">    Hot water Geyser</v>
      </c>
      <c r="L19" s="3">
        <v>0.7</v>
      </c>
      <c r="M19">
        <f t="shared" ref="M19:O23" si="4">(1/B19)*$L19</f>
        <v>0.72164948453608246</v>
      </c>
      <c r="N19">
        <f t="shared" si="4"/>
        <v>0.79545454545454553</v>
      </c>
      <c r="O19">
        <f t="shared" si="4"/>
        <v>0.83333333333333326</v>
      </c>
      <c r="P19">
        <f t="shared" si="2"/>
        <v>0.83333333333333326</v>
      </c>
      <c r="R19">
        <v>19</v>
      </c>
    </row>
    <row r="20" spans="1:18" ht="14.35">
      <c r="A20" s="467" t="s">
        <v>887</v>
      </c>
      <c r="B20" s="468">
        <v>0.97</v>
      </c>
      <c r="C20" s="468">
        <v>0.88</v>
      </c>
      <c r="D20" s="468">
        <v>0.86</v>
      </c>
      <c r="I20" s="1" t="str">
        <f>A20</f>
        <v xml:space="preserve">   Cooking</v>
      </c>
      <c r="K20" s="1" t="s">
        <v>268</v>
      </c>
      <c r="L20">
        <v>0.65</v>
      </c>
      <c r="M20">
        <f t="shared" si="4"/>
        <v>0.67010309278350522</v>
      </c>
      <c r="N20">
        <f t="shared" si="4"/>
        <v>0.73863636363636376</v>
      </c>
      <c r="O20">
        <f t="shared" si="4"/>
        <v>0.75581395348837221</v>
      </c>
      <c r="P20">
        <f t="shared" si="2"/>
        <v>0.75581395348837221</v>
      </c>
      <c r="R20">
        <v>20</v>
      </c>
    </row>
    <row r="21" spans="1:18" ht="14.35">
      <c r="A21" s="467" t="s">
        <v>888</v>
      </c>
      <c r="B21" s="468">
        <v>0.97</v>
      </c>
      <c r="C21" s="468">
        <v>0.9</v>
      </c>
      <c r="D21" s="468">
        <v>0.88</v>
      </c>
      <c r="I21" s="1" t="str">
        <f>A21</f>
        <v xml:space="preserve">   Other appliances</v>
      </c>
      <c r="K21" s="1" t="s">
        <v>271</v>
      </c>
      <c r="L21">
        <v>0.8</v>
      </c>
      <c r="M21">
        <f t="shared" si="4"/>
        <v>0.82474226804123729</v>
      </c>
      <c r="N21">
        <f t="shared" si="4"/>
        <v>0.88888888888888895</v>
      </c>
      <c r="O21">
        <f t="shared" si="4"/>
        <v>0.90909090909090917</v>
      </c>
      <c r="P21">
        <f t="shared" si="2"/>
        <v>0.90909090909090917</v>
      </c>
      <c r="R21">
        <v>21</v>
      </c>
    </row>
    <row r="22" spans="1:18" ht="14.35">
      <c r="A22" s="467" t="s">
        <v>889</v>
      </c>
      <c r="B22" s="468">
        <v>0.88</v>
      </c>
      <c r="C22" s="468">
        <v>0.55000000000000004</v>
      </c>
      <c r="D22" s="468">
        <v>0.49</v>
      </c>
      <c r="I22" s="1" t="str">
        <f>A22</f>
        <v xml:space="preserve">   Refrigeration</v>
      </c>
      <c r="K22" s="1" t="s">
        <v>270</v>
      </c>
      <c r="L22">
        <v>0.64200000000000002</v>
      </c>
      <c r="M22">
        <f t="shared" si="4"/>
        <v>0.72954545454545461</v>
      </c>
      <c r="N22">
        <f t="shared" si="4"/>
        <v>1.1672727272727272</v>
      </c>
      <c r="O22">
        <f t="shared" si="4"/>
        <v>1.3102040816326532</v>
      </c>
      <c r="P22">
        <f t="shared" si="2"/>
        <v>1.3102040816326532</v>
      </c>
      <c r="R22">
        <v>22</v>
      </c>
    </row>
    <row r="23" spans="1:18" ht="14.35">
      <c r="A23" s="467" t="s">
        <v>890</v>
      </c>
      <c r="B23" s="468">
        <v>1</v>
      </c>
      <c r="C23" s="468">
        <v>1</v>
      </c>
      <c r="D23" s="468">
        <v>1</v>
      </c>
      <c r="I23" s="1" t="str">
        <f>A23</f>
        <v xml:space="preserve">   Space heating</v>
      </c>
      <c r="K23" s="1" t="s">
        <v>252</v>
      </c>
      <c r="L23">
        <v>0.97249999999999992</v>
      </c>
      <c r="M23">
        <f t="shared" si="4"/>
        <v>0.97249999999999992</v>
      </c>
      <c r="N23">
        <f t="shared" si="4"/>
        <v>0.97249999999999992</v>
      </c>
      <c r="O23">
        <f t="shared" si="4"/>
        <v>0.97249999999999992</v>
      </c>
      <c r="P23">
        <f t="shared" si="2"/>
        <v>0.97249999999999992</v>
      </c>
      <c r="R23">
        <v>23</v>
      </c>
    </row>
    <row r="24" spans="1:18">
      <c r="R24">
        <v>24</v>
      </c>
    </row>
    <row r="25" spans="1:18" ht="14.35">
      <c r="A25" s="467" t="s">
        <v>924</v>
      </c>
      <c r="R25">
        <v>25</v>
      </c>
    </row>
    <row r="26" spans="1:18" ht="16" thickBot="1">
      <c r="A26" s="463"/>
      <c r="B26" s="464">
        <v>2020</v>
      </c>
      <c r="C26" s="464">
        <v>2030</v>
      </c>
      <c r="D26" s="464">
        <v>2040</v>
      </c>
      <c r="E26" s="1" t="s">
        <v>894</v>
      </c>
      <c r="L26" s="1" t="s">
        <v>895</v>
      </c>
      <c r="R26">
        <v>26</v>
      </c>
    </row>
    <row r="27" spans="1:18" ht="16" thickBot="1">
      <c r="A27" s="465" t="s">
        <v>886</v>
      </c>
      <c r="B27" s="466"/>
      <c r="C27" s="466"/>
      <c r="D27" s="466"/>
      <c r="L27">
        <v>2017</v>
      </c>
      <c r="M27">
        <v>2020</v>
      </c>
      <c r="N27">
        <v>2030</v>
      </c>
      <c r="O27">
        <v>2040</v>
      </c>
      <c r="P27">
        <v>2050</v>
      </c>
      <c r="R27">
        <v>27</v>
      </c>
    </row>
    <row r="28" spans="1:18" ht="14.35">
      <c r="A28" s="467" t="s">
        <v>887</v>
      </c>
      <c r="B28" s="468">
        <v>0.99</v>
      </c>
      <c r="C28" s="468">
        <v>0.94</v>
      </c>
      <c r="D28" s="468">
        <v>0.93</v>
      </c>
      <c r="I28" s="1" t="str">
        <f>A28</f>
        <v xml:space="preserve">   Cooking</v>
      </c>
      <c r="K28" s="1" t="s">
        <v>256</v>
      </c>
      <c r="L28" s="3">
        <v>0.8</v>
      </c>
      <c r="M28">
        <f>(1/B28)*$L28</f>
        <v>0.80808080808080818</v>
      </c>
      <c r="N28">
        <f t="shared" ref="N28:N31" si="5">(1/C28)*$L28</f>
        <v>0.85106382978723405</v>
      </c>
      <c r="O28">
        <f t="shared" ref="O28:O31" si="6">(1/D28)*$L28</f>
        <v>0.86021505376344087</v>
      </c>
      <c r="P28">
        <f>O28</f>
        <v>0.86021505376344087</v>
      </c>
      <c r="R28">
        <v>28</v>
      </c>
    </row>
    <row r="29" spans="1:18" ht="14.35">
      <c r="A29" s="467" t="s">
        <v>888</v>
      </c>
      <c r="B29" s="468">
        <v>0.99</v>
      </c>
      <c r="C29" s="468">
        <v>0.94</v>
      </c>
      <c r="D29" s="468">
        <v>0.9</v>
      </c>
      <c r="I29" s="1" t="str">
        <f>A29</f>
        <v xml:space="preserve">   Other appliances</v>
      </c>
      <c r="K29" s="1" t="s">
        <v>260</v>
      </c>
      <c r="L29">
        <v>0.8</v>
      </c>
      <c r="M29">
        <f t="shared" ref="M29:M31" si="7">(1/B29)*$L29</f>
        <v>0.80808080808080818</v>
      </c>
      <c r="N29">
        <f t="shared" si="5"/>
        <v>0.85106382978723405</v>
      </c>
      <c r="O29">
        <f t="shared" si="6"/>
        <v>0.88888888888888895</v>
      </c>
      <c r="P29">
        <f t="shared" ref="P29:P31" si="8">O29</f>
        <v>0.88888888888888895</v>
      </c>
      <c r="R29">
        <v>29</v>
      </c>
    </row>
    <row r="30" spans="1:18" ht="14.35">
      <c r="A30" s="467" t="s">
        <v>889</v>
      </c>
      <c r="B30" s="468">
        <v>0.86</v>
      </c>
      <c r="C30" s="468">
        <v>0.53</v>
      </c>
      <c r="D30" s="468">
        <v>0.49</v>
      </c>
      <c r="I30" s="1" t="str">
        <f>A30</f>
        <v xml:space="preserve">   Refrigeration</v>
      </c>
      <c r="K30" s="1" t="s">
        <v>259</v>
      </c>
      <c r="L30">
        <v>0.4</v>
      </c>
      <c r="M30">
        <f t="shared" si="7"/>
        <v>0.46511627906976749</v>
      </c>
      <c r="N30">
        <f t="shared" si="5"/>
        <v>0.75471698113207542</v>
      </c>
      <c r="O30">
        <f t="shared" si="6"/>
        <v>0.81632653061224492</v>
      </c>
      <c r="P30">
        <f t="shared" si="8"/>
        <v>0.81632653061224492</v>
      </c>
      <c r="R30">
        <v>30</v>
      </c>
    </row>
    <row r="31" spans="1:18" ht="14.35">
      <c r="A31" s="467" t="s">
        <v>890</v>
      </c>
      <c r="B31" s="468">
        <v>1</v>
      </c>
      <c r="C31" s="468">
        <v>1</v>
      </c>
      <c r="D31" s="468">
        <v>1</v>
      </c>
      <c r="I31" s="1" t="str">
        <f>A31</f>
        <v xml:space="preserve">   Space heating</v>
      </c>
      <c r="K31" s="1" t="s">
        <v>257</v>
      </c>
      <c r="L31">
        <v>0.94750000000000001</v>
      </c>
      <c r="M31">
        <f t="shared" si="7"/>
        <v>0.94750000000000001</v>
      </c>
      <c r="N31">
        <f t="shared" si="5"/>
        <v>0.94750000000000001</v>
      </c>
      <c r="O31">
        <f t="shared" si="6"/>
        <v>0.94750000000000001</v>
      </c>
      <c r="P31">
        <f t="shared" si="8"/>
        <v>0.94750000000000001</v>
      </c>
      <c r="R31">
        <v>31</v>
      </c>
    </row>
    <row r="32" spans="1:18" ht="16" thickBot="1">
      <c r="A32" s="465" t="s">
        <v>891</v>
      </c>
      <c r="B32" s="466"/>
      <c r="C32" s="466"/>
      <c r="D32" s="466"/>
      <c r="I32" s="1"/>
      <c r="R32">
        <v>32</v>
      </c>
    </row>
    <row r="33" spans="1:18" ht="14.35">
      <c r="A33" s="467" t="s">
        <v>892</v>
      </c>
      <c r="B33" s="468">
        <v>0.95</v>
      </c>
      <c r="C33" s="468">
        <v>0.88</v>
      </c>
      <c r="D33" s="468">
        <v>0.86</v>
      </c>
      <c r="I33" s="1" t="str">
        <f>A33</f>
        <v xml:space="preserve">    Hot water Geyser</v>
      </c>
      <c r="K33">
        <f>RES!D77</f>
        <v>0</v>
      </c>
      <c r="L33" s="3">
        <v>0.7</v>
      </c>
      <c r="M33">
        <f t="shared" ref="M33:M37" si="9">(1/B33)*$L33</f>
        <v>0.73684210526315785</v>
      </c>
      <c r="N33">
        <f t="shared" ref="N33:N37" si="10">(1/C33)*$L33</f>
        <v>0.79545454545454553</v>
      </c>
      <c r="O33">
        <f t="shared" ref="O33:O37" si="11">(1/D33)*$L33</f>
        <v>0.81395348837209303</v>
      </c>
      <c r="P33">
        <f t="shared" ref="P33:P37" si="12">O33</f>
        <v>0.81395348837209303</v>
      </c>
      <c r="R33">
        <v>33</v>
      </c>
    </row>
    <row r="34" spans="1:18" ht="14.35">
      <c r="A34" s="467" t="s">
        <v>887</v>
      </c>
      <c r="B34" s="468">
        <v>0.98</v>
      </c>
      <c r="C34" s="468">
        <v>0.91</v>
      </c>
      <c r="D34" s="468">
        <v>0.89</v>
      </c>
      <c r="I34" s="1" t="str">
        <f>A34</f>
        <v xml:space="preserve">   Cooking</v>
      </c>
      <c r="K34" s="1" t="s">
        <v>262</v>
      </c>
      <c r="L34">
        <v>0.65</v>
      </c>
      <c r="M34">
        <f t="shared" si="9"/>
        <v>0.66326530612244905</v>
      </c>
      <c r="N34">
        <f t="shared" si="10"/>
        <v>0.71428571428571419</v>
      </c>
      <c r="O34">
        <f t="shared" si="11"/>
        <v>0.73033707865168551</v>
      </c>
      <c r="P34">
        <f t="shared" si="12"/>
        <v>0.73033707865168551</v>
      </c>
      <c r="R34">
        <v>34</v>
      </c>
    </row>
    <row r="35" spans="1:18" ht="14.35">
      <c r="A35" s="467" t="s">
        <v>888</v>
      </c>
      <c r="B35" s="468">
        <v>0.99</v>
      </c>
      <c r="C35" s="468">
        <v>0.95</v>
      </c>
      <c r="D35" s="468">
        <v>0.94</v>
      </c>
      <c r="I35" s="1" t="str">
        <f>A35</f>
        <v xml:space="preserve">   Other appliances</v>
      </c>
      <c r="K35" s="1" t="s">
        <v>266</v>
      </c>
      <c r="L35">
        <v>0.8</v>
      </c>
      <c r="M35">
        <f t="shared" si="9"/>
        <v>0.80808080808080818</v>
      </c>
      <c r="N35">
        <f t="shared" si="10"/>
        <v>0.84210526315789469</v>
      </c>
      <c r="O35">
        <f t="shared" si="11"/>
        <v>0.85106382978723405</v>
      </c>
      <c r="P35">
        <f t="shared" si="12"/>
        <v>0.85106382978723405</v>
      </c>
      <c r="R35">
        <v>35</v>
      </c>
    </row>
    <row r="36" spans="1:18" ht="14.35">
      <c r="A36" s="467" t="s">
        <v>889</v>
      </c>
      <c r="B36" s="468">
        <v>0.86</v>
      </c>
      <c r="C36" s="468">
        <v>0.52</v>
      </c>
      <c r="D36" s="468">
        <v>0.49</v>
      </c>
      <c r="I36" s="1" t="str">
        <f>A36</f>
        <v xml:space="preserve">   Refrigeration</v>
      </c>
      <c r="K36" s="1" t="s">
        <v>265</v>
      </c>
      <c r="L36">
        <v>0.64200000000000002</v>
      </c>
      <c r="M36">
        <f t="shared" si="9"/>
        <v>0.74651162790697678</v>
      </c>
      <c r="N36">
        <f t="shared" si="10"/>
        <v>1.2346153846153844</v>
      </c>
      <c r="O36">
        <f t="shared" si="11"/>
        <v>1.3102040816326532</v>
      </c>
      <c r="P36">
        <f t="shared" si="12"/>
        <v>1.3102040816326532</v>
      </c>
      <c r="R36">
        <v>36</v>
      </c>
    </row>
    <row r="37" spans="1:18" ht="14.35">
      <c r="A37" s="467" t="s">
        <v>890</v>
      </c>
      <c r="B37" s="468">
        <v>1</v>
      </c>
      <c r="C37" s="468">
        <v>1</v>
      </c>
      <c r="D37" s="468">
        <v>1</v>
      </c>
      <c r="I37" s="1" t="str">
        <f>A37</f>
        <v xml:space="preserve">   Space heating</v>
      </c>
      <c r="K37" s="1" t="s">
        <v>263</v>
      </c>
      <c r="L37">
        <v>0.94750000000000012</v>
      </c>
      <c r="M37">
        <f t="shared" si="9"/>
        <v>0.94750000000000012</v>
      </c>
      <c r="N37">
        <f t="shared" si="10"/>
        <v>0.94750000000000012</v>
      </c>
      <c r="O37">
        <f t="shared" si="11"/>
        <v>0.94750000000000012</v>
      </c>
      <c r="P37">
        <f t="shared" si="12"/>
        <v>0.94750000000000012</v>
      </c>
      <c r="R37">
        <v>37</v>
      </c>
    </row>
    <row r="38" spans="1:18" ht="16" thickBot="1">
      <c r="A38" s="469" t="s">
        <v>893</v>
      </c>
      <c r="B38" s="470"/>
      <c r="C38" s="470"/>
      <c r="D38" s="470"/>
      <c r="I38" s="1"/>
      <c r="R38">
        <v>38</v>
      </c>
    </row>
    <row r="39" spans="1:18" ht="14.35">
      <c r="A39" s="467" t="s">
        <v>892</v>
      </c>
      <c r="B39" s="468">
        <v>0.97</v>
      </c>
      <c r="C39" s="468">
        <v>0.88</v>
      </c>
      <c r="D39" s="468">
        <v>0.84</v>
      </c>
      <c r="I39" s="1" t="str">
        <f>A39</f>
        <v xml:space="preserve">    Hot water Geyser</v>
      </c>
      <c r="L39" s="3">
        <v>0.7</v>
      </c>
      <c r="M39">
        <f t="shared" ref="M39:M43" si="13">(1/B39)*$L39</f>
        <v>0.72164948453608246</v>
      </c>
      <c r="N39">
        <f t="shared" ref="N39:N43" si="14">(1/C39)*$L39</f>
        <v>0.79545454545454553</v>
      </c>
      <c r="O39">
        <f t="shared" ref="O39:O43" si="15">(1/D39)*$L39</f>
        <v>0.83333333333333326</v>
      </c>
      <c r="P39">
        <f t="shared" ref="P39:P43" si="16">O39</f>
        <v>0.83333333333333326</v>
      </c>
      <c r="R39">
        <v>39</v>
      </c>
    </row>
    <row r="40" spans="1:18" ht="14.35">
      <c r="A40" s="467" t="s">
        <v>887</v>
      </c>
      <c r="B40" s="468">
        <v>0.97</v>
      </c>
      <c r="C40" s="468">
        <v>0.88</v>
      </c>
      <c r="D40" s="468">
        <v>0.86</v>
      </c>
      <c r="I40" s="1" t="str">
        <f>A40</f>
        <v xml:space="preserve">   Cooking</v>
      </c>
      <c r="K40" s="1" t="s">
        <v>268</v>
      </c>
      <c r="L40">
        <v>0.65</v>
      </c>
      <c r="M40">
        <f t="shared" si="13"/>
        <v>0.67010309278350522</v>
      </c>
      <c r="N40">
        <f t="shared" si="14"/>
        <v>0.73863636363636376</v>
      </c>
      <c r="O40">
        <f t="shared" si="15"/>
        <v>0.75581395348837221</v>
      </c>
      <c r="P40">
        <f t="shared" si="16"/>
        <v>0.75581395348837221</v>
      </c>
      <c r="R40">
        <v>40</v>
      </c>
    </row>
    <row r="41" spans="1:18" ht="14.35">
      <c r="A41" s="467" t="s">
        <v>888</v>
      </c>
      <c r="B41" s="468">
        <v>0.97</v>
      </c>
      <c r="C41" s="468">
        <v>0.9</v>
      </c>
      <c r="D41" s="468">
        <v>0.88</v>
      </c>
      <c r="I41" s="1" t="str">
        <f>A41</f>
        <v xml:space="preserve">   Other appliances</v>
      </c>
      <c r="K41" s="1" t="s">
        <v>271</v>
      </c>
      <c r="L41">
        <v>0.8</v>
      </c>
      <c r="M41">
        <f t="shared" si="13"/>
        <v>0.82474226804123729</v>
      </c>
      <c r="N41">
        <f t="shared" si="14"/>
        <v>0.88888888888888895</v>
      </c>
      <c r="O41">
        <f t="shared" si="15"/>
        <v>0.90909090909090917</v>
      </c>
      <c r="P41">
        <f t="shared" si="16"/>
        <v>0.90909090909090917</v>
      </c>
      <c r="R41">
        <v>41</v>
      </c>
    </row>
    <row r="42" spans="1:18" ht="14.35">
      <c r="A42" s="467" t="s">
        <v>889</v>
      </c>
      <c r="B42" s="468">
        <v>0.88</v>
      </c>
      <c r="C42" s="468">
        <v>0.55000000000000004</v>
      </c>
      <c r="D42" s="468">
        <v>0.49</v>
      </c>
      <c r="I42" s="1" t="str">
        <f>A42</f>
        <v xml:space="preserve">   Refrigeration</v>
      </c>
      <c r="K42" s="1" t="s">
        <v>270</v>
      </c>
      <c r="L42">
        <v>0.64200000000000002</v>
      </c>
      <c r="M42">
        <f t="shared" si="13"/>
        <v>0.72954545454545461</v>
      </c>
      <c r="N42">
        <f t="shared" si="14"/>
        <v>1.1672727272727272</v>
      </c>
      <c r="O42">
        <f t="shared" si="15"/>
        <v>1.3102040816326532</v>
      </c>
      <c r="P42">
        <f t="shared" si="16"/>
        <v>1.3102040816326532</v>
      </c>
      <c r="R42">
        <v>42</v>
      </c>
    </row>
    <row r="43" spans="1:18" ht="14.35">
      <c r="A43" s="467" t="s">
        <v>890</v>
      </c>
      <c r="B43" s="468">
        <v>1</v>
      </c>
      <c r="C43" s="468">
        <v>1</v>
      </c>
      <c r="D43" s="468">
        <v>1</v>
      </c>
      <c r="I43" s="1" t="str">
        <f>A43</f>
        <v xml:space="preserve">   Space heating</v>
      </c>
      <c r="K43" s="1" t="s">
        <v>252</v>
      </c>
      <c r="L43">
        <v>0.97249999999999992</v>
      </c>
      <c r="M43">
        <f t="shared" si="13"/>
        <v>0.97249999999999992</v>
      </c>
      <c r="N43">
        <f t="shared" si="14"/>
        <v>0.97249999999999992</v>
      </c>
      <c r="O43">
        <f t="shared" si="15"/>
        <v>0.97249999999999992</v>
      </c>
      <c r="P43">
        <f t="shared" si="16"/>
        <v>0.97249999999999992</v>
      </c>
      <c r="R43">
        <v>43</v>
      </c>
    </row>
    <row r="44" spans="1:18">
      <c r="R44">
        <v>44</v>
      </c>
    </row>
    <row r="45" spans="1:18" ht="14.35">
      <c r="A45" s="467" t="s">
        <v>925</v>
      </c>
      <c r="R45">
        <v>45</v>
      </c>
    </row>
    <row r="46" spans="1:18" ht="16" thickBot="1">
      <c r="A46" s="463"/>
      <c r="B46" s="464">
        <v>2020</v>
      </c>
      <c r="C46" s="464">
        <v>2030</v>
      </c>
      <c r="D46" s="464">
        <v>2040</v>
      </c>
      <c r="E46" s="1" t="s">
        <v>894</v>
      </c>
      <c r="L46" s="1" t="s">
        <v>895</v>
      </c>
      <c r="R46">
        <v>46</v>
      </c>
    </row>
    <row r="47" spans="1:18" ht="16" thickBot="1">
      <c r="A47" s="465" t="s">
        <v>886</v>
      </c>
      <c r="B47" s="466"/>
      <c r="C47" s="466"/>
      <c r="D47" s="466"/>
      <c r="L47">
        <v>2017</v>
      </c>
      <c r="M47">
        <v>2020</v>
      </c>
      <c r="N47">
        <v>2030</v>
      </c>
      <c r="O47">
        <v>2040</v>
      </c>
      <c r="P47">
        <v>2050</v>
      </c>
      <c r="R47">
        <v>47</v>
      </c>
    </row>
    <row r="48" spans="1:18" ht="14.35">
      <c r="A48" s="467" t="s">
        <v>887</v>
      </c>
      <c r="B48" s="468">
        <v>0.99</v>
      </c>
      <c r="C48" s="468">
        <v>0.94</v>
      </c>
      <c r="D48" s="468">
        <v>0.93</v>
      </c>
      <c r="I48" s="1" t="str">
        <f>A48</f>
        <v xml:space="preserve">   Cooking</v>
      </c>
      <c r="K48" s="1" t="s">
        <v>256</v>
      </c>
      <c r="L48" s="3">
        <v>0.8</v>
      </c>
      <c r="M48">
        <f>(1/B48)*$L48</f>
        <v>0.80808080808080818</v>
      </c>
      <c r="N48">
        <f t="shared" ref="N48:N51" si="17">(1/C48)*$L48</f>
        <v>0.85106382978723405</v>
      </c>
      <c r="O48">
        <f t="shared" ref="O48:O51" si="18">(1/D48)*$L48</f>
        <v>0.86021505376344087</v>
      </c>
      <c r="P48">
        <f>O48</f>
        <v>0.86021505376344087</v>
      </c>
      <c r="R48">
        <v>48</v>
      </c>
    </row>
    <row r="49" spans="1:18" ht="14.35">
      <c r="A49" s="467" t="s">
        <v>888</v>
      </c>
      <c r="B49" s="468">
        <v>0.99</v>
      </c>
      <c r="C49" s="468">
        <v>0.94</v>
      </c>
      <c r="D49" s="468">
        <v>0.9</v>
      </c>
      <c r="I49" s="1" t="str">
        <f>A49</f>
        <v xml:space="preserve">   Other appliances</v>
      </c>
      <c r="K49" s="1" t="s">
        <v>260</v>
      </c>
      <c r="L49">
        <v>0.8</v>
      </c>
      <c r="M49">
        <f t="shared" ref="M49:M51" si="19">(1/B49)*$L49</f>
        <v>0.80808080808080818</v>
      </c>
      <c r="N49">
        <f t="shared" si="17"/>
        <v>0.85106382978723405</v>
      </c>
      <c r="O49">
        <f t="shared" si="18"/>
        <v>0.88888888888888895</v>
      </c>
      <c r="P49">
        <f t="shared" ref="P49:P51" si="20">O49</f>
        <v>0.88888888888888895</v>
      </c>
      <c r="R49">
        <v>49</v>
      </c>
    </row>
    <row r="50" spans="1:18" ht="14.35">
      <c r="A50" s="467" t="s">
        <v>889</v>
      </c>
      <c r="B50" s="468">
        <v>0.86</v>
      </c>
      <c r="C50" s="468">
        <v>0.53</v>
      </c>
      <c r="D50" s="468">
        <v>0.49</v>
      </c>
      <c r="I50" s="1" t="str">
        <f>A50</f>
        <v xml:space="preserve">   Refrigeration</v>
      </c>
      <c r="K50" s="1" t="s">
        <v>259</v>
      </c>
      <c r="L50">
        <v>0.4</v>
      </c>
      <c r="M50">
        <f t="shared" si="19"/>
        <v>0.46511627906976749</v>
      </c>
      <c r="N50">
        <f t="shared" si="17"/>
        <v>0.75471698113207542</v>
      </c>
      <c r="O50">
        <f t="shared" si="18"/>
        <v>0.81632653061224492</v>
      </c>
      <c r="P50">
        <f t="shared" si="20"/>
        <v>0.81632653061224492</v>
      </c>
      <c r="R50">
        <v>50</v>
      </c>
    </row>
    <row r="51" spans="1:18" ht="14.35">
      <c r="A51" s="467" t="s">
        <v>890</v>
      </c>
      <c r="B51" s="468">
        <v>1</v>
      </c>
      <c r="C51" s="468">
        <v>1</v>
      </c>
      <c r="D51" s="468">
        <v>1</v>
      </c>
      <c r="I51" s="1" t="str">
        <f>A51</f>
        <v xml:space="preserve">   Space heating</v>
      </c>
      <c r="K51" s="1" t="s">
        <v>257</v>
      </c>
      <c r="L51">
        <v>0.94750000000000001</v>
      </c>
      <c r="M51">
        <f t="shared" si="19"/>
        <v>0.94750000000000001</v>
      </c>
      <c r="N51">
        <f t="shared" si="17"/>
        <v>0.94750000000000001</v>
      </c>
      <c r="O51">
        <f t="shared" si="18"/>
        <v>0.94750000000000001</v>
      </c>
      <c r="P51">
        <f t="shared" si="20"/>
        <v>0.94750000000000001</v>
      </c>
      <c r="R51">
        <v>51</v>
      </c>
    </row>
    <row r="52" spans="1:18" ht="16" thickBot="1">
      <c r="A52" s="465" t="s">
        <v>891</v>
      </c>
      <c r="B52" s="466"/>
      <c r="C52" s="466"/>
      <c r="D52" s="466"/>
      <c r="I52" s="1"/>
      <c r="R52">
        <v>52</v>
      </c>
    </row>
    <row r="53" spans="1:18" ht="14.35">
      <c r="A53" s="467" t="s">
        <v>892</v>
      </c>
      <c r="B53" s="468">
        <v>0.95</v>
      </c>
      <c r="C53" s="468">
        <v>0.88</v>
      </c>
      <c r="D53" s="468">
        <v>0.86</v>
      </c>
      <c r="I53" s="1" t="str">
        <f>A53</f>
        <v xml:space="preserve">    Hot water Geyser</v>
      </c>
      <c r="K53">
        <f>RES!D97</f>
        <v>0</v>
      </c>
      <c r="L53" s="3">
        <v>0.7</v>
      </c>
      <c r="M53">
        <f t="shared" ref="M53:M57" si="21">(1/B53)*$L53</f>
        <v>0.73684210526315785</v>
      </c>
      <c r="N53">
        <f t="shared" ref="N53:N57" si="22">(1/C53)*$L53</f>
        <v>0.79545454545454553</v>
      </c>
      <c r="O53">
        <f t="shared" ref="O53:O57" si="23">(1/D53)*$L53</f>
        <v>0.81395348837209303</v>
      </c>
      <c r="P53">
        <f t="shared" ref="P53:P57" si="24">O53</f>
        <v>0.81395348837209303</v>
      </c>
      <c r="R53">
        <v>53</v>
      </c>
    </row>
    <row r="54" spans="1:18" ht="14.35">
      <c r="A54" s="467" t="s">
        <v>887</v>
      </c>
      <c r="B54" s="468">
        <v>0.98</v>
      </c>
      <c r="C54" s="468">
        <v>0.91</v>
      </c>
      <c r="D54" s="468">
        <v>0.89</v>
      </c>
      <c r="I54" s="1" t="str">
        <f>A54</f>
        <v xml:space="preserve">   Cooking</v>
      </c>
      <c r="K54" s="1" t="s">
        <v>262</v>
      </c>
      <c r="L54">
        <v>0.65</v>
      </c>
      <c r="M54">
        <f t="shared" si="21"/>
        <v>0.66326530612244905</v>
      </c>
      <c r="N54">
        <f t="shared" si="22"/>
        <v>0.71428571428571419</v>
      </c>
      <c r="O54">
        <f t="shared" si="23"/>
        <v>0.73033707865168551</v>
      </c>
      <c r="P54">
        <f t="shared" si="24"/>
        <v>0.73033707865168551</v>
      </c>
      <c r="R54">
        <v>54</v>
      </c>
    </row>
    <row r="55" spans="1:18" ht="14.35">
      <c r="A55" s="467" t="s">
        <v>888</v>
      </c>
      <c r="B55" s="468">
        <v>0.99</v>
      </c>
      <c r="C55" s="468">
        <v>0.95</v>
      </c>
      <c r="D55" s="468">
        <v>0.94</v>
      </c>
      <c r="I55" s="1" t="str">
        <f>A55</f>
        <v xml:space="preserve">   Other appliances</v>
      </c>
      <c r="K55" s="1" t="s">
        <v>266</v>
      </c>
      <c r="L55">
        <v>0.8</v>
      </c>
      <c r="M55">
        <f t="shared" si="21"/>
        <v>0.80808080808080818</v>
      </c>
      <c r="N55">
        <f t="shared" si="22"/>
        <v>0.84210526315789469</v>
      </c>
      <c r="O55">
        <f t="shared" si="23"/>
        <v>0.85106382978723405</v>
      </c>
      <c r="P55">
        <f t="shared" si="24"/>
        <v>0.85106382978723405</v>
      </c>
      <c r="R55">
        <v>55</v>
      </c>
    </row>
    <row r="56" spans="1:18" ht="14.35">
      <c r="A56" s="467" t="s">
        <v>889</v>
      </c>
      <c r="B56" s="468">
        <v>0.86</v>
      </c>
      <c r="C56" s="468">
        <v>0.52</v>
      </c>
      <c r="D56" s="468">
        <v>0.49</v>
      </c>
      <c r="I56" s="1" t="str">
        <f>A56</f>
        <v xml:space="preserve">   Refrigeration</v>
      </c>
      <c r="K56" s="1" t="s">
        <v>265</v>
      </c>
      <c r="L56">
        <v>0.64200000000000002</v>
      </c>
      <c r="M56">
        <f t="shared" si="21"/>
        <v>0.74651162790697678</v>
      </c>
      <c r="N56">
        <f t="shared" si="22"/>
        <v>1.2346153846153844</v>
      </c>
      <c r="O56">
        <f t="shared" si="23"/>
        <v>1.3102040816326532</v>
      </c>
      <c r="P56">
        <f t="shared" si="24"/>
        <v>1.3102040816326532</v>
      </c>
      <c r="R56">
        <v>56</v>
      </c>
    </row>
    <row r="57" spans="1:18" ht="14.35">
      <c r="A57" s="467" t="s">
        <v>890</v>
      </c>
      <c r="B57" s="468">
        <v>1</v>
      </c>
      <c r="C57" s="468">
        <v>1</v>
      </c>
      <c r="D57" s="468">
        <v>1</v>
      </c>
      <c r="I57" s="1" t="str">
        <f>A57</f>
        <v xml:space="preserve">   Space heating</v>
      </c>
      <c r="K57" s="1" t="s">
        <v>263</v>
      </c>
      <c r="L57">
        <v>0.94750000000000012</v>
      </c>
      <c r="M57">
        <f t="shared" si="21"/>
        <v>0.94750000000000012</v>
      </c>
      <c r="N57">
        <f t="shared" si="22"/>
        <v>0.94750000000000012</v>
      </c>
      <c r="O57">
        <f t="shared" si="23"/>
        <v>0.94750000000000012</v>
      </c>
      <c r="P57">
        <f t="shared" si="24"/>
        <v>0.94750000000000012</v>
      </c>
      <c r="R57">
        <v>57</v>
      </c>
    </row>
    <row r="58" spans="1:18" ht="16" thickBot="1">
      <c r="A58" s="469" t="s">
        <v>893</v>
      </c>
      <c r="B58" s="470"/>
      <c r="C58" s="470"/>
      <c r="D58" s="470"/>
      <c r="I58" s="1"/>
      <c r="R58">
        <v>58</v>
      </c>
    </row>
    <row r="59" spans="1:18" ht="14.35">
      <c r="A59" s="467" t="s">
        <v>892</v>
      </c>
      <c r="B59" s="468">
        <v>0.97</v>
      </c>
      <c r="C59" s="468">
        <v>0.88</v>
      </c>
      <c r="D59" s="468">
        <v>0.84</v>
      </c>
      <c r="I59" s="1" t="str">
        <f>A59</f>
        <v xml:space="preserve">    Hot water Geyser</v>
      </c>
      <c r="L59" s="3">
        <v>0.7</v>
      </c>
      <c r="M59">
        <f t="shared" ref="M59:M63" si="25">(1/B59)*$L59</f>
        <v>0.72164948453608246</v>
      </c>
      <c r="N59">
        <f t="shared" ref="N59:N63" si="26">(1/C59)*$L59</f>
        <v>0.79545454545454553</v>
      </c>
      <c r="O59">
        <f t="shared" ref="O59:O63" si="27">(1/D59)*$L59</f>
        <v>0.83333333333333326</v>
      </c>
      <c r="P59">
        <f t="shared" ref="P59:P63" si="28">O59</f>
        <v>0.83333333333333326</v>
      </c>
      <c r="R59">
        <v>59</v>
      </c>
    </row>
    <row r="60" spans="1:18" ht="14.35">
      <c r="A60" s="467" t="s">
        <v>887</v>
      </c>
      <c r="B60" s="468">
        <v>0.97</v>
      </c>
      <c r="C60" s="468">
        <v>0.88</v>
      </c>
      <c r="D60" s="468">
        <v>0.86</v>
      </c>
      <c r="I60" s="1" t="str">
        <f>A60</f>
        <v xml:space="preserve">   Cooking</v>
      </c>
      <c r="K60" s="1" t="s">
        <v>268</v>
      </c>
      <c r="L60">
        <v>0.65</v>
      </c>
      <c r="M60">
        <f t="shared" si="25"/>
        <v>0.67010309278350522</v>
      </c>
      <c r="N60">
        <f t="shared" si="26"/>
        <v>0.73863636363636376</v>
      </c>
      <c r="O60">
        <f t="shared" si="27"/>
        <v>0.75581395348837221</v>
      </c>
      <c r="P60">
        <f t="shared" si="28"/>
        <v>0.75581395348837221</v>
      </c>
      <c r="R60">
        <v>60</v>
      </c>
    </row>
    <row r="61" spans="1:18" ht="14.35">
      <c r="A61" s="467" t="s">
        <v>888</v>
      </c>
      <c r="B61" s="468">
        <v>0.97</v>
      </c>
      <c r="C61" s="468">
        <v>0.9</v>
      </c>
      <c r="D61" s="468">
        <v>0.88</v>
      </c>
      <c r="I61" s="1" t="str">
        <f>A61</f>
        <v xml:space="preserve">   Other appliances</v>
      </c>
      <c r="K61" s="1" t="s">
        <v>271</v>
      </c>
      <c r="L61">
        <v>0.8</v>
      </c>
      <c r="M61">
        <f t="shared" si="25"/>
        <v>0.82474226804123729</v>
      </c>
      <c r="N61">
        <f t="shared" si="26"/>
        <v>0.88888888888888895</v>
      </c>
      <c r="O61">
        <f t="shared" si="27"/>
        <v>0.90909090909090917</v>
      </c>
      <c r="P61">
        <f t="shared" si="28"/>
        <v>0.90909090909090917</v>
      </c>
      <c r="R61">
        <v>61</v>
      </c>
    </row>
    <row r="62" spans="1:18" ht="14.35">
      <c r="A62" s="467" t="s">
        <v>889</v>
      </c>
      <c r="B62" s="468">
        <v>0.88</v>
      </c>
      <c r="C62" s="468">
        <v>0.55000000000000004</v>
      </c>
      <c r="D62" s="468">
        <v>0.49</v>
      </c>
      <c r="I62" s="1" t="str">
        <f>A62</f>
        <v xml:space="preserve">   Refrigeration</v>
      </c>
      <c r="K62" s="1" t="s">
        <v>270</v>
      </c>
      <c r="L62">
        <v>0.64200000000000002</v>
      </c>
      <c r="M62">
        <f t="shared" si="25"/>
        <v>0.72954545454545461</v>
      </c>
      <c r="N62">
        <f t="shared" si="26"/>
        <v>1.1672727272727272</v>
      </c>
      <c r="O62">
        <f t="shared" si="27"/>
        <v>1.3102040816326532</v>
      </c>
      <c r="P62">
        <f t="shared" si="28"/>
        <v>1.3102040816326532</v>
      </c>
      <c r="R62">
        <v>62</v>
      </c>
    </row>
    <row r="63" spans="1:18" ht="14.35">
      <c r="A63" s="467" t="s">
        <v>890</v>
      </c>
      <c r="B63" s="468">
        <v>1</v>
      </c>
      <c r="C63" s="468">
        <v>1</v>
      </c>
      <c r="D63" s="468">
        <v>1</v>
      </c>
      <c r="I63" s="1" t="str">
        <f>A63</f>
        <v xml:space="preserve">   Space heating</v>
      </c>
      <c r="K63" s="1" t="s">
        <v>252</v>
      </c>
      <c r="L63">
        <v>0.97249999999999992</v>
      </c>
      <c r="M63">
        <f t="shared" si="25"/>
        <v>0.97249999999999992</v>
      </c>
      <c r="N63">
        <f t="shared" si="26"/>
        <v>0.97249999999999992</v>
      </c>
      <c r="O63">
        <f t="shared" si="27"/>
        <v>0.97249999999999992</v>
      </c>
      <c r="P63">
        <f t="shared" si="28"/>
        <v>0.97249999999999992</v>
      </c>
      <c r="R63">
        <v>63</v>
      </c>
    </row>
    <row r="64" spans="1:18">
      <c r="R64">
        <v>64</v>
      </c>
    </row>
    <row r="65" spans="1:18" ht="14.35">
      <c r="A65" s="467" t="s">
        <v>926</v>
      </c>
      <c r="R65">
        <v>65</v>
      </c>
    </row>
    <row r="66" spans="1:18" ht="16" thickBot="1">
      <c r="A66" s="463"/>
      <c r="B66" s="464">
        <v>2020</v>
      </c>
      <c r="C66" s="464">
        <v>2030</v>
      </c>
      <c r="D66" s="464">
        <v>2040</v>
      </c>
      <c r="E66" s="1" t="s">
        <v>894</v>
      </c>
      <c r="L66" s="1" t="s">
        <v>895</v>
      </c>
      <c r="R66">
        <v>66</v>
      </c>
    </row>
    <row r="67" spans="1:18" ht="16" thickBot="1">
      <c r="A67" s="465" t="s">
        <v>886</v>
      </c>
      <c r="B67" s="466"/>
      <c r="C67" s="466"/>
      <c r="D67" s="466"/>
      <c r="L67">
        <v>2017</v>
      </c>
      <c r="M67">
        <v>2020</v>
      </c>
      <c r="N67">
        <v>2030</v>
      </c>
      <c r="O67">
        <v>2040</v>
      </c>
      <c r="P67">
        <v>2050</v>
      </c>
      <c r="R67">
        <v>67</v>
      </c>
    </row>
    <row r="68" spans="1:18" ht="14.35">
      <c r="A68" s="467" t="s">
        <v>887</v>
      </c>
      <c r="B68" s="468">
        <v>0.99</v>
      </c>
      <c r="C68" s="468">
        <v>0.94</v>
      </c>
      <c r="D68" s="468">
        <v>0.93</v>
      </c>
      <c r="I68" s="1" t="str">
        <f>A68</f>
        <v xml:space="preserve">   Cooking</v>
      </c>
      <c r="K68" s="1" t="s">
        <v>256</v>
      </c>
      <c r="L68" s="3">
        <v>0.8</v>
      </c>
      <c r="M68">
        <f>(1/B68)*$L68</f>
        <v>0.80808080808080818</v>
      </c>
      <c r="N68">
        <f t="shared" ref="N68:N71" si="29">(1/C68)*$L68</f>
        <v>0.85106382978723405</v>
      </c>
      <c r="O68">
        <f t="shared" ref="O68:O71" si="30">(1/D68)*$L68</f>
        <v>0.86021505376344087</v>
      </c>
      <c r="P68">
        <f>O68</f>
        <v>0.86021505376344087</v>
      </c>
      <c r="R68">
        <v>68</v>
      </c>
    </row>
    <row r="69" spans="1:18" ht="14.35">
      <c r="A69" s="467" t="s">
        <v>888</v>
      </c>
      <c r="B69" s="468">
        <v>0.99</v>
      </c>
      <c r="C69" s="468">
        <v>0.94</v>
      </c>
      <c r="D69" s="468">
        <v>0.9</v>
      </c>
      <c r="I69" s="1" t="str">
        <f>A69</f>
        <v xml:space="preserve">   Other appliances</v>
      </c>
      <c r="K69" s="1" t="s">
        <v>260</v>
      </c>
      <c r="L69">
        <v>0.8</v>
      </c>
      <c r="M69">
        <f t="shared" ref="M69:M71" si="31">(1/B69)*$L69</f>
        <v>0.80808080808080818</v>
      </c>
      <c r="N69">
        <f t="shared" si="29"/>
        <v>0.85106382978723405</v>
      </c>
      <c r="O69">
        <f t="shared" si="30"/>
        <v>0.88888888888888895</v>
      </c>
      <c r="P69">
        <f t="shared" ref="P69:P71" si="32">O69</f>
        <v>0.88888888888888895</v>
      </c>
      <c r="R69">
        <v>69</v>
      </c>
    </row>
    <row r="70" spans="1:18" ht="14.35">
      <c r="A70" s="467" t="s">
        <v>889</v>
      </c>
      <c r="B70" s="468">
        <v>0.86</v>
      </c>
      <c r="C70" s="468">
        <v>0.53</v>
      </c>
      <c r="D70" s="468">
        <v>0.49</v>
      </c>
      <c r="I70" s="1" t="str">
        <f>A70</f>
        <v xml:space="preserve">   Refrigeration</v>
      </c>
      <c r="K70" s="1" t="s">
        <v>259</v>
      </c>
      <c r="L70">
        <v>0.4</v>
      </c>
      <c r="M70">
        <f t="shared" si="31"/>
        <v>0.46511627906976749</v>
      </c>
      <c r="N70">
        <f t="shared" si="29"/>
        <v>0.75471698113207542</v>
      </c>
      <c r="O70">
        <f t="shared" si="30"/>
        <v>0.81632653061224492</v>
      </c>
      <c r="P70">
        <f t="shared" si="32"/>
        <v>0.81632653061224492</v>
      </c>
      <c r="R70">
        <v>70</v>
      </c>
    </row>
    <row r="71" spans="1:18" ht="14.35">
      <c r="A71" s="467" t="s">
        <v>890</v>
      </c>
      <c r="B71" s="468">
        <v>1</v>
      </c>
      <c r="C71" s="468">
        <v>1</v>
      </c>
      <c r="D71" s="468">
        <v>1</v>
      </c>
      <c r="I71" s="1" t="str">
        <f>A71</f>
        <v xml:space="preserve">   Space heating</v>
      </c>
      <c r="K71" s="1" t="s">
        <v>257</v>
      </c>
      <c r="L71">
        <v>0.94750000000000001</v>
      </c>
      <c r="M71">
        <f t="shared" si="31"/>
        <v>0.94750000000000001</v>
      </c>
      <c r="N71">
        <f t="shared" si="29"/>
        <v>0.94750000000000001</v>
      </c>
      <c r="O71">
        <f t="shared" si="30"/>
        <v>0.94750000000000001</v>
      </c>
      <c r="P71">
        <f t="shared" si="32"/>
        <v>0.94750000000000001</v>
      </c>
      <c r="R71">
        <v>71</v>
      </c>
    </row>
    <row r="72" spans="1:18" ht="16" thickBot="1">
      <c r="A72" s="465" t="s">
        <v>891</v>
      </c>
      <c r="B72" s="466"/>
      <c r="C72" s="466"/>
      <c r="D72" s="466"/>
      <c r="I72" s="1"/>
      <c r="R72">
        <v>72</v>
      </c>
    </row>
    <row r="73" spans="1:18" ht="14.35">
      <c r="A73" s="467" t="s">
        <v>892</v>
      </c>
      <c r="B73" s="468">
        <v>0.95</v>
      </c>
      <c r="C73" s="468">
        <v>0.88</v>
      </c>
      <c r="D73" s="468">
        <v>0.86</v>
      </c>
      <c r="I73" s="1" t="str">
        <f>A73</f>
        <v xml:space="preserve">    Hot water Geyser</v>
      </c>
      <c r="K73" t="str">
        <f>RES!D117</f>
        <v>RHEK</v>
      </c>
      <c r="L73" s="3">
        <v>0.7</v>
      </c>
      <c r="M73">
        <f t="shared" ref="M73:M77" si="33">(1/B73)*$L73</f>
        <v>0.73684210526315785</v>
      </c>
      <c r="N73">
        <f t="shared" ref="N73:N77" si="34">(1/C73)*$L73</f>
        <v>0.79545454545454553</v>
      </c>
      <c r="O73">
        <f t="shared" ref="O73:O77" si="35">(1/D73)*$L73</f>
        <v>0.81395348837209303</v>
      </c>
      <c r="P73">
        <f t="shared" ref="P73:P77" si="36">O73</f>
        <v>0.81395348837209303</v>
      </c>
      <c r="R73">
        <v>73</v>
      </c>
    </row>
    <row r="74" spans="1:18" ht="14.35">
      <c r="A74" s="467" t="s">
        <v>887</v>
      </c>
      <c r="B74" s="468">
        <v>0.98</v>
      </c>
      <c r="C74" s="468">
        <v>0.91</v>
      </c>
      <c r="D74" s="468">
        <v>0.89</v>
      </c>
      <c r="I74" s="1" t="str">
        <f>A74</f>
        <v xml:space="preserve">   Cooking</v>
      </c>
      <c r="K74" s="1" t="s">
        <v>262</v>
      </c>
      <c r="L74">
        <v>0.65</v>
      </c>
      <c r="M74">
        <f t="shared" si="33"/>
        <v>0.66326530612244905</v>
      </c>
      <c r="N74">
        <f t="shared" si="34"/>
        <v>0.71428571428571419</v>
      </c>
      <c r="O74">
        <f t="shared" si="35"/>
        <v>0.73033707865168551</v>
      </c>
      <c r="P74">
        <f t="shared" si="36"/>
        <v>0.73033707865168551</v>
      </c>
      <c r="R74">
        <v>74</v>
      </c>
    </row>
    <row r="75" spans="1:18" ht="14.35">
      <c r="A75" s="467" t="s">
        <v>888</v>
      </c>
      <c r="B75" s="468">
        <v>0.99</v>
      </c>
      <c r="C75" s="468">
        <v>0.95</v>
      </c>
      <c r="D75" s="468">
        <v>0.94</v>
      </c>
      <c r="I75" s="1" t="str">
        <f>A75</f>
        <v xml:space="preserve">   Other appliances</v>
      </c>
      <c r="K75" s="1" t="s">
        <v>266</v>
      </c>
      <c r="L75">
        <v>0.8</v>
      </c>
      <c r="M75">
        <f t="shared" si="33"/>
        <v>0.80808080808080818</v>
      </c>
      <c r="N75">
        <f t="shared" si="34"/>
        <v>0.84210526315789469</v>
      </c>
      <c r="O75">
        <f t="shared" si="35"/>
        <v>0.85106382978723405</v>
      </c>
      <c r="P75">
        <f t="shared" si="36"/>
        <v>0.85106382978723405</v>
      </c>
      <c r="R75">
        <v>75</v>
      </c>
    </row>
    <row r="76" spans="1:18" ht="14.35">
      <c r="A76" s="467" t="s">
        <v>889</v>
      </c>
      <c r="B76" s="468">
        <v>0.86</v>
      </c>
      <c r="C76" s="468">
        <v>0.52</v>
      </c>
      <c r="D76" s="468">
        <v>0.49</v>
      </c>
      <c r="I76" s="1" t="str">
        <f>A76</f>
        <v xml:space="preserve">   Refrigeration</v>
      </c>
      <c r="K76" s="1" t="s">
        <v>265</v>
      </c>
      <c r="L76">
        <v>0.64200000000000002</v>
      </c>
      <c r="M76">
        <f t="shared" si="33"/>
        <v>0.74651162790697678</v>
      </c>
      <c r="N76">
        <f t="shared" si="34"/>
        <v>1.2346153846153844</v>
      </c>
      <c r="O76">
        <f t="shared" si="35"/>
        <v>1.3102040816326532</v>
      </c>
      <c r="P76">
        <f t="shared" si="36"/>
        <v>1.3102040816326532</v>
      </c>
      <c r="R76">
        <v>76</v>
      </c>
    </row>
    <row r="77" spans="1:18" ht="14.35">
      <c r="A77" s="467" t="s">
        <v>890</v>
      </c>
      <c r="B77" s="468">
        <v>1</v>
      </c>
      <c r="C77" s="468">
        <v>1</v>
      </c>
      <c r="D77" s="468">
        <v>1</v>
      </c>
      <c r="I77" s="1" t="str">
        <f>A77</f>
        <v xml:space="preserve">   Space heating</v>
      </c>
      <c r="K77" s="1" t="s">
        <v>263</v>
      </c>
      <c r="L77">
        <v>0.94750000000000012</v>
      </c>
      <c r="M77">
        <f t="shared" si="33"/>
        <v>0.94750000000000012</v>
      </c>
      <c r="N77">
        <f t="shared" si="34"/>
        <v>0.94750000000000012</v>
      </c>
      <c r="O77">
        <f t="shared" si="35"/>
        <v>0.94750000000000012</v>
      </c>
      <c r="P77">
        <f t="shared" si="36"/>
        <v>0.94750000000000012</v>
      </c>
      <c r="R77">
        <v>77</v>
      </c>
    </row>
    <row r="78" spans="1:18" ht="16" thickBot="1">
      <c r="A78" s="469" t="s">
        <v>893</v>
      </c>
      <c r="B78" s="470"/>
      <c r="C78" s="470"/>
      <c r="D78" s="470"/>
      <c r="I78" s="1"/>
      <c r="R78">
        <v>78</v>
      </c>
    </row>
    <row r="79" spans="1:18" ht="14.35">
      <c r="A79" s="467" t="s">
        <v>892</v>
      </c>
      <c r="B79" s="468">
        <v>0.97</v>
      </c>
      <c r="C79" s="468">
        <v>0.88</v>
      </c>
      <c r="D79" s="468">
        <v>0.84</v>
      </c>
      <c r="I79" s="1" t="str">
        <f>A79</f>
        <v xml:space="preserve">    Hot water Geyser</v>
      </c>
      <c r="L79" s="3">
        <v>0.7</v>
      </c>
      <c r="M79">
        <f t="shared" ref="M79:M83" si="37">(1/B79)*$L79</f>
        <v>0.72164948453608246</v>
      </c>
      <c r="N79">
        <f t="shared" ref="N79:N83" si="38">(1/C79)*$L79</f>
        <v>0.79545454545454553</v>
      </c>
      <c r="O79">
        <f t="shared" ref="O79:O83" si="39">(1/D79)*$L79</f>
        <v>0.83333333333333326</v>
      </c>
      <c r="P79">
        <f t="shared" ref="P79:P83" si="40">O79</f>
        <v>0.83333333333333326</v>
      </c>
      <c r="R79">
        <v>79</v>
      </c>
    </row>
    <row r="80" spans="1:18" ht="14.35">
      <c r="A80" s="467" t="s">
        <v>887</v>
      </c>
      <c r="B80" s="468">
        <v>0.97</v>
      </c>
      <c r="C80" s="468">
        <v>0.88</v>
      </c>
      <c r="D80" s="468">
        <v>0.86</v>
      </c>
      <c r="I80" s="1" t="str">
        <f>A80</f>
        <v xml:space="preserve">   Cooking</v>
      </c>
      <c r="K80" s="1" t="s">
        <v>268</v>
      </c>
      <c r="L80">
        <v>0.65</v>
      </c>
      <c r="M80">
        <f t="shared" si="37"/>
        <v>0.67010309278350522</v>
      </c>
      <c r="N80">
        <f t="shared" si="38"/>
        <v>0.73863636363636376</v>
      </c>
      <c r="O80">
        <f t="shared" si="39"/>
        <v>0.75581395348837221</v>
      </c>
      <c r="P80">
        <f t="shared" si="40"/>
        <v>0.75581395348837221</v>
      </c>
      <c r="R80">
        <v>80</v>
      </c>
    </row>
    <row r="81" spans="1:18" ht="14.35">
      <c r="A81" s="467" t="s">
        <v>888</v>
      </c>
      <c r="B81" s="468">
        <v>0.97</v>
      </c>
      <c r="C81" s="468">
        <v>0.9</v>
      </c>
      <c r="D81" s="468">
        <v>0.88</v>
      </c>
      <c r="I81" s="1" t="str">
        <f>A81</f>
        <v xml:space="preserve">   Other appliances</v>
      </c>
      <c r="K81" s="1" t="s">
        <v>271</v>
      </c>
      <c r="L81">
        <v>0.8</v>
      </c>
      <c r="M81">
        <f t="shared" si="37"/>
        <v>0.82474226804123729</v>
      </c>
      <c r="N81">
        <f t="shared" si="38"/>
        <v>0.88888888888888895</v>
      </c>
      <c r="O81">
        <f t="shared" si="39"/>
        <v>0.90909090909090917</v>
      </c>
      <c r="P81">
        <f t="shared" si="40"/>
        <v>0.90909090909090917</v>
      </c>
      <c r="R81">
        <v>81</v>
      </c>
    </row>
    <row r="82" spans="1:18" ht="14.35">
      <c r="A82" s="467" t="s">
        <v>889</v>
      </c>
      <c r="B82" s="468">
        <v>0.88</v>
      </c>
      <c r="C82" s="468">
        <v>0.55000000000000004</v>
      </c>
      <c r="D82" s="468">
        <v>0.49</v>
      </c>
      <c r="I82" s="1" t="str">
        <f>A82</f>
        <v xml:space="preserve">   Refrigeration</v>
      </c>
      <c r="K82" s="1" t="s">
        <v>270</v>
      </c>
      <c r="L82">
        <v>0.64200000000000002</v>
      </c>
      <c r="M82">
        <f t="shared" si="37"/>
        <v>0.72954545454545461</v>
      </c>
      <c r="N82">
        <f t="shared" si="38"/>
        <v>1.1672727272727272</v>
      </c>
      <c r="O82">
        <f t="shared" si="39"/>
        <v>1.3102040816326532</v>
      </c>
      <c r="P82">
        <f t="shared" si="40"/>
        <v>1.3102040816326532</v>
      </c>
      <c r="R82">
        <v>82</v>
      </c>
    </row>
    <row r="83" spans="1:18" ht="14.35">
      <c r="A83" s="467" t="s">
        <v>890</v>
      </c>
      <c r="B83" s="468">
        <v>1</v>
      </c>
      <c r="C83" s="468">
        <v>1</v>
      </c>
      <c r="D83" s="468">
        <v>1</v>
      </c>
      <c r="I83" s="1" t="str">
        <f>A83</f>
        <v xml:space="preserve">   Space heating</v>
      </c>
      <c r="K83" s="1" t="s">
        <v>252</v>
      </c>
      <c r="L83">
        <v>0.97249999999999992</v>
      </c>
      <c r="M83">
        <f t="shared" si="37"/>
        <v>0.97249999999999992</v>
      </c>
      <c r="N83">
        <f t="shared" si="38"/>
        <v>0.97249999999999992</v>
      </c>
      <c r="O83">
        <f t="shared" si="39"/>
        <v>0.97249999999999992</v>
      </c>
      <c r="P83">
        <f t="shared" si="40"/>
        <v>0.97249999999999992</v>
      </c>
      <c r="R83">
        <v>83</v>
      </c>
    </row>
    <row r="84" spans="1:18">
      <c r="R84">
        <v>84</v>
      </c>
    </row>
    <row r="85" spans="1:18" ht="14.35">
      <c r="A85" s="467" t="s">
        <v>927</v>
      </c>
      <c r="R85">
        <v>85</v>
      </c>
    </row>
    <row r="86" spans="1:18" ht="16" thickBot="1">
      <c r="A86" s="463"/>
      <c r="B86" s="464">
        <v>2020</v>
      </c>
      <c r="C86" s="464">
        <v>2030</v>
      </c>
      <c r="D86" s="464">
        <v>2040</v>
      </c>
      <c r="E86" s="1" t="s">
        <v>894</v>
      </c>
      <c r="L86" s="1" t="s">
        <v>895</v>
      </c>
      <c r="R86">
        <v>86</v>
      </c>
    </row>
    <row r="87" spans="1:18" ht="16" thickBot="1">
      <c r="A87" s="465" t="s">
        <v>886</v>
      </c>
      <c r="B87" s="466"/>
      <c r="C87" s="466"/>
      <c r="D87" s="466"/>
      <c r="L87">
        <v>2017</v>
      </c>
      <c r="M87">
        <v>2020</v>
      </c>
      <c r="N87">
        <v>2030</v>
      </c>
      <c r="O87">
        <v>2040</v>
      </c>
      <c r="P87">
        <v>2050</v>
      </c>
      <c r="R87">
        <v>87</v>
      </c>
    </row>
    <row r="88" spans="1:18" ht="14.35">
      <c r="A88" s="467" t="s">
        <v>887</v>
      </c>
      <c r="B88" s="468">
        <v>0.99</v>
      </c>
      <c r="C88" s="468">
        <v>0.94</v>
      </c>
      <c r="D88" s="468">
        <v>0.93</v>
      </c>
      <c r="I88" s="1" t="str">
        <f>A88</f>
        <v xml:space="preserve">   Cooking</v>
      </c>
      <c r="K88" s="1" t="s">
        <v>256</v>
      </c>
      <c r="L88" s="3">
        <v>0.8</v>
      </c>
      <c r="M88">
        <f>(1/B88)*$L88</f>
        <v>0.80808080808080818</v>
      </c>
      <c r="N88">
        <f t="shared" ref="N88:N91" si="41">(1/C88)*$L88</f>
        <v>0.85106382978723405</v>
      </c>
      <c r="O88">
        <f t="shared" ref="O88:O91" si="42">(1/D88)*$L88</f>
        <v>0.86021505376344087</v>
      </c>
      <c r="P88">
        <f>O88</f>
        <v>0.86021505376344087</v>
      </c>
      <c r="R88">
        <v>88</v>
      </c>
    </row>
    <row r="89" spans="1:18" ht="14.35">
      <c r="A89" s="467" t="s">
        <v>888</v>
      </c>
      <c r="B89" s="468">
        <v>0.99</v>
      </c>
      <c r="C89" s="468">
        <v>0.94</v>
      </c>
      <c r="D89" s="468">
        <v>0.9</v>
      </c>
      <c r="I89" s="1" t="str">
        <f>A89</f>
        <v xml:space="preserve">   Other appliances</v>
      </c>
      <c r="K89" s="1" t="s">
        <v>260</v>
      </c>
      <c r="L89">
        <v>0.8</v>
      </c>
      <c r="M89">
        <f t="shared" ref="M89:M91" si="43">(1/B89)*$L89</f>
        <v>0.80808080808080818</v>
      </c>
      <c r="N89">
        <f t="shared" si="41"/>
        <v>0.85106382978723405</v>
      </c>
      <c r="O89">
        <f t="shared" si="42"/>
        <v>0.88888888888888895</v>
      </c>
      <c r="P89">
        <f t="shared" ref="P89:P91" si="44">O89</f>
        <v>0.88888888888888895</v>
      </c>
      <c r="R89">
        <v>89</v>
      </c>
    </row>
    <row r="90" spans="1:18" ht="14.35">
      <c r="A90" s="467" t="s">
        <v>889</v>
      </c>
      <c r="B90" s="468">
        <v>0.86</v>
      </c>
      <c r="C90" s="468">
        <v>0.53</v>
      </c>
      <c r="D90" s="468">
        <v>0.49</v>
      </c>
      <c r="I90" s="1" t="str">
        <f>A90</f>
        <v xml:space="preserve">   Refrigeration</v>
      </c>
      <c r="K90" s="1" t="s">
        <v>259</v>
      </c>
      <c r="L90">
        <v>0.4</v>
      </c>
      <c r="M90">
        <f t="shared" si="43"/>
        <v>0.46511627906976749</v>
      </c>
      <c r="N90">
        <f t="shared" si="41"/>
        <v>0.75471698113207542</v>
      </c>
      <c r="O90">
        <f t="shared" si="42"/>
        <v>0.81632653061224492</v>
      </c>
      <c r="P90">
        <f t="shared" si="44"/>
        <v>0.81632653061224492</v>
      </c>
      <c r="R90">
        <v>90</v>
      </c>
    </row>
    <row r="91" spans="1:18" ht="14.35">
      <c r="A91" s="467" t="s">
        <v>890</v>
      </c>
      <c r="B91" s="468">
        <v>1</v>
      </c>
      <c r="C91" s="468">
        <v>1</v>
      </c>
      <c r="D91" s="468">
        <v>1</v>
      </c>
      <c r="I91" s="1" t="str">
        <f>A91</f>
        <v xml:space="preserve">   Space heating</v>
      </c>
      <c r="K91" s="1" t="s">
        <v>257</v>
      </c>
      <c r="L91">
        <v>0.94750000000000001</v>
      </c>
      <c r="M91">
        <f t="shared" si="43"/>
        <v>0.94750000000000001</v>
      </c>
      <c r="N91">
        <f t="shared" si="41"/>
        <v>0.94750000000000001</v>
      </c>
      <c r="O91">
        <f t="shared" si="42"/>
        <v>0.94750000000000001</v>
      </c>
      <c r="P91">
        <f t="shared" si="44"/>
        <v>0.94750000000000001</v>
      </c>
      <c r="R91">
        <v>91</v>
      </c>
    </row>
    <row r="92" spans="1:18" ht="16" thickBot="1">
      <c r="A92" s="465" t="s">
        <v>891</v>
      </c>
      <c r="B92" s="466"/>
      <c r="C92" s="466"/>
      <c r="D92" s="466"/>
      <c r="I92" s="1"/>
      <c r="R92">
        <v>92</v>
      </c>
    </row>
    <row r="93" spans="1:18" ht="14.35">
      <c r="A93" s="467" t="s">
        <v>892</v>
      </c>
      <c r="B93" s="468">
        <v>0.95</v>
      </c>
      <c r="C93" s="468">
        <v>0.88</v>
      </c>
      <c r="D93" s="468">
        <v>0.86</v>
      </c>
      <c r="I93" s="1" t="str">
        <f>A93</f>
        <v xml:space="preserve">    Hot water Geyser</v>
      </c>
      <c r="K93" t="str">
        <f>RES!D137</f>
        <v>RHEW</v>
      </c>
      <c r="L93" s="3">
        <v>0.7</v>
      </c>
      <c r="M93">
        <f t="shared" ref="M93:M97" si="45">(1/B93)*$L93</f>
        <v>0.73684210526315785</v>
      </c>
      <c r="N93">
        <f t="shared" ref="N93:N97" si="46">(1/C93)*$L93</f>
        <v>0.79545454545454553</v>
      </c>
      <c r="O93">
        <f t="shared" ref="O93:O97" si="47">(1/D93)*$L93</f>
        <v>0.81395348837209303</v>
      </c>
      <c r="P93">
        <f t="shared" ref="P93:P97" si="48">O93</f>
        <v>0.81395348837209303</v>
      </c>
      <c r="R93">
        <v>93</v>
      </c>
    </row>
    <row r="94" spans="1:18" ht="14.35">
      <c r="A94" s="467" t="s">
        <v>887</v>
      </c>
      <c r="B94" s="468">
        <v>0.98</v>
      </c>
      <c r="C94" s="468">
        <v>0.91</v>
      </c>
      <c r="D94" s="468">
        <v>0.89</v>
      </c>
      <c r="I94" s="1" t="str">
        <f>A94</f>
        <v xml:space="preserve">   Cooking</v>
      </c>
      <c r="K94" s="1" t="s">
        <v>262</v>
      </c>
      <c r="L94">
        <v>0.65</v>
      </c>
      <c r="M94">
        <f t="shared" si="45"/>
        <v>0.66326530612244905</v>
      </c>
      <c r="N94">
        <f t="shared" si="46"/>
        <v>0.71428571428571419</v>
      </c>
      <c r="O94">
        <f t="shared" si="47"/>
        <v>0.73033707865168551</v>
      </c>
      <c r="P94">
        <f t="shared" si="48"/>
        <v>0.73033707865168551</v>
      </c>
      <c r="R94">
        <v>94</v>
      </c>
    </row>
    <row r="95" spans="1:18" ht="14.35">
      <c r="A95" s="467" t="s">
        <v>888</v>
      </c>
      <c r="B95" s="468">
        <v>0.99</v>
      </c>
      <c r="C95" s="468">
        <v>0.95</v>
      </c>
      <c r="D95" s="468">
        <v>0.94</v>
      </c>
      <c r="I95" s="1" t="str">
        <f>A95</f>
        <v xml:space="preserve">   Other appliances</v>
      </c>
      <c r="K95" s="1" t="s">
        <v>266</v>
      </c>
      <c r="L95">
        <v>0.8</v>
      </c>
      <c r="M95">
        <f t="shared" si="45"/>
        <v>0.80808080808080818</v>
      </c>
      <c r="N95">
        <f t="shared" si="46"/>
        <v>0.84210526315789469</v>
      </c>
      <c r="O95">
        <f t="shared" si="47"/>
        <v>0.85106382978723405</v>
      </c>
      <c r="P95">
        <f t="shared" si="48"/>
        <v>0.85106382978723405</v>
      </c>
      <c r="R95">
        <v>95</v>
      </c>
    </row>
    <row r="96" spans="1:18" ht="14.35">
      <c r="A96" s="467" t="s">
        <v>889</v>
      </c>
      <c r="B96" s="468">
        <v>0.86</v>
      </c>
      <c r="C96" s="468">
        <v>0.52</v>
      </c>
      <c r="D96" s="468">
        <v>0.49</v>
      </c>
      <c r="I96" s="1" t="str">
        <f>A96</f>
        <v xml:space="preserve">   Refrigeration</v>
      </c>
      <c r="K96" s="1" t="s">
        <v>265</v>
      </c>
      <c r="L96">
        <v>0.64200000000000002</v>
      </c>
      <c r="M96">
        <f t="shared" si="45"/>
        <v>0.74651162790697678</v>
      </c>
      <c r="N96">
        <f t="shared" si="46"/>
        <v>1.2346153846153844</v>
      </c>
      <c r="O96">
        <f t="shared" si="47"/>
        <v>1.3102040816326532</v>
      </c>
      <c r="P96">
        <f t="shared" si="48"/>
        <v>1.3102040816326532</v>
      </c>
      <c r="R96">
        <v>96</v>
      </c>
    </row>
    <row r="97" spans="1:18" ht="14.35">
      <c r="A97" s="467" t="s">
        <v>890</v>
      </c>
      <c r="B97" s="468">
        <v>1</v>
      </c>
      <c r="C97" s="468">
        <v>1</v>
      </c>
      <c r="D97" s="468">
        <v>1</v>
      </c>
      <c r="I97" s="1" t="str">
        <f>A97</f>
        <v xml:space="preserve">   Space heating</v>
      </c>
      <c r="K97" s="1" t="s">
        <v>263</v>
      </c>
      <c r="L97">
        <v>0.94750000000000012</v>
      </c>
      <c r="M97">
        <f t="shared" si="45"/>
        <v>0.94750000000000012</v>
      </c>
      <c r="N97">
        <f t="shared" si="46"/>
        <v>0.94750000000000012</v>
      </c>
      <c r="O97">
        <f t="shared" si="47"/>
        <v>0.94750000000000012</v>
      </c>
      <c r="P97">
        <f t="shared" si="48"/>
        <v>0.94750000000000012</v>
      </c>
      <c r="R97">
        <v>97</v>
      </c>
    </row>
    <row r="98" spans="1:18" ht="16" thickBot="1">
      <c r="A98" s="469" t="s">
        <v>893</v>
      </c>
      <c r="B98" s="470"/>
      <c r="C98" s="470"/>
      <c r="D98" s="470"/>
      <c r="I98" s="1"/>
      <c r="R98">
        <v>98</v>
      </c>
    </row>
    <row r="99" spans="1:18" ht="14.35">
      <c r="A99" s="467" t="s">
        <v>892</v>
      </c>
      <c r="B99" s="468">
        <v>0.97</v>
      </c>
      <c r="C99" s="468">
        <v>0.88</v>
      </c>
      <c r="D99" s="468">
        <v>0.84</v>
      </c>
      <c r="I99" s="1" t="str">
        <f>A99</f>
        <v xml:space="preserve">    Hot water Geyser</v>
      </c>
      <c r="L99" s="3">
        <v>0.7</v>
      </c>
      <c r="M99">
        <f t="shared" ref="M99:M103" si="49">(1/B99)*$L99</f>
        <v>0.72164948453608246</v>
      </c>
      <c r="N99">
        <f t="shared" ref="N99:N103" si="50">(1/C99)*$L99</f>
        <v>0.79545454545454553</v>
      </c>
      <c r="O99">
        <f t="shared" ref="O99:O103" si="51">(1/D99)*$L99</f>
        <v>0.83333333333333326</v>
      </c>
      <c r="P99">
        <f t="shared" ref="P99:P103" si="52">O99</f>
        <v>0.83333333333333326</v>
      </c>
      <c r="R99">
        <v>99</v>
      </c>
    </row>
    <row r="100" spans="1:18" ht="14.35">
      <c r="A100" s="467" t="s">
        <v>887</v>
      </c>
      <c r="B100" s="468">
        <v>0.97</v>
      </c>
      <c r="C100" s="468">
        <v>0.88</v>
      </c>
      <c r="D100" s="468">
        <v>0.86</v>
      </c>
      <c r="I100" s="1" t="str">
        <f>A100</f>
        <v xml:space="preserve">   Cooking</v>
      </c>
      <c r="K100" s="1" t="s">
        <v>268</v>
      </c>
      <c r="L100">
        <v>0.65</v>
      </c>
      <c r="M100">
        <f t="shared" si="49"/>
        <v>0.67010309278350522</v>
      </c>
      <c r="N100">
        <f t="shared" si="50"/>
        <v>0.73863636363636376</v>
      </c>
      <c r="O100">
        <f t="shared" si="51"/>
        <v>0.75581395348837221</v>
      </c>
      <c r="P100">
        <f t="shared" si="52"/>
        <v>0.75581395348837221</v>
      </c>
      <c r="R100">
        <v>100</v>
      </c>
    </row>
    <row r="101" spans="1:18" ht="14.35">
      <c r="A101" s="467" t="s">
        <v>888</v>
      </c>
      <c r="B101" s="468">
        <v>0.97</v>
      </c>
      <c r="C101" s="468">
        <v>0.9</v>
      </c>
      <c r="D101" s="468">
        <v>0.88</v>
      </c>
      <c r="I101" s="1" t="str">
        <f>A101</f>
        <v xml:space="preserve">   Other appliances</v>
      </c>
      <c r="K101" s="1" t="s">
        <v>271</v>
      </c>
      <c r="L101">
        <v>0.8</v>
      </c>
      <c r="M101">
        <f t="shared" si="49"/>
        <v>0.82474226804123729</v>
      </c>
      <c r="N101">
        <f t="shared" si="50"/>
        <v>0.88888888888888895</v>
      </c>
      <c r="O101">
        <f t="shared" si="51"/>
        <v>0.90909090909090917</v>
      </c>
      <c r="P101">
        <f t="shared" si="52"/>
        <v>0.90909090909090917</v>
      </c>
      <c r="R101">
        <v>101</v>
      </c>
    </row>
    <row r="102" spans="1:18" ht="14.35">
      <c r="A102" s="467" t="s">
        <v>889</v>
      </c>
      <c r="B102" s="468">
        <v>0.88</v>
      </c>
      <c r="C102" s="468">
        <v>0.55000000000000004</v>
      </c>
      <c r="D102" s="468">
        <v>0.49</v>
      </c>
      <c r="I102" s="1" t="str">
        <f>A102</f>
        <v xml:space="preserve">   Refrigeration</v>
      </c>
      <c r="K102" s="1" t="s">
        <v>270</v>
      </c>
      <c r="L102">
        <v>0.64200000000000002</v>
      </c>
      <c r="M102">
        <f t="shared" si="49"/>
        <v>0.72954545454545461</v>
      </c>
      <c r="N102">
        <f t="shared" si="50"/>
        <v>1.1672727272727272</v>
      </c>
      <c r="O102">
        <f t="shared" si="51"/>
        <v>1.3102040816326532</v>
      </c>
      <c r="P102">
        <f t="shared" si="52"/>
        <v>1.3102040816326532</v>
      </c>
      <c r="R102">
        <v>102</v>
      </c>
    </row>
    <row r="103" spans="1:18" ht="14.35">
      <c r="A103" s="467" t="s">
        <v>890</v>
      </c>
      <c r="B103" s="468">
        <v>1</v>
      </c>
      <c r="C103" s="468">
        <v>1</v>
      </c>
      <c r="D103" s="468">
        <v>1</v>
      </c>
      <c r="I103" s="1" t="str">
        <f>A103</f>
        <v xml:space="preserve">   Space heating</v>
      </c>
      <c r="K103" s="1" t="s">
        <v>252</v>
      </c>
      <c r="L103">
        <v>0.97249999999999992</v>
      </c>
      <c r="M103">
        <f t="shared" si="49"/>
        <v>0.97249999999999992</v>
      </c>
      <c r="N103">
        <f t="shared" si="50"/>
        <v>0.97249999999999992</v>
      </c>
      <c r="O103">
        <f t="shared" si="51"/>
        <v>0.97249999999999992</v>
      </c>
      <c r="P103">
        <f t="shared" si="52"/>
        <v>0.97249999999999992</v>
      </c>
      <c r="R103">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8"/>
  <dimension ref="A1:AQ357"/>
  <sheetViews>
    <sheetView zoomScale="130" zoomScaleNormal="130" workbookViewId="0">
      <selection activeCell="D3" sqref="D3"/>
    </sheetView>
  </sheetViews>
  <sheetFormatPr defaultColWidth="9.17578125" defaultRowHeight="12.35"/>
  <cols>
    <col min="1" max="1" width="56.64453125" style="85" customWidth="1"/>
    <col min="2" max="2" width="21.64453125" style="85" customWidth="1"/>
    <col min="3" max="3" width="13.3515625" style="85" customWidth="1"/>
    <col min="4" max="4" width="14.64453125" style="85" customWidth="1"/>
    <col min="5" max="5" width="10.64453125" style="85" customWidth="1"/>
    <col min="6" max="16" width="29.46875" style="85" customWidth="1"/>
    <col min="17" max="17" width="15.46875" style="85" customWidth="1"/>
    <col min="18" max="46" width="9.17578125" style="85"/>
    <col min="47" max="47" width="13.64453125" style="85" customWidth="1"/>
    <col min="48" max="78" width="9.17578125" style="85"/>
    <col min="79" max="79" width="13.3515625" style="85" bestFit="1" customWidth="1"/>
    <col min="80" max="80" width="10.46875" style="85" bestFit="1" customWidth="1"/>
    <col min="81" max="82" width="11.46875" style="85" bestFit="1" customWidth="1"/>
    <col min="83" max="84" width="10.46875" style="85" bestFit="1" customWidth="1"/>
    <col min="85" max="85" width="9.46875" style="85" bestFit="1" customWidth="1"/>
    <col min="86" max="86" width="9.3515625" style="85" bestFit="1" customWidth="1"/>
    <col min="87" max="88" width="9.17578125" style="85"/>
    <col min="89" max="89" width="10.46875" style="85" bestFit="1" customWidth="1"/>
    <col min="90" max="91" width="9.17578125" style="85"/>
    <col min="92" max="92" width="10.46875" style="85" customWidth="1"/>
    <col min="93" max="16384" width="9.17578125" style="85"/>
  </cols>
  <sheetData>
    <row r="1" spans="1:15" s="473" customFormat="1" ht="22">
      <c r="A1" s="493" t="s">
        <v>905</v>
      </c>
      <c r="O1" s="85"/>
    </row>
    <row r="2" spans="1:15" s="415" customFormat="1" ht="37.35" thickBot="1">
      <c r="D2" s="456" t="s">
        <v>865</v>
      </c>
      <c r="E2" s="456" t="s">
        <v>864</v>
      </c>
      <c r="F2" s="456" t="s">
        <v>899</v>
      </c>
      <c r="G2" s="456" t="s">
        <v>901</v>
      </c>
      <c r="H2" s="456" t="s">
        <v>900</v>
      </c>
      <c r="I2" s="456"/>
      <c r="J2" s="456" t="s">
        <v>947</v>
      </c>
      <c r="K2" s="85"/>
    </row>
    <row r="3" spans="1:15" ht="49.35">
      <c r="A3" s="488" t="s">
        <v>35</v>
      </c>
      <c r="B3" s="479" t="s">
        <v>863</v>
      </c>
      <c r="C3" s="480"/>
      <c r="D3" s="481">
        <f>F220/G8</f>
        <v>0.44069965049004917</v>
      </c>
      <c r="E3" s="672">
        <f>D3</f>
        <v>0.44069965049004917</v>
      </c>
      <c r="F3" s="673">
        <f>E3</f>
        <v>0.44069965049004917</v>
      </c>
      <c r="G3" s="497">
        <f>E3*G$8</f>
        <v>6368181.1185857709</v>
      </c>
      <c r="H3" s="537">
        <f>F3*H$9</f>
        <v>7681839.2522781566</v>
      </c>
      <c r="I3" s="538">
        <v>0.44932093804663059</v>
      </c>
      <c r="J3" s="539">
        <f>I3*$J$9</f>
        <v>8324913.0610766076</v>
      </c>
    </row>
    <row r="4" spans="1:15">
      <c r="A4" s="489" t="s">
        <v>467</v>
      </c>
      <c r="B4" s="482" t="s">
        <v>858</v>
      </c>
      <c r="C4" s="483"/>
      <c r="D4" s="484">
        <f>F229/G8</f>
        <v>0.31972350159976914</v>
      </c>
      <c r="E4" s="674">
        <f>D4</f>
        <v>0.31972350159976914</v>
      </c>
      <c r="F4" s="675">
        <f>E4</f>
        <v>0.31972350159976914</v>
      </c>
      <c r="G4" s="498">
        <f>E4*G$8</f>
        <v>4620056.2305681948</v>
      </c>
      <c r="H4" s="501">
        <f>F4*H$9</f>
        <v>5573103.0004989337</v>
      </c>
      <c r="I4" s="533">
        <v>0.30777027456338796</v>
      </c>
      <c r="J4" s="530">
        <f t="shared" ref="J4:J5" si="0">I4*$J$9</f>
        <v>5702295.5343736522</v>
      </c>
      <c r="M4" s="85" t="s">
        <v>945</v>
      </c>
      <c r="N4" s="85" t="s">
        <v>946</v>
      </c>
    </row>
    <row r="5" spans="1:15" ht="12.7" thickBot="1">
      <c r="A5" s="490" t="s">
        <v>37</v>
      </c>
      <c r="B5" s="485" t="s">
        <v>858</v>
      </c>
      <c r="C5" s="486"/>
      <c r="D5" s="487">
        <f>F238/G8</f>
        <v>0.23957684791018166</v>
      </c>
      <c r="E5" s="676">
        <f>D5</f>
        <v>0.23957684791018166</v>
      </c>
      <c r="F5" s="677">
        <f>E5</f>
        <v>0.23957684791018166</v>
      </c>
      <c r="G5" s="499">
        <f>E5*G$8</f>
        <v>3461924.1417945321</v>
      </c>
      <c r="H5" s="534">
        <f>F5*H$9</f>
        <v>4176066.0172229088</v>
      </c>
      <c r="I5" s="535">
        <v>0.24290878738998153</v>
      </c>
      <c r="J5" s="536">
        <f t="shared" si="0"/>
        <v>4500557.0975267449</v>
      </c>
      <c r="K5" s="529">
        <f>H5/(H5+H6+H7)</f>
        <v>0.27967647995352607</v>
      </c>
      <c r="L5" s="85" t="s">
        <v>620</v>
      </c>
      <c r="M5" s="85" t="e">
        <f>[9]RES!$F$24</f>
        <v>#REF!</v>
      </c>
      <c r="N5" s="85" t="e">
        <f>M5/SUM(M$5:M$7)</f>
        <v>#REF!</v>
      </c>
    </row>
    <row r="6" spans="1:15">
      <c r="A6" s="491" t="s">
        <v>819</v>
      </c>
      <c r="B6" s="474"/>
      <c r="C6" s="474"/>
      <c r="D6" s="474"/>
      <c r="E6" s="475">
        <v>0.71</v>
      </c>
      <c r="F6" s="476">
        <v>0.76624999999999999</v>
      </c>
      <c r="G6" s="498">
        <f>G3*E6</f>
        <v>4521408.5941958968</v>
      </c>
      <c r="H6" s="500">
        <f>H3*F6</f>
        <v>5886209.3270581374</v>
      </c>
      <c r="I6" s="415">
        <v>0.8</v>
      </c>
      <c r="J6" s="500">
        <f>J3*I6</f>
        <v>6659930.448861286</v>
      </c>
      <c r="K6" s="85">
        <f>H6/(H6+H7+H5)</f>
        <v>0.39420696370024866</v>
      </c>
      <c r="L6" s="85" t="s">
        <v>58</v>
      </c>
      <c r="M6" s="85" t="e">
        <f>[9]RES!$F$22*[9]RES!$F$29</f>
        <v>#REF!</v>
      </c>
      <c r="N6" s="85" t="e">
        <f t="shared" ref="N6:N7" si="1">M6/SUM(M$5:M$7)</f>
        <v>#REF!</v>
      </c>
    </row>
    <row r="7" spans="1:15">
      <c r="A7" s="492" t="s">
        <v>820</v>
      </c>
      <c r="B7" s="477"/>
      <c r="C7" s="477"/>
      <c r="D7" s="477"/>
      <c r="E7" s="478">
        <v>0.83</v>
      </c>
      <c r="F7" s="478">
        <v>0.87375000000000003</v>
      </c>
      <c r="G7" s="498">
        <f>G4*E7</f>
        <v>3834646.6713716015</v>
      </c>
      <c r="H7" s="500">
        <f>H4*F7</f>
        <v>4869498.7466859436</v>
      </c>
      <c r="I7" s="415">
        <v>0.9</v>
      </c>
      <c r="J7" s="500">
        <f>J4*I7</f>
        <v>5132065.980936287</v>
      </c>
      <c r="K7" s="85">
        <f>H7/(H6+H7+H5)</f>
        <v>0.32611655634622533</v>
      </c>
      <c r="L7" s="85" t="s">
        <v>944</v>
      </c>
      <c r="M7" s="85" t="e">
        <f>[9]RES!$F$23*[9]RES!$F$30</f>
        <v>#REF!</v>
      </c>
      <c r="N7" s="85" t="e">
        <f t="shared" si="1"/>
        <v>#REF!</v>
      </c>
    </row>
    <row r="8" spans="1:15">
      <c r="A8" s="494" t="s">
        <v>898</v>
      </c>
      <c r="B8" s="495"/>
      <c r="C8" s="495"/>
      <c r="D8" s="495"/>
      <c r="E8" s="495"/>
      <c r="F8" s="495"/>
      <c r="G8" s="495">
        <f>F220+F229+F238</f>
        <v>14450161.490948498</v>
      </c>
      <c r="H8" s="501"/>
      <c r="I8" s="456"/>
      <c r="J8" s="530"/>
    </row>
    <row r="9" spans="1:15">
      <c r="A9" s="494" t="s">
        <v>897</v>
      </c>
      <c r="B9" s="495"/>
      <c r="C9" s="495"/>
      <c r="D9" s="495"/>
      <c r="E9" s="495"/>
      <c r="F9" s="495"/>
      <c r="G9" s="495"/>
      <c r="H9" s="502">
        <f>D47</f>
        <v>17431008.27</v>
      </c>
      <c r="I9" s="456"/>
      <c r="J9" s="531">
        <v>18527765.692977004</v>
      </c>
    </row>
    <row r="10" spans="1:15">
      <c r="A10" s="494" t="s">
        <v>902</v>
      </c>
      <c r="B10" s="495"/>
      <c r="C10" s="495"/>
      <c r="D10" s="495"/>
      <c r="E10" s="495"/>
      <c r="F10" s="495"/>
      <c r="G10" s="496">
        <f>(G5+G6+G7)/SUM(G3:G5)</f>
        <v>0.81784410608592495</v>
      </c>
      <c r="H10" s="501"/>
      <c r="I10" s="456"/>
      <c r="J10" s="530"/>
    </row>
    <row r="11" spans="1:15">
      <c r="A11" s="494" t="s">
        <v>903</v>
      </c>
      <c r="B11" s="495"/>
      <c r="C11" s="495"/>
      <c r="D11" s="495"/>
      <c r="E11" s="495"/>
      <c r="F11" s="495"/>
      <c r="G11" s="495"/>
      <c r="H11" s="503">
        <f>(H5+H6+H7)/SUM(H3:H5)</f>
        <v>0.85662136462098004</v>
      </c>
      <c r="I11" s="456"/>
      <c r="J11" s="532"/>
    </row>
    <row r="12" spans="1:15">
      <c r="A12" s="494" t="s">
        <v>904</v>
      </c>
      <c r="B12" s="495"/>
      <c r="C12" s="495"/>
      <c r="D12" s="495"/>
      <c r="E12" s="495"/>
      <c r="F12" s="495"/>
      <c r="G12" s="495"/>
      <c r="H12" s="501">
        <f>H11</f>
        <v>0.85662136462098004</v>
      </c>
      <c r="I12" s="456"/>
      <c r="J12" s="530"/>
    </row>
    <row r="15" spans="1:15" s="473" customFormat="1" ht="22">
      <c r="A15" s="505" t="s">
        <v>908</v>
      </c>
    </row>
    <row r="16" spans="1:15" ht="22">
      <c r="A16" s="506"/>
    </row>
    <row r="17" spans="1:43">
      <c r="A17" s="409" t="s">
        <v>907</v>
      </c>
      <c r="B17" s="85">
        <f>-($N111*B$20)*$N112/(100-$N111)</f>
        <v>-9.5368495030374672E-6</v>
      </c>
    </row>
    <row r="19" spans="1:43">
      <c r="A19" s="403" t="s">
        <v>860</v>
      </c>
      <c r="B19" s="442">
        <f>'Census 2011_17'!G24</f>
        <v>2020</v>
      </c>
      <c r="C19" s="442">
        <f>'Census 2011_17'!H24</f>
        <v>2030</v>
      </c>
      <c r="D19" s="442">
        <f>'Census 2011_17'!I24</f>
        <v>2040</v>
      </c>
      <c r="E19" s="442">
        <f>'Census 2011_17'!J24</f>
        <v>2050</v>
      </c>
    </row>
    <row r="20" spans="1:43">
      <c r="A20" s="85" t="str">
        <f>A3</f>
        <v>low income</v>
      </c>
      <c r="B20" s="441">
        <f>'Census 2011_17'!G29</f>
        <v>4.4045676998368755E-2</v>
      </c>
      <c r="C20" s="441">
        <f>'Census 2011_17'!H29</f>
        <v>0.10929853181076671</v>
      </c>
      <c r="D20" s="441">
        <f>'Census 2011_17'!I29</f>
        <v>0.1745513866231648</v>
      </c>
      <c r="E20" s="441">
        <f>'Census 2011_17'!J29</f>
        <v>0.23980424143556278</v>
      </c>
    </row>
    <row r="21" spans="1:43">
      <c r="A21" s="85" t="str">
        <f>A4</f>
        <v>middle income</v>
      </c>
      <c r="B21" s="441">
        <f>'Census 2011_17'!G30</f>
        <v>3.0042918454935615E-2</v>
      </c>
      <c r="C21" s="441">
        <f>'Census 2011_17'!H30</f>
        <v>8.7267525035765292E-2</v>
      </c>
      <c r="D21" s="441">
        <f>'Census 2011_17'!I30</f>
        <v>8.7267525035765292E-2</v>
      </c>
      <c r="E21" s="441">
        <f>'Census 2011_17'!J30</f>
        <v>0.1444921316165951</v>
      </c>
    </row>
    <row r="23" spans="1:43" customFormat="1" ht="12.7">
      <c r="F23" s="14" t="s">
        <v>859</v>
      </c>
    </row>
    <row r="24" spans="1:43" customFormat="1" ht="12.7">
      <c r="A24" t="str">
        <f>[10]RES!A28</f>
        <v>*</v>
      </c>
      <c r="B24">
        <f>[10]RES!B28</f>
        <v>0</v>
      </c>
      <c r="C24" t="str">
        <f>[10]RES!C28</f>
        <v>Electrification Rates</v>
      </c>
      <c r="D24">
        <f>[10]RES!D28</f>
        <v>0</v>
      </c>
      <c r="E24">
        <f>[10]RES!E28</f>
        <v>2012</v>
      </c>
      <c r="F24">
        <v>2017</v>
      </c>
      <c r="G24">
        <f>[10]RES!F28</f>
        <v>2020</v>
      </c>
      <c r="H24">
        <f>[10]RES!G28</f>
        <v>2030</v>
      </c>
      <c r="I24">
        <f>[10]RES!H28</f>
        <v>2040</v>
      </c>
      <c r="J24">
        <f>[10]RES!I28</f>
        <v>2050</v>
      </c>
      <c r="K24">
        <f>[10]RES!J28</f>
        <v>0</v>
      </c>
      <c r="L24">
        <f>[10]RES!K28</f>
        <v>0</v>
      </c>
      <c r="M24">
        <f>[10]RES!L28</f>
        <v>0</v>
      </c>
      <c r="N24">
        <f>[10]RES!M28</f>
        <v>0</v>
      </c>
      <c r="O24">
        <f>[10]RES!N28</f>
        <v>0</v>
      </c>
      <c r="P24">
        <f>[10]RES!O28</f>
        <v>0</v>
      </c>
      <c r="Q24">
        <f>[10]RES!P28</f>
        <v>0</v>
      </c>
      <c r="R24">
        <f>[10]RES!Q28</f>
        <v>0</v>
      </c>
      <c r="S24">
        <f>[10]RES!R28</f>
        <v>0</v>
      </c>
      <c r="T24">
        <f>[10]RES!S28</f>
        <v>0</v>
      </c>
      <c r="U24">
        <f>[10]RES!T28</f>
        <v>0</v>
      </c>
      <c r="V24">
        <f>[10]RES!U28</f>
        <v>0</v>
      </c>
      <c r="W24">
        <f>[10]RES!V28</f>
        <v>0</v>
      </c>
      <c r="X24">
        <f>[10]RES!W28</f>
        <v>0</v>
      </c>
      <c r="Y24">
        <f>[10]RES!X28</f>
        <v>0</v>
      </c>
      <c r="Z24">
        <f>[10]RES!Y28</f>
        <v>0</v>
      </c>
      <c r="AA24">
        <f>[10]RES!Z28</f>
        <v>0</v>
      </c>
      <c r="AB24">
        <f>[10]RES!AA28</f>
        <v>0</v>
      </c>
      <c r="AC24">
        <f>[10]RES!AB28</f>
        <v>0</v>
      </c>
      <c r="AD24">
        <f>[10]RES!AC28</f>
        <v>0</v>
      </c>
      <c r="AE24">
        <f>[10]RES!AD28</f>
        <v>0</v>
      </c>
      <c r="AF24">
        <f>[10]RES!AE28</f>
        <v>0</v>
      </c>
      <c r="AG24">
        <f>[10]RES!AF28</f>
        <v>0</v>
      </c>
      <c r="AH24">
        <f>[10]RES!AG28</f>
        <v>0</v>
      </c>
      <c r="AI24">
        <f>[10]RES!AH28</f>
        <v>0</v>
      </c>
      <c r="AJ24">
        <f>[10]RES!AI28</f>
        <v>0</v>
      </c>
      <c r="AK24">
        <f>[10]RES!AJ28</f>
        <v>0</v>
      </c>
      <c r="AL24">
        <f>[10]RES!AK28</f>
        <v>0</v>
      </c>
      <c r="AM24">
        <f>[10]RES!AL28</f>
        <v>0</v>
      </c>
      <c r="AN24">
        <f>[10]RES!AM28</f>
        <v>0</v>
      </c>
      <c r="AO24">
        <f>[10]RES!AN28</f>
        <v>0</v>
      </c>
      <c r="AP24">
        <f>[10]RES!AO28</f>
        <v>0</v>
      </c>
      <c r="AQ24">
        <f>[10]RES!AP28</f>
        <v>0</v>
      </c>
    </row>
    <row r="25" spans="1:43" customFormat="1" ht="12.7">
      <c r="A25" t="str">
        <f>[10]RES!A29</f>
        <v>*</v>
      </c>
      <c r="B25">
        <f>[10]RES!B29</f>
        <v>0</v>
      </c>
      <c r="C25" t="str">
        <f>[10]RES!C29</f>
        <v>Low Income</v>
      </c>
      <c r="D25" t="str">
        <f>[10]RES!D29</f>
        <v>%</v>
      </c>
      <c r="E25" s="50">
        <f>[10]RES!E29</f>
        <v>0.71</v>
      </c>
      <c r="F25" s="50">
        <f>'Census 2011_17'!F6</f>
        <v>0.76624999999999999</v>
      </c>
      <c r="G25" s="50">
        <f>[10]RES!F29</f>
        <v>0.8</v>
      </c>
      <c r="H25" s="50">
        <f>[10]RES!G29</f>
        <v>0.85</v>
      </c>
      <c r="I25" s="50">
        <f>[10]RES!H29</f>
        <v>0.9</v>
      </c>
      <c r="J25" s="50">
        <f>[10]RES!I29</f>
        <v>0.95</v>
      </c>
      <c r="K25">
        <f>[10]RES!J29</f>
        <v>0.71</v>
      </c>
      <c r="L25">
        <f>[10]RES!K29</f>
        <v>0.72124999999999995</v>
      </c>
      <c r="M25">
        <f>[10]RES!L29</f>
        <v>0.73249999999999993</v>
      </c>
      <c r="N25">
        <f>[10]RES!M29</f>
        <v>0.74374999999999991</v>
      </c>
      <c r="O25">
        <f>[10]RES!N29</f>
        <v>0.75499999999999989</v>
      </c>
      <c r="P25">
        <f>[10]RES!O29</f>
        <v>0.76624999999999988</v>
      </c>
      <c r="Q25">
        <f>[10]RES!P29</f>
        <v>0.77749999999999986</v>
      </c>
      <c r="R25">
        <f>[10]RES!Q29</f>
        <v>0.78874999999999984</v>
      </c>
      <c r="S25">
        <f>[10]RES!R29</f>
        <v>0.8</v>
      </c>
      <c r="T25">
        <f>[10]RES!S29</f>
        <v>0.80500000000000005</v>
      </c>
      <c r="U25">
        <f>[10]RES!T29</f>
        <v>0.81</v>
      </c>
      <c r="V25">
        <f>[10]RES!U29</f>
        <v>0.81500000000000006</v>
      </c>
      <c r="W25">
        <f>[10]RES!V29</f>
        <v>0.82000000000000006</v>
      </c>
      <c r="X25">
        <f>[10]RES!W29</f>
        <v>0.82500000000000007</v>
      </c>
      <c r="Y25">
        <f>[10]RES!X29</f>
        <v>0.83000000000000007</v>
      </c>
      <c r="Z25">
        <f>[10]RES!Y29</f>
        <v>0.83500000000000008</v>
      </c>
      <c r="AA25">
        <f>[10]RES!Z29</f>
        <v>0.84000000000000008</v>
      </c>
      <c r="AB25">
        <f>[10]RES!AA29</f>
        <v>0.84500000000000008</v>
      </c>
      <c r="AC25">
        <f>[10]RES!AB29</f>
        <v>0.85</v>
      </c>
      <c r="AD25">
        <f>[10]RES!AC29</f>
        <v>0.85499999999999998</v>
      </c>
      <c r="AE25">
        <f>[10]RES!AD29</f>
        <v>0.86</v>
      </c>
      <c r="AF25">
        <f>[10]RES!AE29</f>
        <v>0.86499999999999999</v>
      </c>
      <c r="AG25">
        <f>[10]RES!AF29</f>
        <v>0.87</v>
      </c>
      <c r="AH25">
        <f>[10]RES!AG29</f>
        <v>0.875</v>
      </c>
      <c r="AI25">
        <f>[10]RES!AH29</f>
        <v>0.88</v>
      </c>
      <c r="AJ25">
        <f>[10]RES!AI29</f>
        <v>0.88500000000000001</v>
      </c>
      <c r="AK25">
        <f>[10]RES!AJ29</f>
        <v>0.89</v>
      </c>
      <c r="AL25">
        <f>[10]RES!AK29</f>
        <v>0.89500000000000002</v>
      </c>
      <c r="AM25">
        <f>[10]RES!AL29</f>
        <v>0.9</v>
      </c>
      <c r="AN25">
        <f>[10]RES!AM29</f>
        <v>0.92500000000000004</v>
      </c>
      <c r="AO25">
        <f>[10]RES!AN29</f>
        <v>0.95</v>
      </c>
      <c r="AP25">
        <f>[10]RES!AO29</f>
        <v>0.95</v>
      </c>
      <c r="AQ25">
        <f>[10]RES!AP29</f>
        <v>0.95</v>
      </c>
    </row>
    <row r="26" spans="1:43" customFormat="1" ht="12.7">
      <c r="A26" t="str">
        <f>[10]RES!A30</f>
        <v>*</v>
      </c>
      <c r="B26">
        <f>[10]RES!B30</f>
        <v>0</v>
      </c>
      <c r="C26" t="str">
        <f>[10]RES!C30</f>
        <v>Middle Income</v>
      </c>
      <c r="D26" t="str">
        <f>[10]RES!D30</f>
        <v>%</v>
      </c>
      <c r="E26" s="50">
        <f>[10]RES!E30</f>
        <v>0.83</v>
      </c>
      <c r="F26" s="50">
        <f>'Census 2011_17'!F7</f>
        <v>0.87375000000000003</v>
      </c>
      <c r="G26" s="50">
        <f>[10]RES!F30</f>
        <v>0.9</v>
      </c>
      <c r="H26" s="50">
        <f>[10]RES!G30</f>
        <v>0.95</v>
      </c>
      <c r="I26" s="50">
        <f>[10]RES!H30</f>
        <v>0.95</v>
      </c>
      <c r="J26" s="50">
        <f>[10]RES!I30</f>
        <v>1</v>
      </c>
      <c r="K26">
        <f>[10]RES!J30</f>
        <v>0.83</v>
      </c>
      <c r="L26">
        <f>[10]RES!K30</f>
        <v>0.83875</v>
      </c>
      <c r="M26">
        <f>[10]RES!L30</f>
        <v>0.84750000000000003</v>
      </c>
      <c r="N26">
        <f>[10]RES!M30</f>
        <v>0.85625000000000007</v>
      </c>
      <c r="O26">
        <f>[10]RES!N30</f>
        <v>0.8650000000000001</v>
      </c>
      <c r="P26">
        <f>[10]RES!O30</f>
        <v>0.87375000000000014</v>
      </c>
      <c r="Q26">
        <f>[10]RES!P30</f>
        <v>0.88250000000000017</v>
      </c>
      <c r="R26">
        <f>[10]RES!Q30</f>
        <v>0.89125000000000021</v>
      </c>
      <c r="S26">
        <f>[10]RES!R30</f>
        <v>0.9</v>
      </c>
      <c r="T26">
        <f>[10]RES!S30</f>
        <v>0.90500000000000003</v>
      </c>
      <c r="U26">
        <f>[10]RES!T30</f>
        <v>0.91</v>
      </c>
      <c r="V26">
        <f>[10]RES!U30</f>
        <v>0.91500000000000004</v>
      </c>
      <c r="W26">
        <f>[10]RES!V30</f>
        <v>0.92</v>
      </c>
      <c r="X26">
        <f>[10]RES!W30</f>
        <v>0.92500000000000004</v>
      </c>
      <c r="Y26">
        <f>[10]RES!X30</f>
        <v>0.93</v>
      </c>
      <c r="Z26">
        <f>[10]RES!Y30</f>
        <v>0.93500000000000005</v>
      </c>
      <c r="AA26">
        <f>[10]RES!Z30</f>
        <v>0.94000000000000006</v>
      </c>
      <c r="AB26">
        <f>[10]RES!AA30</f>
        <v>0.94500000000000006</v>
      </c>
      <c r="AC26">
        <f>[10]RES!AB30</f>
        <v>0.95</v>
      </c>
      <c r="AD26">
        <f>[10]RES!AC30</f>
        <v>0.95</v>
      </c>
      <c r="AE26">
        <f>[10]RES!AD30</f>
        <v>0.95</v>
      </c>
      <c r="AF26">
        <f>[10]RES!AE30</f>
        <v>0.95</v>
      </c>
      <c r="AG26">
        <f>[10]RES!AF30</f>
        <v>0.95</v>
      </c>
      <c r="AH26">
        <f>[10]RES!AG30</f>
        <v>0.95</v>
      </c>
      <c r="AI26">
        <f>[10]RES!AH30</f>
        <v>0.95</v>
      </c>
      <c r="AJ26">
        <f>[10]RES!AI30</f>
        <v>0.95</v>
      </c>
      <c r="AK26">
        <f>[10]RES!AJ30</f>
        <v>0.95</v>
      </c>
      <c r="AL26">
        <f>[10]RES!AK30</f>
        <v>0.95</v>
      </c>
      <c r="AM26">
        <f>[10]RES!AL30</f>
        <v>0.95</v>
      </c>
      <c r="AN26">
        <f>[10]RES!AM30</f>
        <v>0.97499999999999998</v>
      </c>
      <c r="AO26">
        <f>[10]RES!AN30</f>
        <v>1</v>
      </c>
      <c r="AP26">
        <f>[10]RES!AO30</f>
        <v>1</v>
      </c>
      <c r="AQ26">
        <f>[10]RES!AP30</f>
        <v>1</v>
      </c>
    </row>
    <row r="27" spans="1:43" customFormat="1" ht="12.7">
      <c r="A27" t="str">
        <f>[10]RES!A31</f>
        <v>*</v>
      </c>
      <c r="B27">
        <f>[10]RES!B31</f>
        <v>0</v>
      </c>
      <c r="C27" t="str">
        <f>[10]RES!C31</f>
        <v>Overall Electrification</v>
      </c>
      <c r="D27" t="str">
        <f>[10]RES!D31</f>
        <v>%</v>
      </c>
      <c r="E27">
        <f>[10]RES!E31</f>
        <v>0.81742172774301225</v>
      </c>
      <c r="G27">
        <f>[10]RES!F31</f>
        <v>0.88679528399217844</v>
      </c>
      <c r="H27">
        <f>[10]RES!G31</f>
        <v>0.93007576012016668</v>
      </c>
      <c r="I27">
        <f>[10]RES!H31</f>
        <v>0.95179523515074738</v>
      </c>
      <c r="J27">
        <f>[10]RES!I31</f>
        <v>0.98698895240004259</v>
      </c>
      <c r="K27">
        <f>[10]RES!J31</f>
        <v>0</v>
      </c>
      <c r="L27">
        <f>[10]RES!K31</f>
        <v>0</v>
      </c>
      <c r="M27">
        <f>[10]RES!L31</f>
        <v>0</v>
      </c>
      <c r="N27">
        <f>[10]RES!M31</f>
        <v>0</v>
      </c>
      <c r="O27">
        <f>[10]RES!N31</f>
        <v>0</v>
      </c>
      <c r="P27">
        <f>[10]RES!O31</f>
        <v>0</v>
      </c>
      <c r="Q27">
        <f>[10]RES!P31</f>
        <v>0</v>
      </c>
      <c r="R27">
        <f>[10]RES!Q31</f>
        <v>0</v>
      </c>
      <c r="S27">
        <f>[10]RES!R31</f>
        <v>0</v>
      </c>
      <c r="T27">
        <f>[10]RES!S31</f>
        <v>0</v>
      </c>
      <c r="U27">
        <f>[10]RES!T31</f>
        <v>0</v>
      </c>
      <c r="V27">
        <f>[10]RES!U31</f>
        <v>0</v>
      </c>
      <c r="W27">
        <f>[10]RES!V31</f>
        <v>0</v>
      </c>
      <c r="X27">
        <f>[10]RES!W31</f>
        <v>0</v>
      </c>
      <c r="Y27">
        <f>[10]RES!X31</f>
        <v>0</v>
      </c>
      <c r="Z27">
        <f>[10]RES!Y31</f>
        <v>0</v>
      </c>
      <c r="AA27">
        <f>[10]RES!Z31</f>
        <v>0</v>
      </c>
      <c r="AB27">
        <f>[10]RES!AA31</f>
        <v>0</v>
      </c>
      <c r="AC27">
        <f>[10]RES!AB31</f>
        <v>0</v>
      </c>
      <c r="AD27">
        <f>[10]RES!AC31</f>
        <v>0</v>
      </c>
      <c r="AE27">
        <f>[10]RES!AD31</f>
        <v>0</v>
      </c>
      <c r="AF27">
        <f>[10]RES!AE31</f>
        <v>0</v>
      </c>
      <c r="AG27">
        <f>[10]RES!AF31</f>
        <v>0</v>
      </c>
      <c r="AH27">
        <f>[10]RES!AG31</f>
        <v>0</v>
      </c>
      <c r="AI27">
        <f>[10]RES!AH31</f>
        <v>0</v>
      </c>
      <c r="AJ27">
        <f>[10]RES!AI31</f>
        <v>0</v>
      </c>
      <c r="AK27">
        <f>[10]RES!AJ31</f>
        <v>0</v>
      </c>
      <c r="AL27">
        <f>[10]RES!AK31</f>
        <v>0</v>
      </c>
      <c r="AM27">
        <f>[10]RES!AL31</f>
        <v>0</v>
      </c>
      <c r="AN27">
        <f>[10]RES!AM31</f>
        <v>0</v>
      </c>
      <c r="AO27">
        <f>[10]RES!AN31</f>
        <v>0</v>
      </c>
      <c r="AP27">
        <f>[10]RES!AO31</f>
        <v>0</v>
      </c>
      <c r="AQ27">
        <f>[10]RES!AP31</f>
        <v>0</v>
      </c>
    </row>
    <row r="28" spans="1:43" customFormat="1" ht="12.7"/>
    <row r="29" spans="1:43" customFormat="1" ht="12.7">
      <c r="C29" t="str">
        <f>C25</f>
        <v>Low Income</v>
      </c>
      <c r="D29" t="s">
        <v>860</v>
      </c>
      <c r="G29" s="440">
        <f t="shared" ref="G29:J30" si="2">(G25-$F25)/$F25</f>
        <v>4.4045676998368755E-2</v>
      </c>
      <c r="H29" s="440">
        <f t="shared" si="2"/>
        <v>0.10929853181076671</v>
      </c>
      <c r="I29" s="440">
        <f t="shared" si="2"/>
        <v>0.1745513866231648</v>
      </c>
      <c r="J29" s="440">
        <f t="shared" si="2"/>
        <v>0.23980424143556278</v>
      </c>
    </row>
    <row r="30" spans="1:43" customFormat="1" ht="12.7">
      <c r="C30" t="str">
        <f>C26</f>
        <v>Middle Income</v>
      </c>
      <c r="D30" t="s">
        <v>860</v>
      </c>
      <c r="G30" s="440">
        <f t="shared" si="2"/>
        <v>3.0042918454935615E-2</v>
      </c>
      <c r="H30" s="440">
        <f t="shared" si="2"/>
        <v>8.7267525035765292E-2</v>
      </c>
      <c r="I30" s="440">
        <f t="shared" si="2"/>
        <v>8.7267525035765292E-2</v>
      </c>
      <c r="J30" s="440">
        <f t="shared" si="2"/>
        <v>0.1444921316165951</v>
      </c>
    </row>
    <row r="31" spans="1:43" customFormat="1" ht="12.7"/>
    <row r="32" spans="1:43" customFormat="1" ht="12.7">
      <c r="G32" s="439">
        <f>F25*(1+G29)</f>
        <v>0.8</v>
      </c>
    </row>
    <row r="33" spans="1:16" customFormat="1" ht="12.7"/>
    <row r="34" spans="1:16" customFormat="1" ht="12.7"/>
    <row r="35" spans="1:16" customFormat="1" ht="12.7"/>
    <row r="36" spans="1:16" customFormat="1" ht="12.7">
      <c r="G36" s="14" t="s">
        <v>935</v>
      </c>
    </row>
    <row r="37" spans="1:16" customFormat="1" ht="12.7">
      <c r="F37">
        <v>20</v>
      </c>
      <c r="G37">
        <f>F37*(1+G29)</f>
        <v>20.880913539967377</v>
      </c>
      <c r="H37">
        <f>F37/100</f>
        <v>0.2</v>
      </c>
      <c r="I37">
        <f>H37*(1+G29)</f>
        <v>0.20880913539967377</v>
      </c>
    </row>
    <row r="38" spans="1:16" customFormat="1" ht="12.7">
      <c r="F38">
        <v>15</v>
      </c>
      <c r="G38">
        <f>F38-($F$37*G$29)*$F38/(100-F$37)</f>
        <v>14.834828711256117</v>
      </c>
      <c r="H38">
        <f>F38/100</f>
        <v>0.15</v>
      </c>
      <c r="I38">
        <f>H38-H37*G29*H38/(1-H37)</f>
        <v>0.14834828711256118</v>
      </c>
    </row>
    <row r="39" spans="1:16" customFormat="1" ht="12.7">
      <c r="F39">
        <v>12</v>
      </c>
      <c r="G39">
        <f>F39-($F$37*G$29)*$F39/(100-F$37)</f>
        <v>11.867862969004893</v>
      </c>
      <c r="H39">
        <f>F39/100</f>
        <v>0.12</v>
      </c>
    </row>
    <row r="40" spans="1:16" customFormat="1" ht="12.7">
      <c r="F40">
        <f>100-SUM(F37:F39)</f>
        <v>53</v>
      </c>
      <c r="G40">
        <f>F40-($F$37*G$29)*$F40/(100-F$37)</f>
        <v>52.416394779771615</v>
      </c>
      <c r="H40">
        <f>F40/100</f>
        <v>0.53</v>
      </c>
    </row>
    <row r="41" spans="1:16" customFormat="1" ht="12.7">
      <c r="G41">
        <f>SUM(G37:G40)</f>
        <v>100</v>
      </c>
    </row>
    <row r="43" spans="1:16" s="473" customFormat="1" ht="22">
      <c r="A43" s="493" t="s">
        <v>909</v>
      </c>
      <c r="O43" s="85"/>
    </row>
    <row r="46" spans="1:16" s="403" customFormat="1" ht="12.7">
      <c r="C46" s="403">
        <v>2011</v>
      </c>
      <c r="D46" s="403">
        <v>2017</v>
      </c>
      <c r="E46" s="403" t="s">
        <v>813</v>
      </c>
      <c r="F46" s="408" t="s">
        <v>42</v>
      </c>
      <c r="G46" s="408" t="s">
        <v>43</v>
      </c>
      <c r="H46" s="408" t="s">
        <v>17</v>
      </c>
      <c r="I46" s="408" t="s">
        <v>7</v>
      </c>
      <c r="J46" s="408" t="s">
        <v>9</v>
      </c>
      <c r="K46" s="408" t="s">
        <v>46</v>
      </c>
      <c r="L46" s="408" t="s">
        <v>44</v>
      </c>
      <c r="M46" s="419" t="s">
        <v>41</v>
      </c>
      <c r="N46" s="407" t="s">
        <v>2</v>
      </c>
      <c r="O46" s="233" t="s">
        <v>47</v>
      </c>
      <c r="P46" s="407" t="s">
        <v>292</v>
      </c>
    </row>
    <row r="47" spans="1:16">
      <c r="B47" s="85" t="s">
        <v>814</v>
      </c>
      <c r="C47" s="85">
        <f>F220+F229+F238</f>
        <v>14450161.490948498</v>
      </c>
      <c r="D47" s="85">
        <f>16.923309*10^6*1.03</f>
        <v>17431008.27</v>
      </c>
      <c r="E47" s="85">
        <v>984627</v>
      </c>
      <c r="H47" s="399"/>
      <c r="I47" s="399"/>
      <c r="J47" s="399"/>
      <c r="K47" s="399"/>
      <c r="L47" s="399"/>
      <c r="M47" s="399"/>
    </row>
    <row r="48" spans="1:16">
      <c r="A48" s="85">
        <v>2017</v>
      </c>
      <c r="B48" s="85" t="s">
        <v>815</v>
      </c>
      <c r="D48" s="85">
        <f>SUM(F48:P48)</f>
        <v>16918528.299999997</v>
      </c>
      <c r="F48" s="85">
        <f>SUMIFS('Census 2011_17'!$E$258:$E$299,'Census 2011_17'!$A$258:$A$299,'Census 2011_17'!$B48,'Census 2011_17'!$C$258:$C$299,'Census 2011_17'!F$46)</f>
        <v>14012036.5</v>
      </c>
      <c r="G48" s="85">
        <f>SUMIFS('Census 2011_17'!$E$258:$E$299,'Census 2011_17'!$A$258:$A$299,'Census 2011_17'!$B48,'Census 2011_17'!$C$258:$C$299,'Census 2011_17'!G$46)</f>
        <v>502216.2</v>
      </c>
      <c r="H48" s="85">
        <f>SUMIFS('Census 2011_17'!$E$258:$E$299,'Census 2011_17'!$A$258:$A$299,'Census 2011_17'!$B48,'Census 2011_17'!$C$258:$C$299,'Census 2011_17'!H$46)</f>
        <v>908943</v>
      </c>
      <c r="I48" s="85">
        <f>SUMIFS('Census 2011_17'!$E$258:$E$299,'Census 2011_17'!$A$258:$A$299,'Census 2011_17'!$B48,'Census 2011_17'!$C$258:$C$299,'Census 2011_17'!I$46)</f>
        <v>1353990.6</v>
      </c>
      <c r="J48" s="85">
        <f>SUMIFS('Census 2011_17'!$E$258:$E$299,'Census 2011_17'!$A$258:$A$299,'Census 2011_17'!$B48,'Census 2011_17'!$C$258:$C$299,'Census 2011_17'!J$46)</f>
        <v>48580.5</v>
      </c>
      <c r="K48" s="85">
        <f>SUMIFS('Census 2011_17'!$E$258:$E$299,'Census 2011_17'!$A$258:$A$299,'Census 2011_17'!$B48,'Census 2011_17'!$C$258:$C$299,'Census 2011_17'!K$46)</f>
        <v>8490.6</v>
      </c>
      <c r="L48" s="85">
        <f>SUMIFS('Census 2011_17'!$E$258:$E$299,'Census 2011_17'!$A$258:$A$299,'Census 2011_17'!$B48,'Census 2011_17'!$C$258:$C$299,'Census 2011_17'!L$46)</f>
        <v>12039.7</v>
      </c>
      <c r="M48" s="85">
        <f>SUMIFS('Census 2011_17'!$E$258:$E$299,'Census 2011_17'!$A$258:$A$299,'Census 2011_17'!$B48,'Census 2011_17'!$C$258:$C$299,'Census 2011_17'!M$46)</f>
        <v>19606.3</v>
      </c>
      <c r="N48" s="85">
        <f>SUMIFS('Census 2011_17'!$E$258:$E$299,'Census 2011_17'!$A$258:$A$299,'Census 2011_17'!$B48,'Census 2011_17'!$C$258:$C$299,'Census 2011_17'!N$46)</f>
        <v>0</v>
      </c>
      <c r="O48" s="85">
        <f>SUMIFS('Census 2011_17'!$E$258:$E$299,'Census 2011_17'!$A$258:$A$299,'Census 2011_17'!$B48,'Census 2011_17'!$C$258:$C$299,'Census 2011_17'!O$46)</f>
        <v>52624.9</v>
      </c>
      <c r="P48" s="85">
        <f>SUMIFS('Census 2011_17'!$E$258:$E$299,'Census 2011_17'!$A$258:$A$299,'Census 2011_17'!$B48,'Census 2011_17'!$C$258:$C$299,'Census 2011_17'!P$46)</f>
        <v>0</v>
      </c>
    </row>
    <row r="49" spans="1:17">
      <c r="A49" s="85">
        <v>2017</v>
      </c>
      <c r="B49" s="85" t="s">
        <v>816</v>
      </c>
      <c r="D49" s="85">
        <f>SUM(F49:P49)</f>
        <v>15895350.699999999</v>
      </c>
      <c r="F49" s="85">
        <f>SUMIFS('Census 2011_17'!$E$258:$E$299,'Census 2011_17'!$A$258:$A$299,'Census 2011_17'!$B49,'Census 2011_17'!$C$258:$C$299,'Census 2011_17'!F$46)</f>
        <v>15262235.299999999</v>
      </c>
      <c r="G49" s="85">
        <f>SUMIFS('Census 2011_17'!$E$258:$E$299,'Census 2011_17'!$A$258:$A$299,'Census 2011_17'!$B49,'Census 2011_17'!$C$258:$C$299,'Census 2011_17'!G$46)</f>
        <v>25699.9</v>
      </c>
      <c r="H49" s="85">
        <f>SUMIFS('Census 2011_17'!$E$258:$E$299,'Census 2011_17'!$A$258:$A$299,'Census 2011_17'!$B49,'Census 2011_17'!$C$258:$C$299,'Census 2011_17'!H$46)</f>
        <v>451601.8</v>
      </c>
      <c r="I49" s="85">
        <f>SUMIFS('Census 2011_17'!$E$258:$E$299,'Census 2011_17'!$A$258:$A$299,'Census 2011_17'!$B49,'Census 2011_17'!$C$258:$C$299,'Census 2011_17'!I$46)</f>
        <v>0</v>
      </c>
      <c r="J49" s="85">
        <f>SUMIFS('Census 2011_17'!$E$258:$E$299,'Census 2011_17'!$A$258:$A$299,'Census 2011_17'!$B49,'Census 2011_17'!$C$258:$C$299,'Census 2011_17'!J$46)</f>
        <v>0</v>
      </c>
      <c r="K49" s="85">
        <f>SUMIFS('Census 2011_17'!$E$258:$E$299,'Census 2011_17'!$A$258:$A$299,'Census 2011_17'!$B49,'Census 2011_17'!$C$258:$C$299,'Census 2011_17'!K$46)</f>
        <v>0</v>
      </c>
      <c r="L49" s="85">
        <f>SUMIFS('Census 2011_17'!$E$258:$E$299,'Census 2011_17'!$A$258:$A$299,'Census 2011_17'!$B49,'Census 2011_17'!$C$258:$C$299,'Census 2011_17'!L$46)</f>
        <v>96531.7</v>
      </c>
      <c r="M49" s="85">
        <f>SUMIFS('Census 2011_17'!$E$258:$E$299,'Census 2011_17'!$A$258:$A$299,'Census 2011_17'!$B49,'Census 2011_17'!$C$258:$C$299,'Census 2011_17'!M$46)</f>
        <v>23783.7</v>
      </c>
      <c r="N49" s="85">
        <f>SUMIFS('Census 2011_17'!$E$258:$E$299,'Census 2011_17'!$A$258:$A$299,'Census 2011_17'!$B49,'Census 2011_17'!$C$258:$C$299,'Census 2011_17'!N$46)</f>
        <v>0</v>
      </c>
      <c r="O49" s="85">
        <f>SUMIFS('Census 2011_17'!$E$258:$E$299,'Census 2011_17'!$A$258:$A$299,'Census 2011_17'!$B49,'Census 2011_17'!$C$258:$C$299,'Census 2011_17'!O$46)</f>
        <v>35498.300000000003</v>
      </c>
      <c r="P49" s="85">
        <f>SUMIFS('Census 2011_17'!$E$258:$E$299,'Census 2011_17'!$A$258:$A$299,'Census 2011_17'!$B49,'Census 2011_17'!$C$258:$C$299,'Census 2011_17'!P$46)</f>
        <v>0</v>
      </c>
    </row>
    <row r="50" spans="1:17">
      <c r="A50" s="85">
        <v>2017</v>
      </c>
      <c r="B50" s="85" t="s">
        <v>817</v>
      </c>
      <c r="D50" s="85">
        <f>SUM(F50:P50)</f>
        <v>16902401.399999999</v>
      </c>
      <c r="F50" s="85">
        <f>SUMIFS('Census 2011_17'!$E$258:$E$299,'Census 2011_17'!$A$258:$A$299,'Census 2011_17'!$B50,'Census 2011_17'!$C$258:$C$299,'Census 2011_17'!F$46)</f>
        <v>11152384.1</v>
      </c>
      <c r="G50" s="85">
        <f>SUMIFS('Census 2011_17'!$E$258:$E$299,'Census 2011_17'!$A$258:$A$299,'Census 2011_17'!$B50,'Census 2011_17'!$C$258:$C$299,'Census 2011_17'!G$46)</f>
        <v>227606.3</v>
      </c>
      <c r="H50" s="85">
        <f>SUMIFS('Census 2011_17'!$E$258:$E$299,'Census 2011_17'!$A$258:$A$299,'Census 2011_17'!$B50,'Census 2011_17'!$C$258:$C$299,'Census 2011_17'!H$46)</f>
        <v>920344.2</v>
      </c>
      <c r="I50" s="85">
        <f>SUMIFS('Census 2011_17'!$E$258:$E$299,'Census 2011_17'!$A$258:$A$299,'Census 2011_17'!$B50,'Census 2011_17'!$C$258:$C$299,'Census 2011_17'!I$46)</f>
        <v>1560959.7</v>
      </c>
      <c r="J50" s="85">
        <f>SUMIFS('Census 2011_17'!$E$258:$E$299,'Census 2011_17'!$A$258:$A$299,'Census 2011_17'!$B50,'Census 2011_17'!$C$258:$C$299,'Census 2011_17'!J$46)</f>
        <v>162993.60000000001</v>
      </c>
      <c r="K50" s="85">
        <f>SUMIFS('Census 2011_17'!$E$258:$E$299,'Census 2011_17'!$A$258:$A$299,'Census 2011_17'!$B50,'Census 2011_17'!$C$258:$C$299,'Census 2011_17'!K$46)</f>
        <v>14210.5</v>
      </c>
      <c r="L50" s="85">
        <f>SUMIFS('Census 2011_17'!$E$258:$E$299,'Census 2011_17'!$A$258:$A$299,'Census 2011_17'!$B50,'Census 2011_17'!$C$258:$C$299,'Census 2011_17'!L$46)</f>
        <v>19747</v>
      </c>
      <c r="M50" s="85">
        <f>SUMIFS('Census 2011_17'!$E$258:$E$299,'Census 2011_17'!$A$258:$A$299,'Census 2011_17'!$B50,'Census 2011_17'!$C$258:$C$299,'Census 2011_17'!M$46)</f>
        <v>250052.7</v>
      </c>
      <c r="N50" s="85">
        <f>SUMIFS('Census 2011_17'!$E$258:$E$299,'Census 2011_17'!$A$258:$A$299,'Census 2011_17'!$B50,'Census 2011_17'!$C$258:$C$299,'Census 2011_17'!N$46)</f>
        <v>0</v>
      </c>
      <c r="O50" s="85">
        <f>SUMIFS('Census 2011_17'!$E$258:$E$299,'Census 2011_17'!$A$258:$A$299,'Census 2011_17'!$B50,'Census 2011_17'!$C$258:$C$299,'Census 2011_17'!O$46)</f>
        <v>2594103.2999999998</v>
      </c>
      <c r="P50" s="85">
        <f>SUMIFS('Census 2011_17'!$E$258:$E$299,'Census 2011_17'!$A$258:$A$299,'Census 2011_17'!$B50,'Census 2011_17'!$C$258:$C$299,'Census 2011_17'!P$46)</f>
        <v>0</v>
      </c>
    </row>
    <row r="51" spans="1:17">
      <c r="A51" s="85">
        <v>2017</v>
      </c>
      <c r="B51" s="85" t="s">
        <v>818</v>
      </c>
      <c r="D51" s="85">
        <f>SUM(F51:P51)</f>
        <v>16900196.899999999</v>
      </c>
      <c r="F51" s="85">
        <f>SUMIFS('Census 2011_17'!$E$258:$E$299,'Census 2011_17'!$A$258:$A$299,'Census 2011_17'!$B51,'Census 2011_17'!$C$258:$C$299,'Census 2011_17'!F$46)</f>
        <v>13940128.5</v>
      </c>
      <c r="G51" s="85">
        <f>SUMIFS('Census 2011_17'!$E$258:$E$299,'Census 2011_17'!$A$258:$A$299,'Census 2011_17'!$B51,'Census 2011_17'!$C$258:$C$299,'Census 2011_17'!G$46)</f>
        <v>189485.9</v>
      </c>
      <c r="H51" s="85">
        <f>SUMIFS('Census 2011_17'!$E$258:$E$299,'Census 2011_17'!$A$258:$A$299,'Census 2011_17'!$B51,'Census 2011_17'!$C$258:$C$299,'Census 2011_17'!H$46)</f>
        <v>869199.9</v>
      </c>
      <c r="I51" s="85">
        <f>SUMIFS('Census 2011_17'!$E$258:$E$299,'Census 2011_17'!$A$258:$A$299,'Census 2011_17'!$B51,'Census 2011_17'!$C$258:$C$299,'Census 2011_17'!I$46)</f>
        <v>1425605.2</v>
      </c>
      <c r="J51" s="85">
        <f>SUMIFS('Census 2011_17'!$E$258:$E$299,'Census 2011_17'!$A$258:$A$299,'Census 2011_17'!$B51,'Census 2011_17'!$C$258:$C$299,'Census 2011_17'!J$46)</f>
        <v>55809.2</v>
      </c>
      <c r="K51" s="85">
        <f>SUMIFS('Census 2011_17'!$E$258:$E$299,'Census 2011_17'!$A$258:$A$299,'Census 2011_17'!$B51,'Census 2011_17'!$C$258:$C$299,'Census 2011_17'!K$46)</f>
        <v>11802.1</v>
      </c>
      <c r="L51" s="85">
        <f>SUMIFS('Census 2011_17'!$E$258:$E$299,'Census 2011_17'!$A$258:$A$299,'Census 2011_17'!$B51,'Census 2011_17'!$C$258:$C$299,'Census 2011_17'!L$46)</f>
        <v>107689</v>
      </c>
      <c r="M51" s="85">
        <f>SUMIFS('Census 2011_17'!$E$258:$E$299,'Census 2011_17'!$A$258:$A$299,'Census 2011_17'!$B51,'Census 2011_17'!$C$258:$C$299,'Census 2011_17'!M$46)</f>
        <v>48638.8</v>
      </c>
      <c r="N51" s="85">
        <f>SUMIFS('Census 2011_17'!$E$258:$E$299,'Census 2011_17'!$A$258:$A$299,'Census 2011_17'!$B51,'Census 2011_17'!$C$258:$C$299,'Census 2011_17'!N$46)</f>
        <v>0</v>
      </c>
      <c r="O51" s="85">
        <f>SUMIFS('Census 2011_17'!$E$258:$E$299,'Census 2011_17'!$A$258:$A$299,'Census 2011_17'!$B51,'Census 2011_17'!$C$258:$C$299,'Census 2011_17'!O$46)</f>
        <v>251838.3</v>
      </c>
      <c r="P51" s="85">
        <f>SUMIFS('Census 2011_17'!$E$258:$E$299,'Census 2011_17'!$A$258:$A$299,'Census 2011_17'!$B51,'Census 2011_17'!$C$258:$C$299,'Census 2011_17'!P$46)</f>
        <v>0</v>
      </c>
    </row>
    <row r="52" spans="1:17">
      <c r="A52" s="85">
        <v>2011</v>
      </c>
      <c r="B52" s="85" t="str">
        <f>B48</f>
        <v>hhhlds main fuel cooking</v>
      </c>
      <c r="F52" s="85">
        <f t="shared" ref="F52:P52" si="3">SUMIFS($F$111:$F$238,$A$111:$A$238,"cooking",$C$111:$C$238,F$46)</f>
        <v>10611450.174568698</v>
      </c>
      <c r="G52" s="85">
        <f t="shared" si="3"/>
        <v>507615.68809000007</v>
      </c>
      <c r="H52" s="85">
        <f t="shared" si="3"/>
        <v>1227337.0415500002</v>
      </c>
      <c r="I52" s="85">
        <f t="shared" si="3"/>
        <v>1807605.5807998001</v>
      </c>
      <c r="J52" s="85">
        <f t="shared" si="3"/>
        <v>104171.32102999998</v>
      </c>
      <c r="K52" s="85">
        <f t="shared" si="3"/>
        <v>45349.345269999998</v>
      </c>
      <c r="L52" s="85">
        <f t="shared" si="3"/>
        <v>22255.225549999999</v>
      </c>
      <c r="M52" s="85">
        <f t="shared" si="3"/>
        <v>29343.566650000001</v>
      </c>
      <c r="N52" s="85">
        <f t="shared" si="3"/>
        <v>0</v>
      </c>
      <c r="O52" s="85">
        <f t="shared" si="3"/>
        <v>0</v>
      </c>
      <c r="P52" s="85">
        <f t="shared" si="3"/>
        <v>0</v>
      </c>
    </row>
    <row r="53" spans="1:17">
      <c r="A53" s="85">
        <v>2011</v>
      </c>
      <c r="B53" s="85" t="str">
        <f t="shared" ref="B53:B55" si="4">B49</f>
        <v>hhlds main fuel lighting</v>
      </c>
      <c r="F53" s="85">
        <f t="shared" ref="F53:P53" si="5">SUMIFS($F$111:$F$238,$A$111:$A$238,"lighting",$C$111:$C$238,F$46)</f>
        <v>12242401.477158496</v>
      </c>
      <c r="G53" s="85">
        <f t="shared" si="5"/>
        <v>34346.930179999996</v>
      </c>
      <c r="H53" s="85">
        <f t="shared" si="5"/>
        <v>426205.08948000002</v>
      </c>
      <c r="I53" s="85">
        <f t="shared" si="5"/>
        <v>0</v>
      </c>
      <c r="J53" s="85">
        <f t="shared" si="5"/>
        <v>0</v>
      </c>
      <c r="K53" s="85">
        <f t="shared" si="5"/>
        <v>0</v>
      </c>
      <c r="L53" s="85">
        <f t="shared" si="5"/>
        <v>51504.945399999997</v>
      </c>
      <c r="M53" s="85">
        <f t="shared" si="5"/>
        <v>0</v>
      </c>
      <c r="N53" s="85">
        <f t="shared" si="5"/>
        <v>1088744.5315500766</v>
      </c>
      <c r="O53" s="85">
        <f t="shared" si="5"/>
        <v>46620.920270000002</v>
      </c>
      <c r="P53" s="85">
        <f t="shared" si="5"/>
        <v>0</v>
      </c>
    </row>
    <row r="54" spans="1:17">
      <c r="A54" s="85">
        <v>2011</v>
      </c>
      <c r="B54" s="85" t="str">
        <f t="shared" si="4"/>
        <v>hhlds main fuel space heating</v>
      </c>
      <c r="F54" s="85">
        <f t="shared" ref="F54:P55" si="6">SUMIFS($F$111:$F$238,$A$111:$A$238,"space heating",$C$111:$C$238,F$46)</f>
        <v>8455182.7676991988</v>
      </c>
      <c r="G54" s="85">
        <f t="shared" si="6"/>
        <v>357062.20090999978</v>
      </c>
      <c r="H54" s="85">
        <f t="shared" si="6"/>
        <v>1230222.94405</v>
      </c>
      <c r="I54" s="85">
        <f t="shared" si="6"/>
        <v>2203382.3228998007</v>
      </c>
      <c r="J54" s="85">
        <f t="shared" si="6"/>
        <v>293948.68953000003</v>
      </c>
      <c r="K54" s="85">
        <f t="shared" si="6"/>
        <v>48250.529839999988</v>
      </c>
      <c r="L54" s="85">
        <f t="shared" si="6"/>
        <v>38370.28815</v>
      </c>
      <c r="M54" s="85">
        <f t="shared" si="6"/>
        <v>2442.4671099999996</v>
      </c>
      <c r="N54" s="85">
        <f t="shared" si="6"/>
        <v>0</v>
      </c>
      <c r="O54" s="85">
        <f t="shared" si="6"/>
        <v>0</v>
      </c>
      <c r="P54" s="85">
        <f t="shared" si="6"/>
        <v>0</v>
      </c>
    </row>
    <row r="55" spans="1:17">
      <c r="A55" s="85">
        <v>2011</v>
      </c>
      <c r="B55" s="85" t="str">
        <f t="shared" si="4"/>
        <v>hhlds main fuel water heating</v>
      </c>
      <c r="F55" s="85">
        <f t="shared" si="6"/>
        <v>8455182.7676991988</v>
      </c>
      <c r="G55" s="85">
        <f t="shared" si="6"/>
        <v>357062.20090999978</v>
      </c>
      <c r="H55" s="85">
        <f t="shared" si="6"/>
        <v>1230222.94405</v>
      </c>
      <c r="I55" s="85">
        <f t="shared" si="6"/>
        <v>2203382.3228998007</v>
      </c>
      <c r="J55" s="85">
        <f t="shared" si="6"/>
        <v>293948.68953000003</v>
      </c>
      <c r="K55" s="85">
        <f t="shared" si="6"/>
        <v>48250.529839999988</v>
      </c>
      <c r="L55" s="85">
        <f t="shared" si="6"/>
        <v>38370.28815</v>
      </c>
      <c r="M55" s="85">
        <f t="shared" si="6"/>
        <v>2442.4671099999996</v>
      </c>
      <c r="N55" s="85">
        <f t="shared" si="6"/>
        <v>0</v>
      </c>
      <c r="O55" s="85">
        <f t="shared" si="6"/>
        <v>0</v>
      </c>
      <c r="P55" s="85">
        <f t="shared" si="6"/>
        <v>0</v>
      </c>
    </row>
    <row r="57" spans="1:17" s="493" customFormat="1" ht="22">
      <c r="A57" s="493" t="s">
        <v>906</v>
      </c>
      <c r="O57" s="504"/>
    </row>
    <row r="58" spans="1:17" ht="12.7">
      <c r="F58" s="408" t="s">
        <v>42</v>
      </c>
      <c r="G58" s="408" t="s">
        <v>43</v>
      </c>
      <c r="H58" s="408" t="s">
        <v>17</v>
      </c>
      <c r="I58" s="408" t="s">
        <v>7</v>
      </c>
      <c r="J58" s="408" t="s">
        <v>9</v>
      </c>
      <c r="K58" s="408" t="s">
        <v>46</v>
      </c>
      <c r="L58" s="408" t="s">
        <v>44</v>
      </c>
      <c r="M58" s="419" t="s">
        <v>41</v>
      </c>
      <c r="N58" s="407" t="s">
        <v>2</v>
      </c>
      <c r="O58" s="233" t="s">
        <v>47</v>
      </c>
      <c r="P58" s="407" t="s">
        <v>292</v>
      </c>
    </row>
    <row r="59" spans="1:17">
      <c r="A59" s="85">
        <v>2017</v>
      </c>
      <c r="B59" s="85" t="s">
        <v>815</v>
      </c>
      <c r="F59" s="400">
        <f t="shared" ref="F59:P59" si="7">F48/SUM($F48:$P48)</f>
        <v>0.82820658224746435</v>
      </c>
      <c r="G59" s="400">
        <f t="shared" si="7"/>
        <v>2.9684390456113142E-2</v>
      </c>
      <c r="H59" s="400">
        <f t="shared" si="7"/>
        <v>5.3724708431051899E-2</v>
      </c>
      <c r="I59" s="400">
        <f t="shared" si="7"/>
        <v>8.0030046112225986E-2</v>
      </c>
      <c r="J59" s="400">
        <f t="shared" si="7"/>
        <v>2.8714377006420831E-3</v>
      </c>
      <c r="K59" s="400">
        <f t="shared" si="7"/>
        <v>5.0185216169186552E-4</v>
      </c>
      <c r="L59" s="400">
        <f t="shared" si="7"/>
        <v>7.1162809119750697E-4</v>
      </c>
      <c r="M59" s="420">
        <f t="shared" si="7"/>
        <v>1.1588655734317034E-3</v>
      </c>
      <c r="N59" s="400">
        <f t="shared" si="7"/>
        <v>0</v>
      </c>
      <c r="O59" s="420">
        <f t="shared" si="7"/>
        <v>3.1104892261816894E-3</v>
      </c>
      <c r="P59" s="400">
        <f t="shared" si="7"/>
        <v>0</v>
      </c>
      <c r="Q59" s="401">
        <f>SUM(F59:P59)</f>
        <v>1.0000000000000002</v>
      </c>
    </row>
    <row r="60" spans="1:17">
      <c r="A60" s="85">
        <v>2017</v>
      </c>
      <c r="B60" s="85" t="s">
        <v>816</v>
      </c>
      <c r="F60" s="400">
        <f t="shared" ref="F60:P60" si="8">F49/SUM($F49:$P49)</f>
        <v>0.96016977467505638</v>
      </c>
      <c r="G60" s="400">
        <f t="shared" si="8"/>
        <v>1.6168186839690176E-3</v>
      </c>
      <c r="H60" s="400">
        <f t="shared" si="8"/>
        <v>2.8410936538820753E-2</v>
      </c>
      <c r="I60" s="400">
        <f t="shared" si="8"/>
        <v>0</v>
      </c>
      <c r="J60" s="400">
        <f t="shared" si="8"/>
        <v>0</v>
      </c>
      <c r="K60" s="400">
        <f t="shared" si="8"/>
        <v>0</v>
      </c>
      <c r="L60" s="400">
        <f t="shared" si="8"/>
        <v>6.0729518852327049E-3</v>
      </c>
      <c r="M60" s="420">
        <f t="shared" si="8"/>
        <v>1.4962677105324893E-3</v>
      </c>
      <c r="N60" s="400">
        <f t="shared" si="8"/>
        <v>0</v>
      </c>
      <c r="O60" s="420">
        <f t="shared" si="8"/>
        <v>2.2332505063886389E-3</v>
      </c>
      <c r="P60" s="400">
        <f t="shared" si="8"/>
        <v>0</v>
      </c>
      <c r="Q60" s="401">
        <f t="shared" ref="Q60:Q66" si="9">SUM(F60:P60)</f>
        <v>1</v>
      </c>
    </row>
    <row r="61" spans="1:17">
      <c r="A61" s="85">
        <v>2017</v>
      </c>
      <c r="B61" s="85" t="s">
        <v>817</v>
      </c>
      <c r="F61" s="400">
        <f t="shared" ref="F61:P61" si="10">F50/SUM($F50:$P50)</f>
        <v>0.65981062903878263</v>
      </c>
      <c r="G61" s="400">
        <f t="shared" si="10"/>
        <v>1.3465914967561946E-2</v>
      </c>
      <c r="H61" s="400">
        <f t="shared" si="10"/>
        <v>5.4450499560376078E-2</v>
      </c>
      <c r="I61" s="400">
        <f t="shared" si="10"/>
        <v>9.2351356653972261E-2</v>
      </c>
      <c r="J61" s="400">
        <f t="shared" si="10"/>
        <v>9.6432214655605107E-3</v>
      </c>
      <c r="K61" s="400">
        <f t="shared" si="10"/>
        <v>8.4073852369876865E-4</v>
      </c>
      <c r="L61" s="400">
        <f t="shared" si="10"/>
        <v>1.1682955298884337E-3</v>
      </c>
      <c r="M61" s="420">
        <f t="shared" si="10"/>
        <v>1.4793915614854587E-2</v>
      </c>
      <c r="N61" s="400">
        <f t="shared" si="10"/>
        <v>0</v>
      </c>
      <c r="O61" s="420">
        <f t="shared" si="10"/>
        <v>0.15347542864530481</v>
      </c>
      <c r="P61" s="400">
        <f t="shared" si="10"/>
        <v>0</v>
      </c>
      <c r="Q61" s="401">
        <f t="shared" si="9"/>
        <v>1</v>
      </c>
    </row>
    <row r="62" spans="1:17">
      <c r="A62" s="85">
        <v>2017</v>
      </c>
      <c r="B62" s="85" t="s">
        <v>818</v>
      </c>
      <c r="F62" s="400">
        <f t="shared" ref="F62:P62" si="11">F51/SUM($F51:$P51)</f>
        <v>0.82485006432084829</v>
      </c>
      <c r="G62" s="400">
        <f t="shared" si="11"/>
        <v>1.1212052801585999E-2</v>
      </c>
      <c r="H62" s="400">
        <f t="shared" si="11"/>
        <v>5.1431347524714351E-2</v>
      </c>
      <c r="I62" s="400">
        <f t="shared" si="11"/>
        <v>8.4354354475006152E-2</v>
      </c>
      <c r="J62" s="400">
        <f t="shared" si="11"/>
        <v>3.3022810521219433E-3</v>
      </c>
      <c r="K62" s="400">
        <f t="shared" si="11"/>
        <v>6.9834097613383434E-4</v>
      </c>
      <c r="L62" s="400">
        <f t="shared" si="11"/>
        <v>6.3720559374074517E-3</v>
      </c>
      <c r="M62" s="420">
        <f t="shared" si="11"/>
        <v>2.8780019716811707E-3</v>
      </c>
      <c r="N62" s="400">
        <f t="shared" si="11"/>
        <v>0</v>
      </c>
      <c r="O62" s="420">
        <f t="shared" si="11"/>
        <v>1.4901500940500877E-2</v>
      </c>
      <c r="P62" s="400">
        <f t="shared" si="11"/>
        <v>0</v>
      </c>
      <c r="Q62" s="401">
        <f t="shared" si="9"/>
        <v>1</v>
      </c>
    </row>
    <row r="63" spans="1:17">
      <c r="A63" s="85">
        <v>2011</v>
      </c>
      <c r="B63" s="85" t="str">
        <f>B59</f>
        <v>hhhlds main fuel cooking</v>
      </c>
      <c r="F63" s="400">
        <f t="shared" ref="F63:P63" si="12">F52/SUM($F52:$P52)</f>
        <v>0.73920972465921353</v>
      </c>
      <c r="G63" s="400">
        <f t="shared" si="12"/>
        <v>3.5361279264637134E-2</v>
      </c>
      <c r="H63" s="400">
        <f t="shared" si="12"/>
        <v>8.5498161101727546E-2</v>
      </c>
      <c r="I63" s="400">
        <f t="shared" si="12"/>
        <v>0.12592054824681753</v>
      </c>
      <c r="J63" s="400">
        <f t="shared" si="12"/>
        <v>7.256732328680294E-3</v>
      </c>
      <c r="K63" s="400">
        <f t="shared" si="12"/>
        <v>3.1591042203498671E-3</v>
      </c>
      <c r="L63" s="400">
        <f t="shared" si="12"/>
        <v>1.550332789619196E-3</v>
      </c>
      <c r="M63" s="420">
        <f t="shared" si="12"/>
        <v>2.0441173889550316E-3</v>
      </c>
      <c r="N63" s="400">
        <f t="shared" si="12"/>
        <v>0</v>
      </c>
      <c r="O63" s="420">
        <f t="shared" si="12"/>
        <v>0</v>
      </c>
      <c r="P63" s="400">
        <f t="shared" si="12"/>
        <v>0</v>
      </c>
      <c r="Q63" s="401">
        <f t="shared" si="9"/>
        <v>1.0000000000000002</v>
      </c>
    </row>
    <row r="64" spans="1:17">
      <c r="A64" s="85">
        <v>2011</v>
      </c>
      <c r="B64" s="85" t="str">
        <f t="shared" ref="B64:B66" si="13">B60</f>
        <v>hhlds main fuel lighting</v>
      </c>
      <c r="F64" s="400">
        <f t="shared" ref="F64:P64" si="14">F53/SUM($F53:$P53)</f>
        <v>0.88139357061343748</v>
      </c>
      <c r="G64" s="400">
        <f t="shared" si="14"/>
        <v>2.4728125023054824E-3</v>
      </c>
      <c r="H64" s="400">
        <f t="shared" si="14"/>
        <v>3.0684700737129193E-2</v>
      </c>
      <c r="I64" s="400">
        <f t="shared" si="14"/>
        <v>0</v>
      </c>
      <c r="J64" s="400">
        <f t="shared" si="14"/>
        <v>0</v>
      </c>
      <c r="K64" s="400">
        <f t="shared" si="14"/>
        <v>0</v>
      </c>
      <c r="L64" s="400">
        <f t="shared" si="14"/>
        <v>3.7081064376997329E-3</v>
      </c>
      <c r="M64" s="420">
        <f t="shared" si="14"/>
        <v>0</v>
      </c>
      <c r="N64" s="400">
        <f t="shared" si="14"/>
        <v>7.8384329409486544E-2</v>
      </c>
      <c r="O64" s="420">
        <f t="shared" si="14"/>
        <v>3.3564802999417019E-3</v>
      </c>
      <c r="P64" s="400">
        <f t="shared" si="14"/>
        <v>0</v>
      </c>
      <c r="Q64" s="401">
        <f t="shared" si="9"/>
        <v>1</v>
      </c>
    </row>
    <row r="65" spans="1:17">
      <c r="A65" s="85">
        <v>2011</v>
      </c>
      <c r="B65" s="85" t="str">
        <f t="shared" si="13"/>
        <v>hhlds main fuel space heating</v>
      </c>
      <c r="F65" s="400">
        <f t="shared" ref="F65:P65" si="15">F54/SUM($F54:$P54)</f>
        <v>0.6695126312232258</v>
      </c>
      <c r="G65" s="400">
        <f t="shared" si="15"/>
        <v>2.8273505163586399E-2</v>
      </c>
      <c r="H65" s="400">
        <f t="shared" si="15"/>
        <v>9.741360097012168E-2</v>
      </c>
      <c r="I65" s="400">
        <f t="shared" si="15"/>
        <v>0.17447195845735861</v>
      </c>
      <c r="J65" s="400">
        <f t="shared" si="15"/>
        <v>2.3275943995401383E-2</v>
      </c>
      <c r="K65" s="400">
        <f t="shared" si="15"/>
        <v>3.8206553398825857E-3</v>
      </c>
      <c r="L65" s="400">
        <f t="shared" si="15"/>
        <v>3.0383012746027708E-3</v>
      </c>
      <c r="M65" s="420">
        <f t="shared" si="15"/>
        <v>1.9340357582090103E-4</v>
      </c>
      <c r="N65" s="400">
        <f t="shared" si="15"/>
        <v>0</v>
      </c>
      <c r="O65" s="420">
        <f t="shared" si="15"/>
        <v>0</v>
      </c>
      <c r="P65" s="400">
        <f t="shared" si="15"/>
        <v>0</v>
      </c>
      <c r="Q65" s="401">
        <f t="shared" si="9"/>
        <v>1.0000000000000002</v>
      </c>
    </row>
    <row r="66" spans="1:17">
      <c r="A66" s="85">
        <v>2011</v>
      </c>
      <c r="B66" s="85" t="str">
        <f t="shared" si="13"/>
        <v>hhlds main fuel water heating</v>
      </c>
      <c r="F66" s="400">
        <f t="shared" ref="F66:P66" si="16">F55/SUM($F55:$P55)</f>
        <v>0.6695126312232258</v>
      </c>
      <c r="G66" s="400">
        <f t="shared" si="16"/>
        <v>2.8273505163586399E-2</v>
      </c>
      <c r="H66" s="400">
        <f t="shared" si="16"/>
        <v>9.741360097012168E-2</v>
      </c>
      <c r="I66" s="400">
        <f t="shared" si="16"/>
        <v>0.17447195845735861</v>
      </c>
      <c r="J66" s="400">
        <f t="shared" si="16"/>
        <v>2.3275943995401383E-2</v>
      </c>
      <c r="K66" s="400">
        <f t="shared" si="16"/>
        <v>3.8206553398825857E-3</v>
      </c>
      <c r="L66" s="400">
        <f t="shared" si="16"/>
        <v>3.0383012746027708E-3</v>
      </c>
      <c r="M66" s="420">
        <f t="shared" si="16"/>
        <v>1.9340357582090103E-4</v>
      </c>
      <c r="N66" s="400">
        <f t="shared" si="16"/>
        <v>0</v>
      </c>
      <c r="O66" s="420">
        <f t="shared" si="16"/>
        <v>0</v>
      </c>
      <c r="P66" s="400">
        <f t="shared" si="16"/>
        <v>0</v>
      </c>
      <c r="Q66" s="401">
        <f t="shared" si="9"/>
        <v>1.0000000000000002</v>
      </c>
    </row>
    <row r="68" spans="1:17" s="473" customFormat="1" ht="22">
      <c r="A68" s="493" t="s">
        <v>910</v>
      </c>
    </row>
    <row r="69" spans="1:17" ht="13" thickBot="1">
      <c r="F69" s="408" t="s">
        <v>42</v>
      </c>
      <c r="G69" s="408" t="s">
        <v>43</v>
      </c>
      <c r="H69" s="408" t="s">
        <v>17</v>
      </c>
      <c r="I69" s="408" t="s">
        <v>7</v>
      </c>
      <c r="J69" s="408" t="s">
        <v>9</v>
      </c>
      <c r="K69" s="408" t="s">
        <v>46</v>
      </c>
      <c r="L69" s="408" t="s">
        <v>44</v>
      </c>
      <c r="M69" s="419" t="s">
        <v>41</v>
      </c>
      <c r="N69" s="407" t="s">
        <v>2</v>
      </c>
      <c r="O69" s="233" t="s">
        <v>47</v>
      </c>
      <c r="P69" s="407" t="s">
        <v>292</v>
      </c>
    </row>
    <row r="70" spans="1:17" ht="12.7" thickBot="1">
      <c r="A70" s="85">
        <v>2011</v>
      </c>
      <c r="B70" s="85" t="str">
        <f>B48</f>
        <v>hhhlds main fuel cooking</v>
      </c>
      <c r="C70" s="216" t="s">
        <v>22</v>
      </c>
      <c r="F70" s="399">
        <f t="shared" ref="F70:P72" si="17">SUMIFS($J$111:$J$238,$A$111:$A$238,"cooking",$C$111:$C$238,F$46,$B$111:$B$238,$C70)</f>
        <v>0.64725737253963511</v>
      </c>
      <c r="G70" s="399">
        <f t="shared" si="17"/>
        <v>2.5377349089885579E-2</v>
      </c>
      <c r="H70" s="399">
        <f t="shared" si="17"/>
        <v>0.12864666774407588</v>
      </c>
      <c r="I70" s="399">
        <f t="shared" si="17"/>
        <v>0.18270151694231798</v>
      </c>
      <c r="J70" s="399">
        <f t="shared" si="17"/>
        <v>8.5919069318078408E-3</v>
      </c>
      <c r="K70" s="399">
        <f t="shared" si="17"/>
        <v>4.4431459426914725E-3</v>
      </c>
      <c r="L70" s="399">
        <f t="shared" si="17"/>
        <v>1.4370955683405354E-3</v>
      </c>
      <c r="M70" s="421">
        <f t="shared" si="17"/>
        <v>1.5449452412456457E-3</v>
      </c>
      <c r="N70" s="399">
        <f t="shared" si="17"/>
        <v>0</v>
      </c>
      <c r="O70" s="399">
        <f t="shared" si="17"/>
        <v>0</v>
      </c>
      <c r="P70" s="399">
        <f t="shared" si="17"/>
        <v>0</v>
      </c>
      <c r="Q70" s="399">
        <f t="shared" ref="Q70:Q79" si="18">SUM(F70:P70)</f>
        <v>0.99999999999999989</v>
      </c>
    </row>
    <row r="71" spans="1:17" ht="13" thickBot="1">
      <c r="A71" s="85">
        <v>2011</v>
      </c>
      <c r="B71" s="85" t="str">
        <f>B70</f>
        <v>hhhlds main fuel cooking</v>
      </c>
      <c r="C71" s="95" t="s">
        <v>24</v>
      </c>
      <c r="F71" s="399">
        <f t="shared" si="17"/>
        <v>0.74792799749283057</v>
      </c>
      <c r="G71" s="399">
        <f t="shared" si="17"/>
        <v>2.8672170607556342E-2</v>
      </c>
      <c r="H71" s="399">
        <f t="shared" si="17"/>
        <v>8.0150980492202636E-2</v>
      </c>
      <c r="I71" s="399">
        <f t="shared" si="17"/>
        <v>0.12800224438750102</v>
      </c>
      <c r="J71" s="399">
        <f t="shared" si="17"/>
        <v>8.9970757469713461E-3</v>
      </c>
      <c r="K71" s="399">
        <f t="shared" si="17"/>
        <v>3.3039586966706696E-3</v>
      </c>
      <c r="L71" s="399">
        <f t="shared" si="17"/>
        <v>1.4741845065370323E-3</v>
      </c>
      <c r="M71" s="399">
        <f t="shared" si="17"/>
        <v>1.4713880697304761E-3</v>
      </c>
      <c r="N71" s="399">
        <f t="shared" si="17"/>
        <v>0</v>
      </c>
      <c r="O71" s="399">
        <f t="shared" si="17"/>
        <v>0</v>
      </c>
      <c r="P71" s="399">
        <f t="shared" si="17"/>
        <v>0</v>
      </c>
      <c r="Q71" s="399">
        <f t="shared" si="18"/>
        <v>1</v>
      </c>
    </row>
    <row r="72" spans="1:17" ht="13" thickBot="1">
      <c r="A72" s="85">
        <v>2011</v>
      </c>
      <c r="B72" s="85" t="str">
        <f>B71</f>
        <v>hhhlds main fuel cooking</v>
      </c>
      <c r="C72" s="98" t="s">
        <v>25</v>
      </c>
      <c r="F72" s="399">
        <f t="shared" si="17"/>
        <v>0.89612430369186447</v>
      </c>
      <c r="G72" s="399">
        <f t="shared" si="17"/>
        <v>6.2578465768623623E-2</v>
      </c>
      <c r="H72" s="399">
        <f t="shared" si="17"/>
        <v>1.354089978786447E-2</v>
      </c>
      <c r="I72" s="399">
        <f t="shared" si="17"/>
        <v>1.9072528030232076E-2</v>
      </c>
      <c r="J72" s="399">
        <f t="shared" si="17"/>
        <v>2.4893128386965545E-3</v>
      </c>
      <c r="K72" s="399">
        <f t="shared" si="17"/>
        <v>6.1249104332965361E-4</v>
      </c>
      <c r="L72" s="399">
        <f t="shared" si="17"/>
        <v>1.85940301813505E-3</v>
      </c>
      <c r="M72" s="399">
        <f t="shared" si="17"/>
        <v>3.7225958212540084E-3</v>
      </c>
      <c r="N72" s="399">
        <f t="shared" si="17"/>
        <v>0</v>
      </c>
      <c r="O72" s="399">
        <f t="shared" si="17"/>
        <v>0</v>
      </c>
      <c r="P72" s="399">
        <f t="shared" si="17"/>
        <v>0</v>
      </c>
      <c r="Q72" s="399">
        <f t="shared" si="18"/>
        <v>0.99999999999999978</v>
      </c>
    </row>
    <row r="73" spans="1:17" ht="12.7" thickBot="1">
      <c r="A73" s="85">
        <v>2011</v>
      </c>
      <c r="B73" s="85" t="str">
        <f>B53</f>
        <v>hhlds main fuel lighting</v>
      </c>
      <c r="C73" s="216" t="s">
        <v>22</v>
      </c>
      <c r="F73" s="399">
        <f t="shared" ref="F73:P75" si="19">SUMIFS($J$111:$J$238,$A$111:$A$238,"lighting",$C$111:$C$238,F$46,$B$111:$B$238,$C73)</f>
        <v>0.77484957211901018</v>
      </c>
      <c r="G73" s="399">
        <f t="shared" si="19"/>
        <v>2.8061115783667404E-3</v>
      </c>
      <c r="H73" s="399">
        <f t="shared" si="19"/>
        <v>4.3076876593414117E-2</v>
      </c>
      <c r="I73" s="399">
        <f t="shared" si="19"/>
        <v>0</v>
      </c>
      <c r="J73" s="399">
        <f t="shared" si="19"/>
        <v>0</v>
      </c>
      <c r="K73" s="399">
        <f t="shared" si="19"/>
        <v>0</v>
      </c>
      <c r="L73" s="399">
        <f t="shared" si="19"/>
        <v>3.7860879118140718E-3</v>
      </c>
      <c r="M73" s="399">
        <f t="shared" si="19"/>
        <v>0</v>
      </c>
      <c r="N73" s="399">
        <f t="shared" si="19"/>
        <v>0.17096632637732861</v>
      </c>
      <c r="O73" s="399">
        <f t="shared" si="19"/>
        <v>4.5150254200661431E-3</v>
      </c>
      <c r="P73" s="399">
        <f t="shared" si="19"/>
        <v>0</v>
      </c>
      <c r="Q73" s="399">
        <f t="shared" si="18"/>
        <v>0.99999999999999978</v>
      </c>
    </row>
    <row r="74" spans="1:17" ht="13" thickBot="1">
      <c r="A74" s="85">
        <v>2011</v>
      </c>
      <c r="B74" s="85" t="str">
        <f>B73</f>
        <v>hhlds main fuel lighting</v>
      </c>
      <c r="C74" s="95" t="s">
        <v>24</v>
      </c>
      <c r="F74" s="399">
        <f t="shared" si="19"/>
        <v>0.85487365806023408</v>
      </c>
      <c r="G74" s="399">
        <f t="shared" si="19"/>
        <v>2.2420792481839696E-3</v>
      </c>
      <c r="H74" s="399">
        <f t="shared" si="19"/>
        <v>2.8786049118303493E-2</v>
      </c>
      <c r="I74" s="399">
        <f t="shared" si="19"/>
        <v>0</v>
      </c>
      <c r="J74" s="399">
        <f t="shared" si="19"/>
        <v>0</v>
      </c>
      <c r="K74" s="399">
        <f t="shared" si="19"/>
        <v>0</v>
      </c>
      <c r="L74" s="399">
        <f t="shared" si="19"/>
        <v>3.5526237933260966E-3</v>
      </c>
      <c r="M74" s="399">
        <f t="shared" si="19"/>
        <v>0</v>
      </c>
      <c r="N74" s="399">
        <f t="shared" si="19"/>
        <v>0</v>
      </c>
      <c r="O74" s="399">
        <f t="shared" si="19"/>
        <v>2.8129586332765683E-3</v>
      </c>
      <c r="P74" s="399">
        <f t="shared" si="19"/>
        <v>0</v>
      </c>
      <c r="Q74" s="399">
        <f t="shared" si="18"/>
        <v>0.89226736885332425</v>
      </c>
    </row>
    <row r="75" spans="1:17" ht="13" thickBot="1">
      <c r="A75" s="85">
        <v>2011</v>
      </c>
      <c r="B75" s="85" t="str">
        <f>B74</f>
        <v>hhlds main fuel lighting</v>
      </c>
      <c r="C75" s="98" t="s">
        <v>25</v>
      </c>
      <c r="F75" s="399">
        <f t="shared" si="19"/>
        <v>0.97011215567399645</v>
      </c>
      <c r="G75" s="399">
        <f t="shared" si="19"/>
        <v>1.7673903180409844E-3</v>
      </c>
      <c r="H75" s="399">
        <f t="shared" si="19"/>
        <v>5.4566683017839152E-3</v>
      </c>
      <c r="I75" s="399">
        <f t="shared" si="19"/>
        <v>0</v>
      </c>
      <c r="J75" s="399">
        <f t="shared" si="19"/>
        <v>0</v>
      </c>
      <c r="K75" s="399">
        <f t="shared" si="19"/>
        <v>0</v>
      </c>
      <c r="L75" s="399">
        <f t="shared" si="19"/>
        <v>3.1719730721097039E-3</v>
      </c>
      <c r="M75" s="399">
        <f t="shared" si="19"/>
        <v>0</v>
      </c>
      <c r="N75" s="399">
        <f t="shared" si="19"/>
        <v>0</v>
      </c>
      <c r="O75" s="399">
        <f t="shared" si="19"/>
        <v>1.4074235541955964E-3</v>
      </c>
      <c r="P75" s="399">
        <f t="shared" si="19"/>
        <v>0</v>
      </c>
      <c r="Q75" s="399">
        <f t="shared" si="18"/>
        <v>0.98191561092012658</v>
      </c>
    </row>
    <row r="76" spans="1:17" ht="12.7" thickBot="1">
      <c r="A76" s="85">
        <v>2011</v>
      </c>
      <c r="B76" s="85" t="str">
        <f>B54</f>
        <v>hhlds main fuel space heating</v>
      </c>
      <c r="C76" s="216" t="s">
        <v>22</v>
      </c>
      <c r="F76" s="399">
        <f t="shared" ref="F76:P78" si="20">SUMIFS($J$111:$J$238,$A$111:$A$238,"space heating",$C$111:$C$238,F$46,$B$111:$B$238,$C76)</f>
        <v>0.56955674095683095</v>
      </c>
      <c r="G76" s="399">
        <f t="shared" si="20"/>
        <v>1.7396870682566554E-2</v>
      </c>
      <c r="H76" s="399">
        <f t="shared" si="20"/>
        <v>0.1267372500402611</v>
      </c>
      <c r="I76" s="399">
        <f t="shared" si="20"/>
        <v>0.25045675230582054</v>
      </c>
      <c r="J76" s="399">
        <f t="shared" si="20"/>
        <v>2.8034500257046523E-2</v>
      </c>
      <c r="K76" s="399">
        <f t="shared" si="20"/>
        <v>5.2878959919994452E-3</v>
      </c>
      <c r="L76" s="399">
        <f t="shared" si="20"/>
        <v>2.326566517021083E-3</v>
      </c>
      <c r="M76" s="399">
        <f t="shared" si="20"/>
        <v>2.0342324845412202E-4</v>
      </c>
      <c r="N76" s="399">
        <f t="shared" si="20"/>
        <v>0</v>
      </c>
      <c r="O76" s="399">
        <f t="shared" si="20"/>
        <v>0</v>
      </c>
      <c r="P76" s="399">
        <f t="shared" si="20"/>
        <v>0</v>
      </c>
      <c r="Q76" s="399">
        <f t="shared" si="18"/>
        <v>1.0000000000000004</v>
      </c>
    </row>
    <row r="77" spans="1:17" ht="13" thickBot="1">
      <c r="A77" s="85">
        <v>2011</v>
      </c>
      <c r="B77" s="85" t="str">
        <f>B76</f>
        <v>hhlds main fuel space heating</v>
      </c>
      <c r="C77" s="95" t="s">
        <v>24</v>
      </c>
      <c r="F77" s="399">
        <f t="shared" si="20"/>
        <v>0.66338957685980504</v>
      </c>
      <c r="G77" s="399">
        <f t="shared" si="20"/>
        <v>1.8205028374723757E-2</v>
      </c>
      <c r="H77" s="399">
        <f t="shared" si="20"/>
        <v>0.10360703735898198</v>
      </c>
      <c r="I77" s="399">
        <f t="shared" si="20"/>
        <v>0.18030049520658889</v>
      </c>
      <c r="J77" s="399">
        <f t="shared" si="20"/>
        <v>2.7899318127422169E-2</v>
      </c>
      <c r="K77" s="399">
        <f t="shared" si="20"/>
        <v>3.9354572116177726E-3</v>
      </c>
      <c r="L77" s="399">
        <f t="shared" si="20"/>
        <v>2.5003506636205358E-3</v>
      </c>
      <c r="M77" s="399">
        <f t="shared" si="20"/>
        <v>1.6273619723997722E-4</v>
      </c>
      <c r="N77" s="399">
        <f t="shared" si="20"/>
        <v>0</v>
      </c>
      <c r="O77" s="399">
        <f t="shared" si="20"/>
        <v>0</v>
      </c>
      <c r="P77" s="399">
        <f t="shared" si="20"/>
        <v>0</v>
      </c>
      <c r="Q77" s="399">
        <f t="shared" si="18"/>
        <v>1.0000000000000002</v>
      </c>
    </row>
    <row r="78" spans="1:17" ht="13" thickBot="1">
      <c r="A78" s="85">
        <v>2011</v>
      </c>
      <c r="B78" s="85" t="str">
        <f>B77</f>
        <v>hhlds main fuel space heating</v>
      </c>
      <c r="C78" s="98" t="s">
        <v>25</v>
      </c>
      <c r="F78" s="399">
        <f t="shared" si="20"/>
        <v>0.84544349791843898</v>
      </c>
      <c r="G78" s="399">
        <f t="shared" si="20"/>
        <v>5.9136516779077337E-2</v>
      </c>
      <c r="H78" s="399">
        <f t="shared" si="20"/>
        <v>4.0320744776784496E-2</v>
      </c>
      <c r="I78" s="399">
        <f t="shared" si="20"/>
        <v>3.9269080824373567E-2</v>
      </c>
      <c r="J78" s="399">
        <f t="shared" si="20"/>
        <v>9.5010878706932589E-3</v>
      </c>
      <c r="K78" s="399">
        <f t="shared" si="20"/>
        <v>1.2071230761812823E-3</v>
      </c>
      <c r="L78" s="399">
        <f t="shared" si="20"/>
        <v>4.9071907956934726E-3</v>
      </c>
      <c r="M78" s="399">
        <f t="shared" si="20"/>
        <v>2.1475795875767421E-4</v>
      </c>
      <c r="N78" s="399">
        <f t="shared" si="20"/>
        <v>0</v>
      </c>
      <c r="O78" s="399">
        <f t="shared" si="20"/>
        <v>0</v>
      </c>
      <c r="P78" s="399">
        <f t="shared" si="20"/>
        <v>0</v>
      </c>
      <c r="Q78" s="399">
        <f t="shared" si="18"/>
        <v>1</v>
      </c>
    </row>
    <row r="79" spans="1:17">
      <c r="Q79" s="399">
        <f t="shared" si="18"/>
        <v>0</v>
      </c>
    </row>
    <row r="80" spans="1:17" s="493" customFormat="1" ht="22">
      <c r="A80" s="493" t="s">
        <v>937</v>
      </c>
    </row>
    <row r="81" spans="1:17" ht="12.7">
      <c r="A81" s="409"/>
      <c r="C81" s="412">
        <v>2017</v>
      </c>
      <c r="F81" s="411">
        <f>F84*SUM('2017 end use splits'!$S$31:$S$33)</f>
        <v>2.2166687747893281</v>
      </c>
      <c r="G81" s="411">
        <f>G84*SUM('2017 end use splits'!$S$31:$S$33)</f>
        <v>0.13535274080823076</v>
      </c>
      <c r="H81" s="411">
        <f>H84*SUM('2017 end use splits'!$S$31:$S$33)</f>
        <v>0.24497004733908562</v>
      </c>
      <c r="I81" s="411">
        <f>I84*SUM('2017 end use splits'!$S$31:$S$33)</f>
        <v>0.36491522722401404</v>
      </c>
      <c r="J81" s="411">
        <f>J84*SUM('2017 end use splits'!$S$31:$S$33)</f>
        <v>1.3092974350158867E-2</v>
      </c>
      <c r="K81" s="411">
        <f>K84*SUM('2017 end use splits'!$S$31:$S$33)</f>
        <v>2.2883092602476074E-3</v>
      </c>
      <c r="L81" s="411">
        <f>L84*SUM('2017 end use splits'!$S$31:$S$33)</f>
        <v>3.2448304007494304E-3</v>
      </c>
      <c r="M81" s="411">
        <f>M84*SUM('2017 end use splits'!$S$31:$S$33)</f>
        <v>5.2841115880141159E-3</v>
      </c>
      <c r="N81" s="411">
        <f>N84*SUM('2017 end use splits'!$S$31:$S$33)</f>
        <v>0</v>
      </c>
      <c r="O81" s="411">
        <f>O84*SUM('2017 end use splits'!$S$31:$S$33)</f>
        <v>1.4182984240171989E-2</v>
      </c>
      <c r="P81" s="411"/>
      <c r="Q81" s="399"/>
    </row>
    <row r="82" spans="1:17" ht="12.7">
      <c r="A82" s="409"/>
      <c r="C82" s="412">
        <v>2011</v>
      </c>
      <c r="F82" s="411">
        <f t="shared" ref="F82:O82" si="21">F70*$G$3+F71*$G$4+F72*$G$5</f>
        <v>10679635.944505166</v>
      </c>
      <c r="G82" s="411">
        <f t="shared" si="21"/>
        <v>510716.49717418489</v>
      </c>
      <c r="H82" s="411">
        <f t="shared" si="21"/>
        <v>1236424.8851831802</v>
      </c>
      <c r="I82" s="411">
        <f t="shared" si="21"/>
        <v>1820881.5624711479</v>
      </c>
      <c r="J82" s="411">
        <f t="shared" si="21"/>
        <v>104899.62757023654</v>
      </c>
      <c r="K82" s="411">
        <f t="shared" si="21"/>
        <v>45679.630590997956</v>
      </c>
      <c r="L82" s="411">
        <f t="shared" si="21"/>
        <v>22399.612376150348</v>
      </c>
      <c r="M82" s="411">
        <f t="shared" si="21"/>
        <v>29523.731077434149</v>
      </c>
      <c r="N82" s="411">
        <f t="shared" si="21"/>
        <v>0</v>
      </c>
      <c r="O82" s="411">
        <f t="shared" si="21"/>
        <v>0</v>
      </c>
      <c r="P82" s="411"/>
      <c r="Q82" s="399"/>
    </row>
    <row r="83" spans="1:17" ht="12.7">
      <c r="A83" s="409"/>
      <c r="F83" s="408" t="s">
        <v>42</v>
      </c>
      <c r="G83" s="408" t="s">
        <v>43</v>
      </c>
      <c r="H83" s="408" t="s">
        <v>17</v>
      </c>
      <c r="I83" s="408" t="s">
        <v>7</v>
      </c>
      <c r="J83" s="408" t="s">
        <v>9</v>
      </c>
      <c r="K83" s="408" t="s">
        <v>46</v>
      </c>
      <c r="L83" s="408" t="s">
        <v>44</v>
      </c>
      <c r="M83" s="419" t="s">
        <v>41</v>
      </c>
      <c r="N83" s="407" t="s">
        <v>2</v>
      </c>
      <c r="O83" s="233" t="s">
        <v>47</v>
      </c>
      <c r="P83" s="407" t="s">
        <v>936</v>
      </c>
      <c r="Q83" s="399"/>
    </row>
    <row r="84" spans="1:17">
      <c r="A84" s="85">
        <v>2017</v>
      </c>
      <c r="B84" s="85" t="str">
        <f>B48</f>
        <v>hhhlds main fuel cooking</v>
      </c>
      <c r="F84" s="400">
        <f>F59*$H$12/$F$60</f>
        <v>0.73888959159644274</v>
      </c>
      <c r="G84" s="400">
        <f t="shared" ref="G84:O84" si="22">G59+($F$59-$F$84)*G59/SUM($G59:$O59)</f>
        <v>4.5117580269410255E-2</v>
      </c>
      <c r="H84" s="400">
        <f t="shared" si="22"/>
        <v>8.1656682446361872E-2</v>
      </c>
      <c r="I84" s="400">
        <f t="shared" si="22"/>
        <v>0.12163840907467136</v>
      </c>
      <c r="J84" s="400">
        <f t="shared" si="22"/>
        <v>4.3643247833862892E-3</v>
      </c>
      <c r="K84" s="400">
        <f t="shared" si="22"/>
        <v>7.6276975341586914E-4</v>
      </c>
      <c r="L84" s="400">
        <f t="shared" si="22"/>
        <v>1.0816101335831435E-3</v>
      </c>
      <c r="M84" s="420">
        <f t="shared" si="22"/>
        <v>1.7613705293380386E-3</v>
      </c>
      <c r="N84" s="400">
        <f t="shared" si="22"/>
        <v>0</v>
      </c>
      <c r="O84" s="420">
        <f t="shared" si="22"/>
        <v>4.727661413390663E-3</v>
      </c>
      <c r="P84" s="401">
        <f>SUM(F84:O84)</f>
        <v>1.0000000000000002</v>
      </c>
      <c r="Q84" s="399"/>
    </row>
    <row r="85" spans="1:17">
      <c r="A85" s="85">
        <v>2017</v>
      </c>
      <c r="B85" s="85" t="str">
        <f>B49</f>
        <v>hhlds main fuel lighting</v>
      </c>
      <c r="F85" s="400">
        <f>F60*$H$12/$F$60</f>
        <v>0.85662136462098004</v>
      </c>
      <c r="G85" s="400">
        <f t="shared" ref="G85:O85" si="23">G60+($F$59-$F$84)*G60/SUM($G60:$O60)</f>
        <v>5.2424416399612277E-3</v>
      </c>
      <c r="H85" s="400">
        <f t="shared" si="23"/>
        <v>9.2120828524680717E-2</v>
      </c>
      <c r="I85" s="400">
        <f t="shared" si="23"/>
        <v>0</v>
      </c>
      <c r="J85" s="400">
        <f t="shared" si="23"/>
        <v>0</v>
      </c>
      <c r="K85" s="400">
        <f t="shared" si="23"/>
        <v>0</v>
      </c>
      <c r="L85" s="400">
        <f t="shared" si="23"/>
        <v>1.9691197384279515E-2</v>
      </c>
      <c r="M85" s="420">
        <f t="shared" si="23"/>
        <v>4.8515620384649684E-3</v>
      </c>
      <c r="N85" s="400">
        <f t="shared" si="23"/>
        <v>0</v>
      </c>
      <c r="O85" s="420">
        <f t="shared" si="23"/>
        <v>7.2411863885787752E-3</v>
      </c>
      <c r="P85" s="401">
        <f>SUM(F85:O85)</f>
        <v>0.98576858059694517</v>
      </c>
      <c r="Q85" s="399"/>
    </row>
    <row r="86" spans="1:17">
      <c r="A86" s="85">
        <v>2017</v>
      </c>
      <c r="B86" s="85" t="str">
        <f>B50</f>
        <v>hhlds main fuel space heating</v>
      </c>
      <c r="F86" s="400">
        <f>F61*$H$12/$F$60</f>
        <v>0.58865410716548394</v>
      </c>
      <c r="G86" s="400">
        <f t="shared" ref="G86:O86" si="24">G61+($F$59-$F$84)*G61/SUM($G61:$O61)</f>
        <v>1.7001401681526029E-2</v>
      </c>
      <c r="H86" s="400">
        <f t="shared" si="24"/>
        <v>6.8746521644887371E-2</v>
      </c>
      <c r="I86" s="400">
        <f t="shared" si="24"/>
        <v>0.11659827899480096</v>
      </c>
      <c r="J86" s="400">
        <f t="shared" si="24"/>
        <v>1.2175056951929632E-2</v>
      </c>
      <c r="K86" s="400">
        <f t="shared" si="24"/>
        <v>1.0614750935950615E-3</v>
      </c>
      <c r="L86" s="400">
        <f t="shared" si="24"/>
        <v>1.4750324529905128E-3</v>
      </c>
      <c r="M86" s="420">
        <f t="shared" si="24"/>
        <v>1.8678069957861993E-2</v>
      </c>
      <c r="N86" s="400">
        <f t="shared" si="24"/>
        <v>0</v>
      </c>
      <c r="O86" s="420">
        <f t="shared" si="24"/>
        <v>0.19377052483464746</v>
      </c>
      <c r="P86" s="401">
        <f>SUM(F86:O86)</f>
        <v>1.018160468777723</v>
      </c>
      <c r="Q86" s="399"/>
    </row>
    <row r="87" spans="1:17">
      <c r="A87" s="85">
        <v>2017</v>
      </c>
      <c r="B87" s="85" t="str">
        <f>B51</f>
        <v>hhlds main fuel water heating</v>
      </c>
      <c r="F87" s="400">
        <f>F62*$H$12/$F$60</f>
        <v>0.73589505350275441</v>
      </c>
      <c r="G87" s="400">
        <f t="shared" ref="G87:O87" si="25">G62+($F$59-$F$84)*G62/SUM($G62:$O62)</f>
        <v>1.6929593098560358E-2</v>
      </c>
      <c r="H87" s="400">
        <f t="shared" si="25"/>
        <v>7.7658552052207341E-2</v>
      </c>
      <c r="I87" s="400">
        <f t="shared" si="25"/>
        <v>0.12737051123694038</v>
      </c>
      <c r="J87" s="400">
        <f t="shared" si="25"/>
        <v>4.9862657176928454E-3</v>
      </c>
      <c r="K87" s="400">
        <f t="shared" si="25"/>
        <v>1.0544570899920216E-3</v>
      </c>
      <c r="L87" s="400">
        <f t="shared" si="25"/>
        <v>9.6214597032859249E-3</v>
      </c>
      <c r="M87" s="420">
        <f t="shared" si="25"/>
        <v>4.3456272619876073E-3</v>
      </c>
      <c r="N87" s="400">
        <f t="shared" si="25"/>
        <v>0</v>
      </c>
      <c r="O87" s="420">
        <f t="shared" si="25"/>
        <v>2.2500460169506929E-2</v>
      </c>
      <c r="P87" s="401">
        <f>SUM(F87:O87)</f>
        <v>1.0003619798329277</v>
      </c>
      <c r="Q87" s="399"/>
    </row>
    <row r="88" spans="1:17" ht="38">
      <c r="D88" s="418" t="s">
        <v>832</v>
      </c>
      <c r="E88" s="418" t="s">
        <v>831</v>
      </c>
      <c r="F88" s="400"/>
      <c r="G88" s="400"/>
      <c r="H88" s="400"/>
      <c r="I88" s="400"/>
      <c r="J88" s="400"/>
      <c r="K88" s="400"/>
      <c r="L88" s="400"/>
      <c r="M88" s="420"/>
      <c r="N88" s="400"/>
      <c r="O88" s="420"/>
      <c r="P88" s="401"/>
      <c r="Q88" s="399"/>
    </row>
    <row r="89" spans="1:17" ht="12.7">
      <c r="A89" s="85">
        <v>2017</v>
      </c>
      <c r="B89" s="412" t="s">
        <v>22</v>
      </c>
      <c r="C89" s="85" t="s">
        <v>838</v>
      </c>
      <c r="D89" s="85">
        <f>F6*0.95</f>
        <v>0.7279374999999999</v>
      </c>
      <c r="E89" s="85">
        <f>D89*H3</f>
        <v>5591898.8607052295</v>
      </c>
      <c r="F89" s="400"/>
      <c r="G89" s="400"/>
      <c r="H89" s="400"/>
      <c r="I89" s="400"/>
      <c r="J89" s="400"/>
      <c r="K89" s="400"/>
      <c r="L89" s="400"/>
      <c r="M89" s="420"/>
      <c r="N89" s="400"/>
      <c r="O89" s="420"/>
      <c r="P89" s="401"/>
      <c r="Q89" s="399"/>
    </row>
    <row r="90" spans="1:17" ht="12.7">
      <c r="A90" s="85">
        <v>2017</v>
      </c>
      <c r="B90" s="412" t="s">
        <v>24</v>
      </c>
      <c r="C90" s="85" t="s">
        <v>838</v>
      </c>
      <c r="D90" s="401">
        <f>F7</f>
        <v>0.87375000000000003</v>
      </c>
      <c r="E90" s="85">
        <f>D90*H4</f>
        <v>4869498.7466859436</v>
      </c>
      <c r="F90" s="400"/>
      <c r="G90" s="400"/>
      <c r="H90" s="400"/>
      <c r="I90" s="400"/>
      <c r="J90" s="400"/>
      <c r="K90" s="400"/>
      <c r="L90" s="400"/>
      <c r="M90" s="420"/>
      <c r="N90" s="400"/>
      <c r="O90" s="420"/>
      <c r="P90" s="401"/>
      <c r="Q90" s="399"/>
    </row>
    <row r="91" spans="1:17" ht="12.7">
      <c r="A91" s="85">
        <v>2017</v>
      </c>
      <c r="B91" s="412" t="s">
        <v>25</v>
      </c>
      <c r="C91" s="85" t="s">
        <v>838</v>
      </c>
      <c r="D91" s="85">
        <f>100</f>
        <v>100</v>
      </c>
      <c r="E91" s="85">
        <f>D91*H5</f>
        <v>417606601.72229087</v>
      </c>
      <c r="F91" s="400"/>
      <c r="G91" s="400"/>
      <c r="H91" s="400"/>
      <c r="I91" s="400"/>
      <c r="J91" s="400"/>
      <c r="K91" s="400"/>
      <c r="L91" s="400"/>
      <c r="M91" s="420"/>
      <c r="N91" s="400"/>
      <c r="O91" s="420"/>
      <c r="P91" s="401"/>
      <c r="Q91" s="399"/>
    </row>
    <row r="92" spans="1:17" ht="12.7">
      <c r="A92" s="85">
        <v>2017</v>
      </c>
      <c r="B92" s="412" t="s">
        <v>22</v>
      </c>
      <c r="C92" s="85" t="s">
        <v>839</v>
      </c>
      <c r="F92" s="400"/>
      <c r="G92" s="400"/>
      <c r="H92" s="400"/>
      <c r="I92" s="400"/>
      <c r="J92" s="400"/>
      <c r="K92" s="400"/>
      <c r="L92" s="400"/>
      <c r="M92" s="420"/>
      <c r="N92" s="400"/>
      <c r="O92" s="420"/>
      <c r="P92" s="401"/>
      <c r="Q92" s="399"/>
    </row>
    <row r="93" spans="1:17" ht="12.7">
      <c r="A93" s="85">
        <v>2017</v>
      </c>
      <c r="B93" s="412" t="s">
        <v>24</v>
      </c>
      <c r="C93" s="85" t="s">
        <v>839</v>
      </c>
      <c r="F93" s="400"/>
      <c r="G93" s="400"/>
      <c r="H93" s="400"/>
      <c r="I93" s="400"/>
      <c r="J93" s="400"/>
      <c r="K93" s="400"/>
      <c r="L93" s="400"/>
      <c r="M93" s="420"/>
      <c r="N93" s="400"/>
      <c r="O93" s="420"/>
      <c r="P93" s="401"/>
      <c r="Q93" s="399"/>
    </row>
    <row r="94" spans="1:17" ht="12.7">
      <c r="A94" s="85">
        <v>2017</v>
      </c>
      <c r="B94" s="412" t="s">
        <v>25</v>
      </c>
      <c r="C94" s="85" t="s">
        <v>839</v>
      </c>
      <c r="D94" s="410"/>
      <c r="F94" s="402"/>
      <c r="G94" s="402"/>
      <c r="H94" s="402"/>
      <c r="I94" s="402"/>
      <c r="J94" s="402"/>
      <c r="K94" s="402"/>
      <c r="L94" s="402"/>
      <c r="M94" s="402"/>
      <c r="N94" s="402"/>
      <c r="O94" s="402"/>
      <c r="P94" s="402"/>
      <c r="Q94" s="402"/>
    </row>
    <row r="95" spans="1:17" ht="12.7">
      <c r="A95" s="85">
        <v>2017</v>
      </c>
      <c r="B95" s="412" t="s">
        <v>22</v>
      </c>
      <c r="C95" t="str">
        <f>'2017 end use splits'!D20</f>
        <v>cooking</v>
      </c>
      <c r="D95">
        <v>100</v>
      </c>
      <c r="E95">
        <f>D95*SUMIF('Census 2011_17'!A$3:$A$5,B95,'Census 2011_17'!H$3:$H$5)/100</f>
        <v>7681839.2522781566</v>
      </c>
      <c r="F95"/>
      <c r="G95" s="402"/>
      <c r="H95" s="402"/>
      <c r="I95" s="402"/>
      <c r="J95" s="402"/>
      <c r="K95" s="402"/>
      <c r="L95" s="402"/>
      <c r="M95" s="402"/>
      <c r="N95" s="402"/>
      <c r="O95" s="402"/>
      <c r="P95" s="402"/>
      <c r="Q95" s="402"/>
    </row>
    <row r="96" spans="1:17" ht="12.7">
      <c r="A96" s="85">
        <v>2017</v>
      </c>
      <c r="B96" s="412" t="s">
        <v>24</v>
      </c>
      <c r="C96" t="str">
        <f>'2017 end use splits'!D21</f>
        <v>cooking</v>
      </c>
      <c r="D96">
        <v>100</v>
      </c>
      <c r="E96">
        <f>D96*SUMIF('Census 2011_17'!A$3:$A$5,B96,'Census 2011_17'!H$3:$H$5)/100</f>
        <v>5573103.0004989337</v>
      </c>
      <c r="F96"/>
      <c r="G96" s="402"/>
      <c r="H96" s="402"/>
      <c r="I96" s="402"/>
      <c r="J96" s="402"/>
      <c r="K96" s="402"/>
      <c r="L96" s="402"/>
      <c r="M96" s="402"/>
      <c r="N96" s="402"/>
      <c r="O96" s="402"/>
      <c r="P96" s="402"/>
      <c r="Q96" s="402"/>
    </row>
    <row r="97" spans="1:19" ht="12.7">
      <c r="A97" s="85">
        <v>2017</v>
      </c>
      <c r="B97" s="412" t="s">
        <v>25</v>
      </c>
      <c r="C97" t="str">
        <f>'2017 end use splits'!D22</f>
        <v>cooking</v>
      </c>
      <c r="D97">
        <v>100</v>
      </c>
      <c r="E97">
        <f>D97*SUMIF('Census 2011_17'!A$3:$A$5,B97,'Census 2011_17'!H$3:$H$5)/100</f>
        <v>4176066.0172229088</v>
      </c>
      <c r="F97"/>
      <c r="G97" s="402"/>
      <c r="H97" s="402"/>
      <c r="I97" s="402"/>
      <c r="J97" s="402"/>
      <c r="K97" s="402"/>
      <c r="L97" s="402"/>
      <c r="M97" s="402"/>
      <c r="N97" s="402"/>
      <c r="O97" s="402"/>
      <c r="P97" s="402"/>
      <c r="Q97" s="402"/>
    </row>
    <row r="98" spans="1:19" ht="12.7">
      <c r="A98" s="85">
        <v>2017</v>
      </c>
      <c r="B98" s="412" t="str">
        <f t="shared" ref="B98:B106" si="26">B95</f>
        <v>Low Income</v>
      </c>
      <c r="C98" t="str">
        <f>'2017 end use splits'!D37</f>
        <v>lighting</v>
      </c>
      <c r="D98">
        <v>100</v>
      </c>
      <c r="E98">
        <f>D98*SUMIF('Census 2011_17'!A$3:$A$5,B98,'Census 2011_17'!H$3:$H$5)/100</f>
        <v>7681839.2522781566</v>
      </c>
      <c r="F98"/>
      <c r="G98" s="402"/>
      <c r="H98" s="402"/>
      <c r="I98" s="402"/>
      <c r="J98" s="402"/>
      <c r="K98" s="402"/>
      <c r="L98" s="402"/>
      <c r="M98" s="402"/>
      <c r="N98" s="402"/>
      <c r="O98" s="402"/>
      <c r="P98" s="402"/>
      <c r="Q98" s="402"/>
    </row>
    <row r="99" spans="1:19" ht="12.7">
      <c r="A99" s="85">
        <v>2017</v>
      </c>
      <c r="B99" s="412" t="str">
        <f t="shared" si="26"/>
        <v>Middle Income</v>
      </c>
      <c r="C99" t="str">
        <f>'2017 end use splits'!D38</f>
        <v>lighting</v>
      </c>
      <c r="D99">
        <v>100</v>
      </c>
      <c r="E99">
        <f>D99*SUMIF('Census 2011_17'!A$3:$A$5,B99,'Census 2011_17'!H$3:$H$5)/100</f>
        <v>5573103.0004989337</v>
      </c>
      <c r="F99"/>
      <c r="G99" s="402"/>
      <c r="H99" s="402"/>
      <c r="I99" s="402"/>
      <c r="J99" s="402"/>
      <c r="K99" s="402"/>
      <c r="L99" s="402"/>
      <c r="M99" s="402"/>
      <c r="N99" s="402"/>
      <c r="O99" s="402"/>
      <c r="P99" s="402"/>
      <c r="Q99" s="402"/>
    </row>
    <row r="100" spans="1:19" ht="12.7">
      <c r="A100" s="85">
        <v>2017</v>
      </c>
      <c r="B100" s="412" t="str">
        <f t="shared" si="26"/>
        <v>High Income</v>
      </c>
      <c r="C100" t="str">
        <f>'2017 end use splits'!D39</f>
        <v>lighting</v>
      </c>
      <c r="D100">
        <v>100</v>
      </c>
      <c r="E100">
        <f>D100*SUMIF('Census 2011_17'!A$3:$A$5,B100,'Census 2011_17'!H$3:$H$5)/100</f>
        <v>4176066.0172229088</v>
      </c>
      <c r="F100"/>
      <c r="G100" s="402"/>
      <c r="H100" s="402"/>
      <c r="I100" s="402"/>
      <c r="J100" s="402"/>
      <c r="K100" s="402"/>
      <c r="L100" s="402"/>
      <c r="M100" s="402"/>
      <c r="N100" s="402"/>
      <c r="O100" s="402"/>
      <c r="P100" s="402"/>
      <c r="Q100" s="402"/>
    </row>
    <row r="101" spans="1:19" ht="12.7">
      <c r="A101" s="85">
        <v>2017</v>
      </c>
      <c r="B101" s="412" t="str">
        <f t="shared" si="26"/>
        <v>Low Income</v>
      </c>
      <c r="C101" t="str">
        <f>'2017 end use splits'!D52</f>
        <v>water heating</v>
      </c>
      <c r="D101">
        <f>100-'Census 2011_17'!G287</f>
        <v>98.5</v>
      </c>
      <c r="E101">
        <f>D101*SUMIF('Census 2011_17'!A$3:$A$5,B101,'Census 2011_17'!H$3:$H$5)/100</f>
        <v>7566611.6634939834</v>
      </c>
      <c r="F101"/>
      <c r="G101" s="402"/>
      <c r="H101" s="402"/>
      <c r="I101" s="402"/>
      <c r="J101" s="402"/>
      <c r="K101" s="402"/>
      <c r="L101" s="402"/>
      <c r="M101" s="402"/>
      <c r="N101" s="402"/>
      <c r="O101" s="402"/>
      <c r="P101" s="402"/>
      <c r="Q101" s="402"/>
    </row>
    <row r="102" spans="1:19" ht="12.7">
      <c r="A102" s="85">
        <v>2017</v>
      </c>
      <c r="B102" s="412" t="str">
        <f t="shared" si="26"/>
        <v>Middle Income</v>
      </c>
      <c r="C102" t="str">
        <f>'2017 end use splits'!D53</f>
        <v>water heating</v>
      </c>
      <c r="D102">
        <f>D101</f>
        <v>98.5</v>
      </c>
      <c r="E102">
        <f>D102*SUMIF('Census 2011_17'!A$3:$A$5,B102,'Census 2011_17'!H$3:$H$5)/100</f>
        <v>5489506.4554914497</v>
      </c>
      <c r="F102"/>
      <c r="G102" s="402"/>
      <c r="H102" s="402"/>
      <c r="I102" s="402"/>
      <c r="J102" s="402"/>
      <c r="K102" s="402"/>
      <c r="L102" s="402"/>
      <c r="M102" s="402"/>
      <c r="N102" s="402"/>
      <c r="O102" s="402"/>
      <c r="P102" s="402"/>
      <c r="Q102" s="402"/>
    </row>
    <row r="103" spans="1:19" ht="12.7">
      <c r="A103" s="85">
        <v>2017</v>
      </c>
      <c r="B103" s="412" t="str">
        <f t="shared" si="26"/>
        <v>High Income</v>
      </c>
      <c r="C103" t="str">
        <f>'2017 end use splits'!D54</f>
        <v>water heating</v>
      </c>
      <c r="D103">
        <f>D102</f>
        <v>98.5</v>
      </c>
      <c r="E103">
        <f>D103*SUMIF('Census 2011_17'!A$3:$A$5,B103,'Census 2011_17'!H$3:$H$5)/100</f>
        <v>4113425.0269645648</v>
      </c>
      <c r="F103"/>
      <c r="G103" s="402"/>
      <c r="H103" s="402"/>
      <c r="I103" s="402"/>
      <c r="J103" s="402"/>
      <c r="K103" s="402"/>
      <c r="L103" s="402"/>
      <c r="M103" s="402"/>
      <c r="N103" s="402"/>
      <c r="O103" s="402"/>
      <c r="P103" s="402"/>
      <c r="Q103" s="402"/>
    </row>
    <row r="104" spans="1:19" ht="12.7">
      <c r="A104" s="85">
        <v>2017</v>
      </c>
      <c r="B104" s="412" t="str">
        <f t="shared" si="26"/>
        <v>Low Income</v>
      </c>
      <c r="C104" t="str">
        <f>'2017 end use splits'!D67</f>
        <v>space heating</v>
      </c>
      <c r="D104">
        <f>100-'Census 2011_17'!G298</f>
        <v>84.7</v>
      </c>
      <c r="E104">
        <f>D104*SUMIF('Census 2011_17'!A$3:$A$5,B104,'Census 2011_17'!H$3:$H$5)/100</f>
        <v>6506517.846679599</v>
      </c>
      <c r="F104" s="14" t="s">
        <v>833</v>
      </c>
      <c r="G104" s="402"/>
      <c r="H104" s="402"/>
      <c r="I104" s="402"/>
      <c r="J104" s="402"/>
      <c r="K104" s="402"/>
      <c r="L104" s="402"/>
      <c r="M104" s="402"/>
      <c r="N104" s="402"/>
      <c r="O104" s="402"/>
      <c r="P104" s="402"/>
      <c r="Q104" s="402"/>
    </row>
    <row r="105" spans="1:19" ht="12.7">
      <c r="A105" s="85">
        <v>2017</v>
      </c>
      <c r="B105" s="412" t="str">
        <f t="shared" si="26"/>
        <v>Middle Income</v>
      </c>
      <c r="C105" t="str">
        <f>'2017 end use splits'!D68</f>
        <v>space heating</v>
      </c>
      <c r="D105">
        <f>D104</f>
        <v>84.7</v>
      </c>
      <c r="E105">
        <f>D105*SUMIF('Census 2011_17'!A$3:$A$5,B105,'Census 2011_17'!H$3:$H$5)/100</f>
        <v>4720418.2414225973</v>
      </c>
      <c r="F105"/>
      <c r="G105" s="402"/>
      <c r="H105" s="402"/>
      <c r="I105" s="402"/>
      <c r="J105" s="402"/>
      <c r="K105" s="402"/>
      <c r="L105" s="402"/>
      <c r="M105" s="402"/>
      <c r="N105" s="402"/>
      <c r="O105" s="402"/>
      <c r="P105" s="402"/>
      <c r="Q105" s="402"/>
    </row>
    <row r="106" spans="1:19" ht="12.7">
      <c r="A106" s="85">
        <v>2017</v>
      </c>
      <c r="B106" s="412" t="str">
        <f t="shared" si="26"/>
        <v>High Income</v>
      </c>
      <c r="C106" t="str">
        <f>'2017 end use splits'!D69</f>
        <v>space heating</v>
      </c>
      <c r="D106">
        <f>D105</f>
        <v>84.7</v>
      </c>
      <c r="E106">
        <f>D106*SUMIF('Census 2011_17'!A$3:$A$5,B106,'Census 2011_17'!H$3:$H$5)/100</f>
        <v>3537127.916587804</v>
      </c>
      <c r="F106"/>
    </row>
    <row r="107" spans="1:19" ht="12.7">
      <c r="A107" s="412"/>
      <c r="B107"/>
      <c r="C107"/>
      <c r="D107"/>
      <c r="E107"/>
      <c r="F107"/>
    </row>
    <row r="108" spans="1:19" ht="12.7">
      <c r="A108" s="242" t="s">
        <v>436</v>
      </c>
      <c r="C108" s="87"/>
      <c r="D108" s="88"/>
      <c r="E108" s="87"/>
      <c r="F108" s="87"/>
      <c r="G108" s="87"/>
    </row>
    <row r="109" spans="1:19" ht="13" thickBot="1">
      <c r="B109" s="217" t="s">
        <v>38</v>
      </c>
      <c r="C109" s="218"/>
      <c r="D109" s="218"/>
      <c r="E109" s="218"/>
      <c r="F109" s="218"/>
      <c r="G109" s="218"/>
      <c r="H109" s="219" t="s">
        <v>294</v>
      </c>
      <c r="I109" s="220"/>
      <c r="J109" s="220"/>
    </row>
    <row r="110" spans="1:19" s="415" customFormat="1" ht="25.7" thickBot="1">
      <c r="B110" s="422" t="s">
        <v>295</v>
      </c>
      <c r="C110" s="423" t="s">
        <v>45</v>
      </c>
      <c r="D110" s="424" t="s">
        <v>34</v>
      </c>
      <c r="E110" s="424" t="s">
        <v>33</v>
      </c>
      <c r="F110" s="424" t="s">
        <v>27</v>
      </c>
      <c r="G110" s="404"/>
      <c r="H110" s="424" t="s">
        <v>34</v>
      </c>
      <c r="I110" s="425" t="s">
        <v>33</v>
      </c>
      <c r="J110" s="424" t="s">
        <v>27</v>
      </c>
      <c r="M110" s="415" t="s">
        <v>835</v>
      </c>
      <c r="N110" s="415" t="s">
        <v>837</v>
      </c>
      <c r="O110" s="415" t="s">
        <v>836</v>
      </c>
      <c r="P110" s="443">
        <f>B19</f>
        <v>2020</v>
      </c>
      <c r="Q110" s="443">
        <f>C19</f>
        <v>2030</v>
      </c>
      <c r="R110" s="443">
        <f>D19</f>
        <v>2040</v>
      </c>
      <c r="S110" s="443">
        <f>E19</f>
        <v>2050</v>
      </c>
    </row>
    <row r="111" spans="1:19" ht="13" thickBot="1">
      <c r="A111" s="85" t="s">
        <v>12</v>
      </c>
      <c r="B111" s="216" t="s">
        <v>22</v>
      </c>
      <c r="C111" s="91" t="s">
        <v>42</v>
      </c>
      <c r="D111" s="247">
        <v>4087821.0046737627</v>
      </c>
      <c r="E111" s="248"/>
      <c r="F111" s="93">
        <v>4087821.0046737627</v>
      </c>
      <c r="G111" s="405"/>
      <c r="H111" s="92">
        <f>D111/D$119</f>
        <v>0.8299427713132439</v>
      </c>
      <c r="I111" s="92">
        <f t="shared" ref="I111:I119" si="27">E111/E$119</f>
        <v>0</v>
      </c>
      <c r="J111" s="92">
        <f t="shared" ref="J111:J119" si="28">F111/F$119</f>
        <v>0.64725737253963511</v>
      </c>
      <c r="L111" s="85">
        <f>SUMIFS('Census 2011_17'!$E$258:$E$299,'Census 2011_17'!$A$258:$A$299,'Census 2011_17'!$B$48,'Census 2011_17'!$C$258:$C$299,'Census 2011_17'!$C111)</f>
        <v>14012036.5</v>
      </c>
      <c r="M111" s="411">
        <f t="shared" ref="M111:M118" si="29">SUMIFS($E$95:$E$106,$C$95:$C$106,A111,$B$95:$B$106,B111)</f>
        <v>7681839.2522781566</v>
      </c>
      <c r="N111" s="427">
        <f>SUMPRODUCT('2017 end use splits'!$F$31:$M$33*('2017 end use splits'!$C$31:$C$33='Census 2011_17'!B111)*('2017 end use splits'!$F$19:$M$19='Census 2011_17'!C111))</f>
        <v>0.65549098541178596</v>
      </c>
      <c r="O111" s="85">
        <f>N111*M111</f>
        <v>5035376.3812507456</v>
      </c>
      <c r="P111" s="427">
        <f>$N111*(1+B$20)</f>
        <v>0.68436252963057598</v>
      </c>
      <c r="Q111" s="427">
        <f>$N111*(1+C$20)</f>
        <v>0.72713518773248687</v>
      </c>
      <c r="R111" s="427">
        <f>$N111*(1+D$20)</f>
        <v>0.76990784583439786</v>
      </c>
      <c r="S111" s="427">
        <f>$N111*(1+E$20)</f>
        <v>0.81268050393630886</v>
      </c>
    </row>
    <row r="112" spans="1:19" ht="13" thickBot="1">
      <c r="A112" s="85" t="s">
        <v>12</v>
      </c>
      <c r="B112" s="216" t="s">
        <v>22</v>
      </c>
      <c r="C112" s="221" t="s">
        <v>43</v>
      </c>
      <c r="D112" s="247">
        <v>77439.929723772482</v>
      </c>
      <c r="E112" s="247">
        <v>82833.348038267111</v>
      </c>
      <c r="F112" s="93">
        <v>160273.27776203959</v>
      </c>
      <c r="G112" s="405"/>
      <c r="H112" s="92">
        <f t="shared" ref="H112:H118" si="30">D112/D$119</f>
        <v>1.5722486334838883E-2</v>
      </c>
      <c r="I112" s="92">
        <f t="shared" si="27"/>
        <v>5.9584686627608255E-2</v>
      </c>
      <c r="J112" s="92">
        <f t="shared" si="28"/>
        <v>2.5377349089885579E-2</v>
      </c>
      <c r="L112" s="85">
        <f>SUMIFS('Census 2011_17'!$E$258:$E$299,'Census 2011_17'!$A$258:$A$299,'Census 2011_17'!$B$48,'Census 2011_17'!$C$258:$C$299,'Census 2011_17'!$C112)</f>
        <v>502216.2</v>
      </c>
      <c r="M112" s="411">
        <f t="shared" si="29"/>
        <v>7681839.2522781566</v>
      </c>
      <c r="N112" s="445">
        <f>SUMPRODUCT('2017 end use splits'!$F$31:$M$33*('2017 end use splits'!$C$31:$C$33='Census 2011_17'!B112)*('2017 end use splits'!$F$19:$M$19='Census 2011_17'!C112))</f>
        <v>3.2815481716030791E-2</v>
      </c>
      <c r="O112" s="85">
        <f t="shared" ref="O112:O118" si="31">N112*M112</f>
        <v>252083.25552862149</v>
      </c>
      <c r="P112" s="445">
        <f>$N112-($N111*B$20)*$N112/(1-$N111)</f>
        <v>3.006538348548745E-2</v>
      </c>
      <c r="Q112" s="445">
        <f>$N112-($N111*C$20)*$N112/(1-$N111)</f>
        <v>2.5991163884682519E-2</v>
      </c>
      <c r="R112" s="445">
        <f>$N112-($N111*D$20)*$N112/(1-$N111)</f>
        <v>2.1916944283877575E-2</v>
      </c>
      <c r="S112" s="445">
        <f>$N112-($N111*E$20)*$N112/(1-$N111)</f>
        <v>1.7842724683072641E-2</v>
      </c>
    </row>
    <row r="113" spans="1:19" ht="13" thickBot="1">
      <c r="A113" s="85" t="s">
        <v>12</v>
      </c>
      <c r="B113" s="216" t="s">
        <v>22</v>
      </c>
      <c r="C113" s="91" t="s">
        <v>17</v>
      </c>
      <c r="D113" s="247">
        <v>109920.38909999996</v>
      </c>
      <c r="E113" s="247">
        <v>702560.97132408281</v>
      </c>
      <c r="F113" s="93">
        <v>812481.36042408273</v>
      </c>
      <c r="G113" s="405"/>
      <c r="H113" s="92">
        <f t="shared" si="30"/>
        <v>2.2316934192857268E-2</v>
      </c>
      <c r="I113" s="92">
        <f t="shared" si="27"/>
        <v>0.5053746625549207</v>
      </c>
      <c r="J113" s="92">
        <f t="shared" si="28"/>
        <v>0.12864666774407588</v>
      </c>
      <c r="L113" s="85">
        <f>SUMIFS('Census 2011_17'!$E$258:$E$299,'Census 2011_17'!$A$258:$A$299,'Census 2011_17'!$B$48,'Census 2011_17'!$C$258:$C$299,'Census 2011_17'!$C113)</f>
        <v>908943</v>
      </c>
      <c r="M113" s="411">
        <f t="shared" si="29"/>
        <v>7681839.2522781566</v>
      </c>
      <c r="N113" s="445">
        <f>SUMPRODUCT('2017 end use splits'!$F$31:$M$33*('2017 end use splits'!$C$31:$C$33='Census 2011_17'!B113)*('2017 end use splits'!$F$19:$M$19='Census 2011_17'!C113))</f>
        <v>0.12436241654820422</v>
      </c>
      <c r="O113" s="85">
        <f t="shared" si="31"/>
        <v>955332.09294816176</v>
      </c>
      <c r="P113" s="445">
        <f>$N113-($N111*B$20)*$N113/(1-$N111)</f>
        <v>0.11394023641216695</v>
      </c>
      <c r="Q113" s="445">
        <f>$N113-($N111*C$20)*$N113/(1-$N111)</f>
        <v>9.8499969543963659E-2</v>
      </c>
      <c r="R113" s="445">
        <f>$N113-($N111*D$20)*$N113/(1-$N111)</f>
        <v>8.3059702675760322E-2</v>
      </c>
      <c r="S113" s="445">
        <f>$N113-($N111*E$20)*$N113/(1-$N111)</f>
        <v>6.7619435807557013E-2</v>
      </c>
    </row>
    <row r="114" spans="1:19" ht="13" thickBot="1">
      <c r="A114" s="85" t="s">
        <v>12</v>
      </c>
      <c r="B114" s="216" t="s">
        <v>22</v>
      </c>
      <c r="C114" s="91" t="s">
        <v>7</v>
      </c>
      <c r="D114" s="247">
        <v>591195.92535502801</v>
      </c>
      <c r="E114" s="247">
        <v>562674.43630984903</v>
      </c>
      <c r="F114" s="93">
        <v>1153870.361664877</v>
      </c>
      <c r="G114" s="405"/>
      <c r="H114" s="92">
        <f t="shared" si="30"/>
        <v>0.12002942010358589</v>
      </c>
      <c r="I114" s="92">
        <f t="shared" si="27"/>
        <v>0.40474978682981483</v>
      </c>
      <c r="J114" s="92">
        <f t="shared" si="28"/>
        <v>0.18270151694231798</v>
      </c>
      <c r="L114" s="85">
        <f>SUMIFS('Census 2011_17'!$E$258:$E$299,'Census 2011_17'!$A$258:$A$299,'Census 2011_17'!$B$48,'Census 2011_17'!$C$258:$C$299,'Census 2011_17'!$C114)</f>
        <v>1353990.6</v>
      </c>
      <c r="M114" s="411">
        <f t="shared" si="29"/>
        <v>7681839.2522781566</v>
      </c>
      <c r="N114" s="445">
        <f>SUMPRODUCT('2017 end use splits'!$F$31:$M$33*('2017 end use splits'!$C$31:$C$33='Census 2011_17'!B114)*('2017 end use splits'!$F$19:$M$19='Census 2011_17'!C114))</f>
        <v>0.17864785380353895</v>
      </c>
      <c r="O114" s="85">
        <f t="shared" si="31"/>
        <v>1372344.095683275</v>
      </c>
      <c r="P114" s="445">
        <f>$N114-($N111*B$20)*$N114/(1-$N111)</f>
        <v>0.16367628791622574</v>
      </c>
      <c r="Q114" s="445">
        <f>$N114-($N111*C$20)*$N114/(1-$N111)</f>
        <v>0.14149619030539137</v>
      </c>
      <c r="R114" s="445">
        <f>$N114-($N111*D$20)*$N114/(1-$N111)</f>
        <v>0.11931609269455699</v>
      </c>
      <c r="S114" s="445">
        <f>$N114-($N111*E$20)*$N114/(1-$N111)</f>
        <v>9.7135995083722643E-2</v>
      </c>
    </row>
    <row r="115" spans="1:19" ht="13" thickBot="1">
      <c r="A115" s="85" t="s">
        <v>12</v>
      </c>
      <c r="B115" s="216" t="s">
        <v>22</v>
      </c>
      <c r="C115" s="91" t="s">
        <v>9</v>
      </c>
      <c r="D115" s="247">
        <v>33255.340029135783</v>
      </c>
      <c r="E115" s="247">
        <v>21007.738486660455</v>
      </c>
      <c r="F115" s="93">
        <v>54263.078515796238</v>
      </c>
      <c r="G115" s="405"/>
      <c r="H115" s="92">
        <f t="shared" si="30"/>
        <v>6.7517704501222119E-3</v>
      </c>
      <c r="I115" s="92">
        <f t="shared" si="27"/>
        <v>1.5111540751728802E-2</v>
      </c>
      <c r="J115" s="92">
        <f t="shared" si="28"/>
        <v>8.5919069318078408E-3</v>
      </c>
      <c r="L115" s="85">
        <f>SUMIFS('Census 2011_17'!$E$258:$E$299,'Census 2011_17'!$A$258:$A$299,'Census 2011_17'!$B$48,'Census 2011_17'!$C$258:$C$299,'Census 2011_17'!$C115)</f>
        <v>48580.5</v>
      </c>
      <c r="M115" s="411">
        <f t="shared" si="29"/>
        <v>7681839.2522781566</v>
      </c>
      <c r="N115" s="445">
        <f>SUMPRODUCT('2017 end use splits'!$F$31:$M$33*('2017 end use splits'!$C$31:$C$33='Census 2011_17'!B115)*('2017 end use splits'!$F$19:$M$19='Census 2011_17'!C115))</f>
        <v>5.2323802431367764E-3</v>
      </c>
      <c r="O115" s="85">
        <f t="shared" si="31"/>
        <v>40194.30393457281</v>
      </c>
      <c r="P115" s="445">
        <f>$N115-($N111*B$20)*$N115/(1-$N111)</f>
        <v>4.7938811294348776E-3</v>
      </c>
      <c r="Q115" s="445">
        <f>$N115-($N111*C$20)*$N115/(1-$N111)</f>
        <v>4.1442528128394739E-3</v>
      </c>
      <c r="R115" s="445">
        <f>$N115-($N111*D$20)*$N115/(1-$N111)</f>
        <v>3.494624496244068E-3</v>
      </c>
      <c r="S115" s="445">
        <f>$N115-($N111*E$20)*$N115/(1-$N111)</f>
        <v>2.8449961796486638E-3</v>
      </c>
    </row>
    <row r="116" spans="1:19" ht="13" thickBot="1">
      <c r="A116" s="85" t="s">
        <v>12</v>
      </c>
      <c r="B116" s="216" t="s">
        <v>22</v>
      </c>
      <c r="C116" s="91" t="s">
        <v>46</v>
      </c>
      <c r="D116" s="247">
        <v>10995.987289999995</v>
      </c>
      <c r="E116" s="247">
        <v>17065.161307041286</v>
      </c>
      <c r="F116" s="93">
        <v>28061.148597041283</v>
      </c>
      <c r="G116" s="405"/>
      <c r="H116" s="92">
        <f t="shared" si="30"/>
        <v>2.2324950516066262E-3</v>
      </c>
      <c r="I116" s="92">
        <f t="shared" si="27"/>
        <v>1.2275518409081957E-2</v>
      </c>
      <c r="J116" s="92">
        <f t="shared" si="28"/>
        <v>4.4431459426914725E-3</v>
      </c>
      <c r="L116" s="85">
        <f>SUMIFS('Census 2011_17'!$E$258:$E$299,'Census 2011_17'!$A$258:$A$299,'Census 2011_17'!$B$48,'Census 2011_17'!$C$258:$C$299,'Census 2011_17'!$C116)</f>
        <v>8490.6</v>
      </c>
      <c r="M116" s="411">
        <f t="shared" si="29"/>
        <v>7681839.2522781566</v>
      </c>
      <c r="N116" s="445">
        <f>SUMPRODUCT('2017 end use splits'!$F$31:$M$33*('2017 end use splits'!$C$31:$C$33='Census 2011_17'!B116)*('2017 end use splits'!$F$19:$M$19='Census 2011_17'!C116))</f>
        <v>1.0859956255007718E-3</v>
      </c>
      <c r="O116" s="85">
        <f t="shared" si="31"/>
        <v>8342.4438237741979</v>
      </c>
      <c r="P116" s="445">
        <f>$N116-($N111*B$20)*$N116/(1-$N111)</f>
        <v>9.9498386849193013E-4</v>
      </c>
      <c r="Q116" s="445">
        <f>$N116-($N111*C$20)*$N116/(1-$N111)</f>
        <v>8.6015163588623936E-4</v>
      </c>
      <c r="R116" s="445">
        <f>$N116-($N111*D$20)*$N116/(1-$N111)</f>
        <v>7.2531940328054816E-4</v>
      </c>
      <c r="S116" s="445">
        <f>$N116-($N111*E$20)*$N116/(1-$N111)</f>
        <v>5.9048717067485728E-4</v>
      </c>
    </row>
    <row r="117" spans="1:19" ht="13" thickBot="1">
      <c r="A117" s="85" t="s">
        <v>12</v>
      </c>
      <c r="B117" s="216" t="s">
        <v>22</v>
      </c>
      <c r="C117" s="91" t="s">
        <v>44</v>
      </c>
      <c r="D117" s="247">
        <v>6544.7041300000001</v>
      </c>
      <c r="E117" s="247">
        <v>2531.4218427888027</v>
      </c>
      <c r="F117" s="93">
        <v>9076.1259727888028</v>
      </c>
      <c r="G117" s="405"/>
      <c r="H117" s="92">
        <f t="shared" si="30"/>
        <v>1.3287592281724487E-3</v>
      </c>
      <c r="I117" s="92">
        <f t="shared" si="27"/>
        <v>1.8209330033982396E-3</v>
      </c>
      <c r="J117" s="92">
        <f t="shared" si="28"/>
        <v>1.4370955683405354E-3</v>
      </c>
      <c r="L117" s="85">
        <f>SUMIFS('Census 2011_17'!$E$258:$E$299,'Census 2011_17'!$A$258:$A$299,'Census 2011_17'!$B$48,'Census 2011_17'!$C$258:$C$299,'Census 2011_17'!$C117)</f>
        <v>12039.7</v>
      </c>
      <c r="M117" s="411">
        <f t="shared" si="29"/>
        <v>7681839.2522781566</v>
      </c>
      <c r="N117" s="445">
        <f>SUMPRODUCT('2017 end use splits'!$F$31:$M$33*('2017 end use splits'!$C$31:$C$33='Census 2011_17'!B117)*('2017 end use splits'!$F$19:$M$19='Census 2011_17'!C117))</f>
        <v>1.0157398978634406E-3</v>
      </c>
      <c r="O117" s="85">
        <f t="shared" si="31"/>
        <v>7802.7506175123835</v>
      </c>
      <c r="P117" s="445">
        <f>$N117-($N111*B$20)*$N117/(1-$N111)</f>
        <v>9.3061591522685739E-4</v>
      </c>
      <c r="Q117" s="445">
        <f>$N117-($N111*C$20)*$N117/(1-$N111)</f>
        <v>8.0450631132080851E-4</v>
      </c>
      <c r="R117" s="445">
        <f>$N117-($N111*D$20)*$N117/(1-$N111)</f>
        <v>6.7839670741475942E-4</v>
      </c>
      <c r="S117" s="445">
        <f>$N117-($N111*E$20)*$N117/(1-$N111)</f>
        <v>5.5228710350871055E-4</v>
      </c>
    </row>
    <row r="118" spans="1:19" ht="13" thickBot="1">
      <c r="A118" s="85" t="s">
        <v>12</v>
      </c>
      <c r="B118" s="216" t="s">
        <v>22</v>
      </c>
      <c r="C118" s="91" t="s">
        <v>41</v>
      </c>
      <c r="D118" s="247">
        <v>8251.8766708449293</v>
      </c>
      <c r="E118" s="247">
        <v>1505.3850864910128</v>
      </c>
      <c r="F118" s="93">
        <v>9757.2617573359421</v>
      </c>
      <c r="G118" s="405"/>
      <c r="H118" s="92">
        <f t="shared" si="30"/>
        <v>1.6753633255726938E-3</v>
      </c>
      <c r="I118" s="92">
        <f t="shared" si="27"/>
        <v>1.0828718234472856E-3</v>
      </c>
      <c r="J118" s="92">
        <f t="shared" si="28"/>
        <v>1.5449452412456457E-3</v>
      </c>
      <c r="L118" s="85">
        <f>SUMIFS('Census 2011_17'!$E$258:$E$299,'Census 2011_17'!$A$258:$A$299,'Census 2011_17'!$B$48,'Census 2011_17'!$C$258:$C$299,'Census 2011_17'!$C118)</f>
        <v>19606.3</v>
      </c>
      <c r="M118" s="411">
        <f t="shared" si="29"/>
        <v>7681839.2522781566</v>
      </c>
      <c r="N118" s="445">
        <f>SUMPRODUCT('2017 end use splits'!$F$31:$M$33*('2017 end use splits'!$C$31:$C$33='Census 2011_17'!B118)*('2017 end use splits'!$F$19:$M$19='Census 2011_17'!C118))</f>
        <v>1.3491467539390753E-3</v>
      </c>
      <c r="O118" s="85">
        <f t="shared" si="31"/>
        <v>10363.928491492848</v>
      </c>
      <c r="P118" s="445">
        <f>$N118-($N111*B$20)*$N118/(1-$N111)</f>
        <v>1.2360816423902597E-3</v>
      </c>
      <c r="Q118" s="445">
        <f>$N118-($N111*C$20)*$N118/(1-$N111)</f>
        <v>1.0685777734290519E-3</v>
      </c>
      <c r="R118" s="445">
        <f>$N118-($N111*D$20)*$N118/(1-$N111)</f>
        <v>9.0107390446784378E-4</v>
      </c>
      <c r="S118" s="445">
        <f>$N118-($N111*E$20)*$N118/(1-$N111)</f>
        <v>7.3357003550663595E-4</v>
      </c>
    </row>
    <row r="119" spans="1:19" ht="13" thickBot="1">
      <c r="A119" s="85" t="s">
        <v>12</v>
      </c>
      <c r="B119" s="216" t="s">
        <v>22</v>
      </c>
      <c r="C119" s="216" t="s">
        <v>429</v>
      </c>
      <c r="D119" s="93">
        <v>4925425.1569725443</v>
      </c>
      <c r="E119" s="93">
        <v>1390178.4623951805</v>
      </c>
      <c r="F119" s="93">
        <v>6315603.6193677243</v>
      </c>
      <c r="G119" s="405"/>
      <c r="H119" s="94">
        <f t="shared" ref="H119" si="32">D119/D$119</f>
        <v>1</v>
      </c>
      <c r="I119" s="94">
        <f t="shared" si="27"/>
        <v>1</v>
      </c>
      <c r="J119" s="94">
        <f t="shared" si="28"/>
        <v>1</v>
      </c>
      <c r="L119">
        <f>SUM(L111:L118)</f>
        <v>16865903.399999999</v>
      </c>
      <c r="N119" s="427"/>
      <c r="O119" s="85">
        <f>SUM(O111:O118)</f>
        <v>7681839.2522781566</v>
      </c>
      <c r="P119" s="444">
        <f>SUM(P111:P118)</f>
        <v>1</v>
      </c>
      <c r="Q119" s="444">
        <f t="shared" ref="Q119:S119" si="33">SUM(Q111:Q118)</f>
        <v>1</v>
      </c>
      <c r="R119" s="444">
        <f t="shared" si="33"/>
        <v>1</v>
      </c>
      <c r="S119" s="444">
        <f t="shared" si="33"/>
        <v>1</v>
      </c>
    </row>
    <row r="120" spans="1:19" ht="13" thickBot="1">
      <c r="A120" s="85" t="s">
        <v>12</v>
      </c>
      <c r="B120" s="258" t="s">
        <v>296</v>
      </c>
      <c r="C120" s="96"/>
      <c r="D120" s="89" t="s">
        <v>34</v>
      </c>
      <c r="E120" s="89" t="s">
        <v>33</v>
      </c>
      <c r="F120" s="89" t="s">
        <v>27</v>
      </c>
      <c r="G120" s="405"/>
      <c r="H120" s="89" t="s">
        <v>34</v>
      </c>
      <c r="I120" s="90" t="s">
        <v>33</v>
      </c>
      <c r="J120" s="89" t="s">
        <v>27</v>
      </c>
      <c r="L120"/>
      <c r="N120" s="427"/>
    </row>
    <row r="121" spans="1:19" ht="13" thickBot="1">
      <c r="A121" s="85" t="s">
        <v>12</v>
      </c>
      <c r="B121" s="95" t="s">
        <v>24</v>
      </c>
      <c r="C121" s="97" t="s">
        <v>42</v>
      </c>
      <c r="D121" s="247">
        <v>3435830.5027295714</v>
      </c>
      <c r="E121" s="248"/>
      <c r="F121" s="93">
        <v>3435830.5027295714</v>
      </c>
      <c r="G121" s="405"/>
      <c r="H121" s="92">
        <f>D121/D$129</f>
        <v>0.87067669894356248</v>
      </c>
      <c r="I121" s="92">
        <f>E121/E$129</f>
        <v>0</v>
      </c>
      <c r="J121" s="92">
        <f t="shared" ref="J121:J129" si="34">F121/F$129</f>
        <v>0.74792799749283057</v>
      </c>
      <c r="L121" s="85">
        <f>SUMIFS('Census 2011_17'!$E$258:$E$299,'Census 2011_17'!$A$258:$A$299,'Census 2011_17'!$B$48,'Census 2011_17'!$C$258:$C$299,'Census 2011_17'!$C121)</f>
        <v>14012036.5</v>
      </c>
      <c r="M121" s="411">
        <f t="shared" ref="M121:M128" si="35">SUMIFS($E$95:$E$106,$C$95:$C$106,A121,$B$95:$B$106,B121)</f>
        <v>5573103.0004989337</v>
      </c>
      <c r="N121" s="427">
        <f>SUMPRODUCT('2017 end use splits'!$F$31:$M$33*('2017 end use splits'!$C$31:$C$33='Census 2011_17'!B121)*('2017 end use splits'!$F$19:$M$19='Census 2011_17'!C121))</f>
        <v>0.75309254301418516</v>
      </c>
      <c r="O121" s="85">
        <f>N121*M121</f>
        <v>4197062.3111257274</v>
      </c>
      <c r="P121" s="427">
        <f>$N121*(1+B$21)</f>
        <v>0.77571764087298034</v>
      </c>
      <c r="Q121" s="427">
        <f>$N121*(1+C$21)</f>
        <v>0.81881306536592369</v>
      </c>
      <c r="R121" s="427">
        <f>$N121*(1+D$21)</f>
        <v>0.81881306536592369</v>
      </c>
      <c r="S121" s="427">
        <f>$N121*(1+E$21)</f>
        <v>0.86190848985886703</v>
      </c>
    </row>
    <row r="122" spans="1:19" ht="13" thickBot="1">
      <c r="A122" s="85" t="s">
        <v>12</v>
      </c>
      <c r="B122" s="95" t="s">
        <v>24</v>
      </c>
      <c r="C122" s="221" t="s">
        <v>43</v>
      </c>
      <c r="D122" s="247">
        <v>73962.121062686681</v>
      </c>
      <c r="E122" s="247">
        <v>57752.052872689572</v>
      </c>
      <c r="F122" s="93">
        <v>131714.17393537625</v>
      </c>
      <c r="G122" s="405"/>
      <c r="H122" s="92">
        <f t="shared" ref="H122:H128" si="36">D122/D$129</f>
        <v>1.87428033375233E-2</v>
      </c>
      <c r="I122" s="92">
        <f t="shared" ref="I122:I128" si="37">E122/E$129</f>
        <v>8.9173436127073388E-2</v>
      </c>
      <c r="J122" s="92">
        <f t="shared" si="34"/>
        <v>2.8672170607556342E-2</v>
      </c>
      <c r="L122" s="85">
        <f>SUMIFS('Census 2011_17'!$E$258:$E$299,'Census 2011_17'!$A$258:$A$299,'Census 2011_17'!$B$48,'Census 2011_17'!$C$258:$C$299,'Census 2011_17'!$C122)</f>
        <v>502216.2</v>
      </c>
      <c r="M122" s="411">
        <f t="shared" si="35"/>
        <v>5573103.0004989337</v>
      </c>
      <c r="N122" s="427">
        <f>SUMPRODUCT('2017 end use splits'!$F$31:$M$33*('2017 end use splits'!$C$31:$C$33='Census 2011_17'!B122)*('2017 end use splits'!$F$19:$M$19='Census 2011_17'!C122))</f>
        <v>3.6863107379415352E-2</v>
      </c>
      <c r="O122" s="85">
        <f t="shared" ref="O122:O128" si="38">N122*M122</f>
        <v>205441.89434393408</v>
      </c>
      <c r="P122" s="445">
        <f>$N122-($N121*B$21)*$N122/(1-$N121)</f>
        <v>3.3485196391953902E-2</v>
      </c>
      <c r="Q122" s="445">
        <f>$N122-($N121*C$21)*$N122/(1-$N121)</f>
        <v>2.7051080225360666E-2</v>
      </c>
      <c r="R122" s="445">
        <f>$N122-($N121*D$21)*$N122/(1-$N121)</f>
        <v>2.7051080225360666E-2</v>
      </c>
      <c r="S122" s="445">
        <f>$N122-($N121*E$21)*$N122/(1-$N121)</f>
        <v>2.0616964058767416E-2</v>
      </c>
    </row>
    <row r="123" spans="1:19" ht="13" thickBot="1">
      <c r="A123" s="85" t="s">
        <v>12</v>
      </c>
      <c r="B123" s="95" t="s">
        <v>24</v>
      </c>
      <c r="C123" s="97" t="s">
        <v>17</v>
      </c>
      <c r="D123" s="247">
        <v>50478.666830000009</v>
      </c>
      <c r="E123" s="247">
        <v>317718.78602899984</v>
      </c>
      <c r="F123" s="93">
        <v>368197.45285899984</v>
      </c>
      <c r="G123" s="405"/>
      <c r="H123" s="92">
        <f t="shared" si="36"/>
        <v>1.2791841439122233E-2</v>
      </c>
      <c r="I123" s="92">
        <f t="shared" si="37"/>
        <v>0.49058127742721852</v>
      </c>
      <c r="J123" s="92">
        <f t="shared" si="34"/>
        <v>8.0150980492202636E-2</v>
      </c>
      <c r="L123" s="85">
        <f>SUMIFS('Census 2011_17'!$E$258:$E$299,'Census 2011_17'!$A$258:$A$299,'Census 2011_17'!$B$48,'Census 2011_17'!$C$258:$C$299,'Census 2011_17'!$C123)</f>
        <v>908943</v>
      </c>
      <c r="M123" s="411">
        <f t="shared" si="35"/>
        <v>5573103.0004989337</v>
      </c>
      <c r="N123" s="427">
        <f>SUMPRODUCT('2017 end use splits'!$F$31:$M$33*('2017 end use splits'!$C$31:$C$33='Census 2011_17'!B123)*('2017 end use splits'!$F$19:$M$19='Census 2011_17'!C123))</f>
        <v>7.7036809777387472E-2</v>
      </c>
      <c r="O123" s="85">
        <f t="shared" si="38"/>
        <v>429334.07571922371</v>
      </c>
      <c r="P123" s="445">
        <f>$N123-($N121*B$21)*$N123/(1-$N121)</f>
        <v>6.9977625007431654E-2</v>
      </c>
      <c r="Q123" s="445">
        <f>$N123-($N121*C$21)*$N123/(1-$N121)</f>
        <v>5.6531558778944377E-2</v>
      </c>
      <c r="R123" s="445">
        <f>$N123-($N121*D$21)*$N123/(1-$N121)</f>
        <v>5.6531558778944377E-2</v>
      </c>
      <c r="S123" s="445">
        <f>$N123-($N121*E$21)*$N123/(1-$N121)</f>
        <v>4.3085492550457086E-2</v>
      </c>
    </row>
    <row r="124" spans="1:19" ht="13" thickBot="1">
      <c r="A124" s="85" t="s">
        <v>12</v>
      </c>
      <c r="B124" s="95" t="s">
        <v>24</v>
      </c>
      <c r="C124" s="97" t="s">
        <v>7</v>
      </c>
      <c r="D124" s="247">
        <v>338359.32668999332</v>
      </c>
      <c r="E124" s="247">
        <v>249657.18981784984</v>
      </c>
      <c r="F124" s="93">
        <v>588016.51650784316</v>
      </c>
      <c r="G124" s="405"/>
      <c r="H124" s="92">
        <f t="shared" si="36"/>
        <v>8.5743921705440845E-2</v>
      </c>
      <c r="I124" s="92">
        <f t="shared" si="37"/>
        <v>0.38548914475756313</v>
      </c>
      <c r="J124" s="92">
        <f t="shared" si="34"/>
        <v>0.12800224438750102</v>
      </c>
      <c r="L124" s="85">
        <f>SUMIFS('Census 2011_17'!$E$258:$E$299,'Census 2011_17'!$A$258:$A$299,'Census 2011_17'!$B$48,'Census 2011_17'!$C$258:$C$299,'Census 2011_17'!$C124)</f>
        <v>1353990.6</v>
      </c>
      <c r="M124" s="411">
        <f t="shared" si="35"/>
        <v>5573103.0004989337</v>
      </c>
      <c r="N124" s="427">
        <f>SUMPRODUCT('2017 end use splits'!$F$31:$M$33*('2017 end use splits'!$C$31:$C$33='Census 2011_17'!B124)*('2017 end use splits'!$F$19:$M$19='Census 2011_17'!C124))</f>
        <v>0.12444345885982941</v>
      </c>
      <c r="O124" s="85">
        <f t="shared" si="38"/>
        <v>693536.2139641809</v>
      </c>
      <c r="P124" s="445">
        <f>$N124-($N121*B$21)*$N124/(1-$N121)</f>
        <v>0.11304021705837844</v>
      </c>
      <c r="Q124" s="445">
        <f>$N124-($N121*C$21)*$N124/(1-$N121)</f>
        <v>9.1319756484186138E-2</v>
      </c>
      <c r="R124" s="445">
        <f>$N124-($N121*D$21)*$N124/(1-$N121)</f>
        <v>9.1319756484186138E-2</v>
      </c>
      <c r="S124" s="445">
        <f>$N124-($N121*E$21)*$N124/(1-$N121)</f>
        <v>6.959929590999378E-2</v>
      </c>
    </row>
    <row r="125" spans="1:19" ht="13" thickBot="1">
      <c r="A125" s="85" t="s">
        <v>12</v>
      </c>
      <c r="B125" s="95" t="s">
        <v>24</v>
      </c>
      <c r="C125" s="97" t="s">
        <v>9</v>
      </c>
      <c r="D125" s="247">
        <v>29014.308878413671</v>
      </c>
      <c r="E125" s="247">
        <v>12316.444068976714</v>
      </c>
      <c r="F125" s="93">
        <v>41330.752947390385</v>
      </c>
      <c r="G125" s="405"/>
      <c r="H125" s="92">
        <f t="shared" si="36"/>
        <v>7.3525404283816759E-3</v>
      </c>
      <c r="I125" s="92">
        <f t="shared" si="37"/>
        <v>1.9017499532331655E-2</v>
      </c>
      <c r="J125" s="92">
        <f t="shared" si="34"/>
        <v>8.9970757469713461E-3</v>
      </c>
      <c r="L125" s="85">
        <f>SUMIFS('Census 2011_17'!$E$258:$E$299,'Census 2011_17'!$A$258:$A$299,'Census 2011_17'!$B$48,'Census 2011_17'!$C$258:$C$299,'Census 2011_17'!$C125)</f>
        <v>48580.5</v>
      </c>
      <c r="M125" s="411">
        <f t="shared" si="35"/>
        <v>5573103.0004989337</v>
      </c>
      <c r="N125" s="427">
        <f>SUMPRODUCT('2017 end use splits'!$F$31:$M$33*('2017 end use splits'!$C$31:$C$33='Census 2011_17'!B125)*('2017 end use splits'!$F$19:$M$19='Census 2011_17'!C125))</f>
        <v>5.447659429888378E-3</v>
      </c>
      <c r="O125" s="85">
        <f t="shared" si="38"/>
        <v>30360.367114407229</v>
      </c>
      <c r="P125" s="445">
        <f>$N125-($N121*B$21)*$N125/(1-$N121)</f>
        <v>4.9484690481669605E-3</v>
      </c>
      <c r="Q125" s="445">
        <f>$N125-($N121*C$21)*$N125/(1-$N121)</f>
        <v>3.9976302258404525E-3</v>
      </c>
      <c r="R125" s="445">
        <f>$N125-($N121*D$21)*$N125/(1-$N121)</f>
        <v>3.9976302258404525E-3</v>
      </c>
      <c r="S125" s="445">
        <f>$N125-($N121*E$21)*$N125/(1-$N121)</f>
        <v>3.0467914035139424E-3</v>
      </c>
    </row>
    <row r="126" spans="1:19" ht="13" thickBot="1">
      <c r="A126" s="85" t="s">
        <v>12</v>
      </c>
      <c r="B126" s="95" t="s">
        <v>24</v>
      </c>
      <c r="C126" s="97" t="s">
        <v>46</v>
      </c>
      <c r="D126" s="247">
        <v>7237.2359700000006</v>
      </c>
      <c r="E126" s="247">
        <v>7940.4844894999014</v>
      </c>
      <c r="F126" s="93">
        <v>15177.720459499902</v>
      </c>
      <c r="G126" s="405"/>
      <c r="H126" s="92">
        <f t="shared" si="36"/>
        <v>1.8339940572822768E-3</v>
      </c>
      <c r="I126" s="92">
        <f t="shared" si="37"/>
        <v>1.2260694663155105E-2</v>
      </c>
      <c r="J126" s="92">
        <f t="shared" si="34"/>
        <v>3.3039586966706696E-3</v>
      </c>
      <c r="L126" s="85">
        <f>SUMIFS('Census 2011_17'!$E$258:$E$299,'Census 2011_17'!$A$258:$A$299,'Census 2011_17'!$B$48,'Census 2011_17'!$C$258:$C$299,'Census 2011_17'!$C126)</f>
        <v>8490.6</v>
      </c>
      <c r="M126" s="411">
        <f t="shared" si="35"/>
        <v>5573103.0004989337</v>
      </c>
      <c r="N126" s="427">
        <f>SUMPRODUCT('2017 end use splits'!$F$31:$M$33*('2017 end use splits'!$C$31:$C$33='Census 2011_17'!B126)*('2017 end use splits'!$F$19:$M$19='Census 2011_17'!C126))</f>
        <v>8.0291754104411055E-4</v>
      </c>
      <c r="O126" s="85">
        <f t="shared" si="38"/>
        <v>4474.7421571461582</v>
      </c>
      <c r="P126" s="445">
        <f>$N126-($N121*B$21)*$N126/(1-$N121)</f>
        <v>7.293430603037013E-4</v>
      </c>
      <c r="Q126" s="445">
        <f>$N126-($N121*C$21)*$N126/(1-$N121)</f>
        <v>5.8920119222673141E-4</v>
      </c>
      <c r="R126" s="445">
        <f>$N126-($N121*D$21)*$N126/(1-$N121)</f>
        <v>5.8920119222673141E-4</v>
      </c>
      <c r="S126" s="445">
        <f>$N126-($N121*E$21)*$N126/(1-$N121)</f>
        <v>4.4905932414976137E-4</v>
      </c>
    </row>
    <row r="127" spans="1:19" ht="13" thickBot="1">
      <c r="A127" s="85" t="s">
        <v>12</v>
      </c>
      <c r="B127" s="95" t="s">
        <v>24</v>
      </c>
      <c r="C127" s="97" t="s">
        <v>44</v>
      </c>
      <c r="D127" s="247">
        <v>5182.070999999999</v>
      </c>
      <c r="E127" s="247">
        <v>1590.0355546283809</v>
      </c>
      <c r="F127" s="93">
        <v>6772.1065546283799</v>
      </c>
      <c r="G127" s="405"/>
      <c r="H127" s="92">
        <f t="shared" si="36"/>
        <v>1.3131929728159497E-3</v>
      </c>
      <c r="I127" s="92">
        <f t="shared" si="37"/>
        <v>2.4551323618399088E-3</v>
      </c>
      <c r="J127" s="92">
        <f t="shared" si="34"/>
        <v>1.4741845065370323E-3</v>
      </c>
      <c r="L127" s="85">
        <f>SUMIFS('Census 2011_17'!$E$258:$E$299,'Census 2011_17'!$A$258:$A$299,'Census 2011_17'!$B$48,'Census 2011_17'!$C$258:$C$299,'Census 2011_17'!$C127)</f>
        <v>12039.7</v>
      </c>
      <c r="M127" s="411">
        <f t="shared" si="35"/>
        <v>5573103.0004989337</v>
      </c>
      <c r="N127" s="427">
        <f>SUMPRODUCT('2017 end use splits'!$F$31:$M$33*('2017 end use splits'!$C$31:$C$33='Census 2011_17'!B127)*('2017 end use splits'!$F$19:$M$19='Census 2011_17'!C127))</f>
        <v>1.0359708685239435E-3</v>
      </c>
      <c r="O127" s="85">
        <f t="shared" si="38"/>
        <v>5773.5723558002755</v>
      </c>
      <c r="P127" s="445">
        <f>$N127-($N121*B$21)*$N127/(1-$N121)</f>
        <v>9.4104079810261175E-4</v>
      </c>
      <c r="Q127" s="445">
        <f>$N127-($N121*C$21)*$N127/(1-$N121)</f>
        <v>7.602216163476944E-4</v>
      </c>
      <c r="R127" s="445">
        <f>$N127-($N121*D$21)*$N127/(1-$N121)</f>
        <v>7.602216163476944E-4</v>
      </c>
      <c r="S127" s="445">
        <f>$N127-($N121*E$21)*$N127/(1-$N121)</f>
        <v>5.7940243459277661E-4</v>
      </c>
    </row>
    <row r="128" spans="1:19" ht="13" thickBot="1">
      <c r="A128" s="85" t="s">
        <v>12</v>
      </c>
      <c r="B128" s="95" t="s">
        <v>24</v>
      </c>
      <c r="C128" s="97" t="s">
        <v>41</v>
      </c>
      <c r="D128" s="247">
        <v>6096.8469491438664</v>
      </c>
      <c r="E128" s="247">
        <v>662.41333831557586</v>
      </c>
      <c r="F128" s="93">
        <v>6759.2602874594422</v>
      </c>
      <c r="G128" s="405"/>
      <c r="H128" s="92">
        <f t="shared" si="36"/>
        <v>1.5450071158712585E-3</v>
      </c>
      <c r="I128" s="92">
        <f t="shared" si="37"/>
        <v>1.0228151308183018E-3</v>
      </c>
      <c r="J128" s="92">
        <f t="shared" si="34"/>
        <v>1.4713880697304761E-3</v>
      </c>
      <c r="L128" s="85">
        <f>SUMIFS('Census 2011_17'!$E$258:$E$299,'Census 2011_17'!$A$258:$A$299,'Census 2011_17'!$B$48,'Census 2011_17'!$C$258:$C$299,'Census 2011_17'!$C128)</f>
        <v>19606.3</v>
      </c>
      <c r="M128" s="411">
        <f t="shared" si="35"/>
        <v>5573103.0004989337</v>
      </c>
      <c r="N128" s="427">
        <f>SUMPRODUCT('2017 end use splits'!$F$31:$M$33*('2017 end use splits'!$C$31:$C$33='Census 2011_17'!B128)*('2017 end use splits'!$F$19:$M$19='Census 2011_17'!C128))</f>
        <v>1.2775331297260909E-3</v>
      </c>
      <c r="O128" s="85">
        <f t="shared" si="38"/>
        <v>7119.8237185132712</v>
      </c>
      <c r="P128" s="445">
        <f>$N128-($N121*B$21)*$N128/(1-$N121)</f>
        <v>1.1604677626822499E-3</v>
      </c>
      <c r="Q128" s="445">
        <f>$N128-($N121*C$21)*$N128/(1-$N121)</f>
        <v>9.374861111701722E-4</v>
      </c>
      <c r="R128" s="445">
        <f>$N128-($N121*D$21)*$N128/(1-$N121)</f>
        <v>9.374861111701722E-4</v>
      </c>
      <c r="S128" s="445">
        <f>$N128-($N121*E$21)*$N128/(1-$N121)</f>
        <v>7.1450445965809406E-4</v>
      </c>
    </row>
    <row r="129" spans="1:19" ht="13" thickBot="1">
      <c r="A129" s="85" t="s">
        <v>12</v>
      </c>
      <c r="B129" s="95" t="s">
        <v>24</v>
      </c>
      <c r="C129" s="259" t="s">
        <v>429</v>
      </c>
      <c r="D129" s="93">
        <v>3946161.0801098091</v>
      </c>
      <c r="E129" s="93">
        <v>647637.40617095982</v>
      </c>
      <c r="F129" s="93">
        <v>4593798.4862807682</v>
      </c>
      <c r="G129" s="405"/>
      <c r="H129" s="94">
        <f t="shared" ref="H129" si="39">D129/D$129</f>
        <v>1</v>
      </c>
      <c r="I129" s="94">
        <f t="shared" ref="I129" si="40">E129/E$129</f>
        <v>1</v>
      </c>
      <c r="J129" s="94">
        <f t="shared" si="34"/>
        <v>1</v>
      </c>
      <c r="L129">
        <f>SUM(L121:L128)</f>
        <v>16865903.399999999</v>
      </c>
      <c r="N129" s="427"/>
      <c r="P129" s="444">
        <f>SUM(P121:P128)</f>
        <v>0.99999999999999989</v>
      </c>
      <c r="Q129" s="444">
        <f t="shared" ref="Q129" si="41">SUM(Q121:Q128)</f>
        <v>0.99999999999999978</v>
      </c>
      <c r="R129" s="444">
        <f t="shared" ref="R129" si="42">SUM(R121:R128)</f>
        <v>0.99999999999999978</v>
      </c>
      <c r="S129" s="444">
        <f t="shared" ref="S129" si="43">SUM(S121:S128)</f>
        <v>1</v>
      </c>
    </row>
    <row r="130" spans="1:19" ht="13" thickBot="1">
      <c r="A130" s="85" t="s">
        <v>12</v>
      </c>
      <c r="B130" s="260" t="s">
        <v>297</v>
      </c>
      <c r="C130" s="96"/>
      <c r="D130" s="89" t="s">
        <v>34</v>
      </c>
      <c r="E130" s="89" t="s">
        <v>33</v>
      </c>
      <c r="F130" s="89" t="s">
        <v>27</v>
      </c>
      <c r="G130" s="405"/>
      <c r="H130" s="89" t="s">
        <v>34</v>
      </c>
      <c r="I130" s="90" t="s">
        <v>33</v>
      </c>
      <c r="J130" s="89" t="s">
        <v>27</v>
      </c>
      <c r="L130"/>
      <c r="N130" s="427"/>
    </row>
    <row r="131" spans="1:19" ht="13" thickBot="1">
      <c r="A131" s="85" t="s">
        <v>12</v>
      </c>
      <c r="B131" s="98" t="s">
        <v>25</v>
      </c>
      <c r="C131" s="261" t="s">
        <v>42</v>
      </c>
      <c r="D131" s="247">
        <v>3087798.6671653627</v>
      </c>
      <c r="E131" s="248"/>
      <c r="F131" s="93">
        <v>3087798.6671653627</v>
      </c>
      <c r="G131" s="405"/>
      <c r="H131" s="92">
        <f t="shared" ref="H131:H139" si="44">D131/D$139</f>
        <v>0.91979349224126783</v>
      </c>
      <c r="I131" s="92">
        <f t="shared" ref="I131:I139" si="45">E131/E$139</f>
        <v>0</v>
      </c>
      <c r="J131" s="92">
        <f t="shared" ref="J131:J139" si="46">F131/F$139</f>
        <v>0.89612430369186447</v>
      </c>
      <c r="L131" s="85">
        <f>SUMIFS('Census 2011_17'!$E$258:$E$299,'Census 2011_17'!$A$258:$A$299,'Census 2011_17'!$B$48,'Census 2011_17'!$C$258:$C$299,'Census 2011_17'!$C131)</f>
        <v>14012036.5</v>
      </c>
      <c r="M131" s="411">
        <f t="shared" ref="M131:M138" si="47">SUMIFS($E$95:$E$106,$C$95:$C$106,A131,$B$95:$B$106,B131)</f>
        <v>4176066.0172229088</v>
      </c>
      <c r="N131" s="427">
        <f>SUMPRODUCT('2017 end use splits'!$F$31:$M$33*('2017 end use splits'!$C$31:$C$33='Census 2011_17'!B131)*('2017 end use splits'!$F$19:$M$19='Census 2011_17'!C131))</f>
        <v>0.88416923904443656</v>
      </c>
      <c r="O131" s="85">
        <f>N131*M131</f>
        <v>3692349.1126473104</v>
      </c>
    </row>
    <row r="132" spans="1:19" ht="13" thickBot="1">
      <c r="A132" s="85" t="s">
        <v>12</v>
      </c>
      <c r="B132" s="98" t="s">
        <v>25</v>
      </c>
      <c r="C132" s="221" t="s">
        <v>43</v>
      </c>
      <c r="D132" s="247">
        <v>194467.00273354075</v>
      </c>
      <c r="E132" s="247">
        <v>21161.233659043472</v>
      </c>
      <c r="F132" s="93">
        <v>215628.23639258422</v>
      </c>
      <c r="G132" s="405"/>
      <c r="H132" s="92">
        <f t="shared" si="44"/>
        <v>5.7927832365501995E-2</v>
      </c>
      <c r="I132" s="92">
        <f t="shared" si="45"/>
        <v>0.23865318042983244</v>
      </c>
      <c r="J132" s="92">
        <f t="shared" si="46"/>
        <v>6.2578465768623623E-2</v>
      </c>
      <c r="L132" s="85">
        <f>SUMIFS('Census 2011_17'!$E$258:$E$299,'Census 2011_17'!$A$258:$A$299,'Census 2011_17'!$B$48,'Census 2011_17'!$C$258:$C$299,'Census 2011_17'!$C132)</f>
        <v>502216.2</v>
      </c>
      <c r="M132" s="411">
        <f t="shared" si="47"/>
        <v>4176066.0172229088</v>
      </c>
      <c r="N132" s="427">
        <f>SUMPRODUCT('2017 end use splits'!$F$31:$M$33*('2017 end use splits'!$C$31:$C$33='Census 2011_17'!B132)*('2017 end use splits'!$F$19:$M$19='Census 2011_17'!C132))</f>
        <v>7.8837867655196972E-2</v>
      </c>
      <c r="O132" s="85">
        <f t="shared" ref="O132:O138" si="48">N132*M132</f>
        <v>329232.13998518517</v>
      </c>
    </row>
    <row r="133" spans="1:19" ht="13" thickBot="1">
      <c r="A133" s="85" t="s">
        <v>12</v>
      </c>
      <c r="B133" s="98" t="s">
        <v>25</v>
      </c>
      <c r="C133" s="262" t="s">
        <v>17</v>
      </c>
      <c r="D133" s="247">
        <v>7763.0314699999999</v>
      </c>
      <c r="E133" s="247">
        <v>38895.196796917655</v>
      </c>
      <c r="F133" s="93">
        <v>46658.228266917657</v>
      </c>
      <c r="G133" s="405"/>
      <c r="H133" s="92">
        <f t="shared" si="44"/>
        <v>2.312451877804949E-3</v>
      </c>
      <c r="I133" s="92">
        <f t="shared" si="45"/>
        <v>0.4386541242628203</v>
      </c>
      <c r="J133" s="92">
        <f t="shared" si="46"/>
        <v>1.354089978786447E-2</v>
      </c>
      <c r="L133" s="85">
        <f>SUMIFS('Census 2011_17'!$E$258:$E$299,'Census 2011_17'!$A$258:$A$299,'Census 2011_17'!$B$48,'Census 2011_17'!$C$258:$C$299,'Census 2011_17'!$C133)</f>
        <v>908943</v>
      </c>
      <c r="M133" s="411">
        <f t="shared" si="47"/>
        <v>4176066.0172229088</v>
      </c>
      <c r="N133" s="427">
        <f>SUMPRODUCT('2017 end use splits'!$F$31:$M$33*('2017 end use splits'!$C$31:$C$33='Census 2011_17'!B133)*('2017 end use splits'!$F$19:$M$19='Census 2011_17'!C133))</f>
        <v>1.2753094063689891E-2</v>
      </c>
      <c r="O133" s="85">
        <f t="shared" si="48"/>
        <v>53257.762733822565</v>
      </c>
    </row>
    <row r="134" spans="1:19" ht="13" thickBot="1">
      <c r="A134" s="85" t="s">
        <v>12</v>
      </c>
      <c r="B134" s="98" t="s">
        <v>25</v>
      </c>
      <c r="C134" s="262" t="s">
        <v>7</v>
      </c>
      <c r="D134" s="247">
        <v>41227.469364778561</v>
      </c>
      <c r="E134" s="247">
        <v>24491.233262301277</v>
      </c>
      <c r="F134" s="93">
        <v>65718.702627079838</v>
      </c>
      <c r="G134" s="405"/>
      <c r="H134" s="92">
        <f t="shared" si="44"/>
        <v>1.2280838911725834E-2</v>
      </c>
      <c r="I134" s="92">
        <f t="shared" si="45"/>
        <v>0.27620841038250232</v>
      </c>
      <c r="J134" s="92">
        <f t="shared" si="46"/>
        <v>1.9072528030232076E-2</v>
      </c>
      <c r="L134" s="85">
        <f>SUMIFS('Census 2011_17'!$E$258:$E$299,'Census 2011_17'!$A$258:$A$299,'Census 2011_17'!$B$48,'Census 2011_17'!$C$258:$C$299,'Census 2011_17'!$C134)</f>
        <v>1353990.6</v>
      </c>
      <c r="M134" s="411">
        <f t="shared" si="47"/>
        <v>4176066.0172229088</v>
      </c>
      <c r="N134" s="427">
        <f>SUMPRODUCT('2017 end use splits'!$F$31:$M$33*('2017 end use splits'!$C$31:$C$33='Census 2011_17'!B134)*('2017 end use splits'!$F$19:$M$19='Census 2011_17'!C134))</f>
        <v>1.8169431528736794E-2</v>
      </c>
      <c r="O134" s="85">
        <f t="shared" si="48"/>
        <v>75876.745559416202</v>
      </c>
    </row>
    <row r="135" spans="1:19" ht="13" thickBot="1">
      <c r="A135" s="85" t="s">
        <v>12</v>
      </c>
      <c r="B135" s="98" t="s">
        <v>25</v>
      </c>
      <c r="C135" s="262" t="s">
        <v>9</v>
      </c>
      <c r="D135" s="247">
        <v>6714.5568024505455</v>
      </c>
      <c r="E135" s="247">
        <v>1862.9327643628067</v>
      </c>
      <c r="F135" s="93">
        <v>8577.4895668133522</v>
      </c>
      <c r="G135" s="405"/>
      <c r="H135" s="92">
        <f t="shared" si="44"/>
        <v>2.0001322352561275E-3</v>
      </c>
      <c r="I135" s="92">
        <f t="shared" si="45"/>
        <v>2.1009872879132509E-2</v>
      </c>
      <c r="J135" s="92">
        <f t="shared" si="46"/>
        <v>2.4893128386965545E-3</v>
      </c>
      <c r="L135" s="85">
        <f>SUMIFS('Census 2011_17'!$E$258:$E$299,'Census 2011_17'!$A$258:$A$299,'Census 2011_17'!$B$48,'Census 2011_17'!$C$258:$C$299,'Census 2011_17'!$C135)</f>
        <v>48580.5</v>
      </c>
      <c r="M135" s="411">
        <f t="shared" si="47"/>
        <v>4176066.0172229088</v>
      </c>
      <c r="N135" s="427">
        <f>SUMPRODUCT('2017 end use splits'!$F$31:$M$33*('2017 end use splits'!$C$31:$C$33='Census 2011_17'!B135)*('2017 end use splits'!$F$19:$M$19='Census 2011_17'!C135))</f>
        <v>1.4769528799417583E-3</v>
      </c>
      <c r="O135" s="85">
        <f t="shared" si="48"/>
        <v>6167.8527309642832</v>
      </c>
    </row>
    <row r="136" spans="1:19" ht="13" thickBot="1">
      <c r="A136" s="85" t="s">
        <v>12</v>
      </c>
      <c r="B136" s="98" t="s">
        <v>25</v>
      </c>
      <c r="C136" s="262" t="s">
        <v>46</v>
      </c>
      <c r="D136" s="247">
        <v>1386.1529300000007</v>
      </c>
      <c r="E136" s="247">
        <v>724.32328345881842</v>
      </c>
      <c r="F136" s="93">
        <v>2110.4762134588191</v>
      </c>
      <c r="G136" s="405"/>
      <c r="H136" s="92">
        <f t="shared" si="44"/>
        <v>4.1290724613065802E-4</v>
      </c>
      <c r="I136" s="92">
        <f t="shared" si="45"/>
        <v>8.1688080214052973E-3</v>
      </c>
      <c r="J136" s="92">
        <f t="shared" si="46"/>
        <v>6.1249104332965361E-4</v>
      </c>
      <c r="L136" s="85">
        <f>SUMIFS('Census 2011_17'!$E$258:$E$299,'Census 2011_17'!$A$258:$A$299,'Census 2011_17'!$B$48,'Census 2011_17'!$C$258:$C$299,'Census 2011_17'!$C136)</f>
        <v>8490.6</v>
      </c>
      <c r="M136" s="411">
        <f t="shared" si="47"/>
        <v>4176066.0172229088</v>
      </c>
      <c r="N136" s="427">
        <f>SUMPRODUCT('2017 end use splits'!$F$31:$M$33*('2017 end use splits'!$C$31:$C$33='Census 2011_17'!B136)*('2017 end use splits'!$F$19:$M$19='Census 2011_17'!C136))</f>
        <v>1.4585276525205519E-4</v>
      </c>
      <c r="O136" s="85">
        <f t="shared" si="48"/>
        <v>609.09077648709797</v>
      </c>
    </row>
    <row r="137" spans="1:19" ht="13" thickBot="1">
      <c r="A137" s="85" t="s">
        <v>12</v>
      </c>
      <c r="B137" s="98" t="s">
        <v>25</v>
      </c>
      <c r="C137" s="262" t="s">
        <v>44</v>
      </c>
      <c r="D137" s="247">
        <v>5205.0879999999961</v>
      </c>
      <c r="E137" s="247">
        <v>1201.9050225828205</v>
      </c>
      <c r="F137" s="93">
        <v>6406.9930225828166</v>
      </c>
      <c r="G137" s="405"/>
      <c r="H137" s="92">
        <f t="shared" si="44"/>
        <v>1.5504916560308622E-3</v>
      </c>
      <c r="I137" s="92">
        <f t="shared" si="45"/>
        <v>1.3554902367017545E-2</v>
      </c>
      <c r="J137" s="92">
        <f t="shared" si="46"/>
        <v>1.85940301813505E-3</v>
      </c>
      <c r="L137" s="85">
        <f>SUMIFS('Census 2011_17'!$E$258:$E$299,'Census 2011_17'!$A$258:$A$299,'Census 2011_17'!$B$48,'Census 2011_17'!$C$258:$C$299,'Census 2011_17'!$C137)</f>
        <v>12039.7</v>
      </c>
      <c r="M137" s="411">
        <f t="shared" si="47"/>
        <v>4176066.0172229088</v>
      </c>
      <c r="N137" s="427">
        <f>SUMPRODUCT('2017 end use splits'!$F$31:$M$33*('2017 end use splits'!$C$31:$C$33='Census 2011_17'!B137)*('2017 end use splits'!$F$19:$M$19='Census 2011_17'!C137))</f>
        <v>1.2804063551477341E-3</v>
      </c>
      <c r="O137" s="85">
        <f t="shared" si="48"/>
        <v>5347.0614679686996</v>
      </c>
    </row>
    <row r="138" spans="1:19" ht="13" thickBot="1">
      <c r="A138" s="85" t="s">
        <v>12</v>
      </c>
      <c r="B138" s="98" t="s">
        <v>25</v>
      </c>
      <c r="C138" s="262" t="s">
        <v>41</v>
      </c>
      <c r="D138" s="247">
        <v>12494.472150011201</v>
      </c>
      <c r="E138" s="247">
        <v>332.57245519341814</v>
      </c>
      <c r="F138" s="93">
        <v>12827.044605204619</v>
      </c>
      <c r="G138" s="405"/>
      <c r="H138" s="92">
        <f t="shared" si="44"/>
        <v>3.7218534662819091E-3</v>
      </c>
      <c r="I138" s="92">
        <f t="shared" si="45"/>
        <v>3.7507016572896176E-3</v>
      </c>
      <c r="J138" s="92">
        <f t="shared" si="46"/>
        <v>3.7225958212540084E-3</v>
      </c>
      <c r="L138" s="85">
        <f>SUMIFS('Census 2011_17'!$E$258:$E$299,'Census 2011_17'!$A$258:$A$299,'Census 2011_17'!$B$48,'Census 2011_17'!$C$258:$C$299,'Census 2011_17'!$C138)</f>
        <v>19606.3</v>
      </c>
      <c r="M138" s="411">
        <f t="shared" si="47"/>
        <v>4176066.0172229088</v>
      </c>
      <c r="N138" s="427">
        <f>SUMPRODUCT('2017 end use splits'!$F$31:$M$33*('2017 end use splits'!$C$31:$C$33='Census 2011_17'!B138)*('2017 end use splits'!$F$19:$M$19='Census 2011_17'!C138))</f>
        <v>3.1671557075982526E-3</v>
      </c>
      <c r="O138" s="85">
        <f t="shared" si="48"/>
        <v>13226.251321754638</v>
      </c>
    </row>
    <row r="139" spans="1:19" ht="13" thickBot="1">
      <c r="A139" s="85" t="s">
        <v>12</v>
      </c>
      <c r="B139" s="98" t="s">
        <v>25</v>
      </c>
      <c r="C139" s="259" t="s">
        <v>429</v>
      </c>
      <c r="D139" s="93">
        <v>3357056.4406161434</v>
      </c>
      <c r="E139" s="93">
        <v>88669.397243860265</v>
      </c>
      <c r="F139" s="93">
        <v>3445725.8378600045</v>
      </c>
      <c r="G139" s="405"/>
      <c r="H139" s="94">
        <f t="shared" si="44"/>
        <v>1</v>
      </c>
      <c r="I139" s="94">
        <f t="shared" si="45"/>
        <v>1</v>
      </c>
      <c r="J139" s="94">
        <f t="shared" si="46"/>
        <v>1</v>
      </c>
      <c r="L139">
        <f>SUM(L131:L138)</f>
        <v>16865903.399999999</v>
      </c>
    </row>
    <row r="140" spans="1:19" ht="13" thickBot="1">
      <c r="A140" s="85" t="s">
        <v>323</v>
      </c>
      <c r="B140" s="99" t="s">
        <v>40</v>
      </c>
      <c r="C140" s="100"/>
      <c r="D140" s="101"/>
      <c r="E140" s="101"/>
      <c r="F140" s="103"/>
      <c r="G140" s="405"/>
      <c r="H140" s="101"/>
      <c r="I140" s="102"/>
      <c r="J140" s="103"/>
      <c r="L140"/>
    </row>
    <row r="141" spans="1:19" ht="13" thickBot="1">
      <c r="A141" s="85" t="s">
        <v>13</v>
      </c>
      <c r="B141" s="258" t="s">
        <v>295</v>
      </c>
      <c r="C141" s="104"/>
      <c r="D141" s="89" t="s">
        <v>34</v>
      </c>
      <c r="E141" s="89" t="s">
        <v>33</v>
      </c>
      <c r="F141" s="89" t="s">
        <v>27</v>
      </c>
      <c r="G141" s="405"/>
      <c r="H141" s="89" t="s">
        <v>34</v>
      </c>
      <c r="I141" s="90" t="s">
        <v>33</v>
      </c>
      <c r="J141" s="89" t="s">
        <v>27</v>
      </c>
      <c r="L141"/>
      <c r="P141" s="443">
        <f>P110</f>
        <v>2020</v>
      </c>
      <c r="Q141" s="443">
        <f t="shared" ref="Q141:S141" si="49">Q110</f>
        <v>2030</v>
      </c>
      <c r="R141" s="443">
        <f t="shared" si="49"/>
        <v>2040</v>
      </c>
      <c r="S141" s="443">
        <f t="shared" si="49"/>
        <v>2050</v>
      </c>
    </row>
    <row r="142" spans="1:19" ht="13" thickBot="1">
      <c r="A142" s="85" t="s">
        <v>13</v>
      </c>
      <c r="B142" s="216" t="s">
        <v>22</v>
      </c>
      <c r="C142" s="261" t="s">
        <v>42</v>
      </c>
      <c r="D142" s="247">
        <v>3081508.5867071724</v>
      </c>
      <c r="E142" s="248"/>
      <c r="F142" s="93">
        <v>3081508.5867071724</v>
      </c>
      <c r="G142" s="405"/>
      <c r="H142" s="92">
        <f t="shared" ref="H142:H150" si="50">D142/D$150</f>
        <v>0.72030293086478603</v>
      </c>
      <c r="I142" s="92">
        <f t="shared" ref="I142:I150" si="51">E142/E$150</f>
        <v>0</v>
      </c>
      <c r="J142" s="92">
        <f t="shared" ref="J142:J150" si="52">F142/F$150</f>
        <v>0.56955674095683095</v>
      </c>
      <c r="L142"/>
      <c r="M142" s="411">
        <f t="shared" ref="M142:M149" si="53">SUMIFS($E$95:$E$106,$C$95:$C$106,A142,$B$95:$B$106,B142)</f>
        <v>6506517.846679599</v>
      </c>
      <c r="N142" s="427">
        <f>SUMPRODUCT('2017 end use splits'!$F$78:$M$80*('2017 end use splits'!$C$78:$C$80='Census 2011_17'!B142)*('2017 end use splits'!$F$19:$M$19='Census 2011_17'!C142))</f>
        <v>0.65954620271718634</v>
      </c>
      <c r="O142" s="85">
        <f>N142*M142</f>
        <v>4291349.1386891333</v>
      </c>
      <c r="P142" s="427">
        <f>$N142*(1+B$20)</f>
        <v>0.68859636172756822</v>
      </c>
      <c r="Q142" s="427">
        <f>$N142*(1+C$20)</f>
        <v>0.73163363433554107</v>
      </c>
      <c r="R142" s="427">
        <f>$N142*(1+D$20)</f>
        <v>0.77467090694351415</v>
      </c>
      <c r="S142" s="427">
        <f>$N142*(1+E$20)</f>
        <v>0.81770817955148711</v>
      </c>
    </row>
    <row r="143" spans="1:19" ht="13" thickBot="1">
      <c r="A143" s="85" t="s">
        <v>13</v>
      </c>
      <c r="B143" s="216" t="s">
        <v>22</v>
      </c>
      <c r="C143" s="221" t="s">
        <v>43</v>
      </c>
      <c r="D143" s="247">
        <v>62628.608320861553</v>
      </c>
      <c r="E143" s="247">
        <v>31494.773135572344</v>
      </c>
      <c r="F143" s="93">
        <v>94123.381456433897</v>
      </c>
      <c r="G143" s="405"/>
      <c r="H143" s="92">
        <f t="shared" si="50"/>
        <v>1.4639443266229695E-2</v>
      </c>
      <c r="I143" s="92">
        <f t="shared" si="51"/>
        <v>2.7815119884306103E-2</v>
      </c>
      <c r="J143" s="92">
        <f t="shared" si="52"/>
        <v>1.7396870682566554E-2</v>
      </c>
      <c r="L143"/>
      <c r="M143" s="411">
        <f t="shared" si="53"/>
        <v>6506517.846679599</v>
      </c>
      <c r="N143" s="427">
        <f>SUMPRODUCT('2017 end use splits'!$F$78:$M$80*('2017 end use splits'!$C$78:$C$80='Census 2011_17'!B143)*('2017 end use splits'!$F$19:$M$19='Census 2011_17'!C143))</f>
        <v>9.6547457035230967E-3</v>
      </c>
      <c r="O143" s="85">
        <f t="shared" ref="O143:O149" si="54">N143*M143</f>
        <v>62818.775225126206</v>
      </c>
      <c r="P143" s="445">
        <f>$N143-($N142*B$20)*$N143/(1-$N142)</f>
        <v>8.8309279046598944E-3</v>
      </c>
      <c r="Q143" s="445">
        <f>$N143-($N142*C$20)*$N143/(1-$N142)</f>
        <v>7.6104570915292262E-3</v>
      </c>
      <c r="R143" s="445">
        <f>$N143-($N142*D$20)*$N143/(1-$N142)</f>
        <v>6.3899862783985562E-3</v>
      </c>
      <c r="S143" s="445">
        <f>$N143-($N142*E$20)*$N143/(1-$N142)</f>
        <v>5.1695154652678871E-3</v>
      </c>
    </row>
    <row r="144" spans="1:19" ht="13" thickBot="1">
      <c r="A144" s="85" t="s">
        <v>13</v>
      </c>
      <c r="B144" s="216" t="s">
        <v>22</v>
      </c>
      <c r="C144" s="262" t="s">
        <v>17</v>
      </c>
      <c r="D144" s="247">
        <v>317013.56851814012</v>
      </c>
      <c r="E144" s="247">
        <v>368680.93067894573</v>
      </c>
      <c r="F144" s="93">
        <v>685694.49919708585</v>
      </c>
      <c r="G144" s="405"/>
      <c r="H144" s="92">
        <f t="shared" si="50"/>
        <v>7.4101952372466348E-2</v>
      </c>
      <c r="I144" s="92">
        <f t="shared" si="51"/>
        <v>0.32560654562422725</v>
      </c>
      <c r="J144" s="92">
        <f t="shared" si="52"/>
        <v>0.1267372500402611</v>
      </c>
      <c r="L144"/>
      <c r="M144" s="411">
        <f t="shared" si="53"/>
        <v>6506517.846679599</v>
      </c>
      <c r="N144" s="427">
        <f>SUMPRODUCT('2017 end use splits'!$F$78:$M$80*('2017 end use splits'!$C$78:$C$80='Census 2011_17'!B144)*('2017 end use splits'!$F$19:$M$19='Census 2011_17'!C144))</f>
        <v>9.954832363872354E-2</v>
      </c>
      <c r="O144" s="85">
        <f t="shared" si="54"/>
        <v>647712.94436239137</v>
      </c>
      <c r="P144" s="445">
        <f>$N144-($N142*B$20)*$N144/(1-$N142)</f>
        <v>9.1054088432647728E-2</v>
      </c>
      <c r="Q144" s="445">
        <f>$N144-($N142*C$20)*$N144/(1-$N142)</f>
        <v>7.8470036275498437E-2</v>
      </c>
      <c r="R144" s="445">
        <f>$N144-($N142*D$20)*$N144/(1-$N142)</f>
        <v>6.5885984118349103E-2</v>
      </c>
      <c r="S144" s="445">
        <f>$N144-($N142*E$20)*$N144/(1-$N142)</f>
        <v>5.3301931961199797E-2</v>
      </c>
    </row>
    <row r="145" spans="1:19" ht="13" thickBot="1">
      <c r="A145" s="85" t="s">
        <v>13</v>
      </c>
      <c r="B145" s="216" t="s">
        <v>22</v>
      </c>
      <c r="C145" s="262" t="s">
        <v>7</v>
      </c>
      <c r="D145" s="247">
        <v>707418.62578458106</v>
      </c>
      <c r="E145" s="247">
        <v>647643.26239992585</v>
      </c>
      <c r="F145" s="93">
        <v>1355061.8881845069</v>
      </c>
      <c r="G145" s="405"/>
      <c r="H145" s="92">
        <f t="shared" si="50"/>
        <v>0.16535917235443184</v>
      </c>
      <c r="I145" s="92">
        <f t="shared" si="51"/>
        <v>0.57197665493168781</v>
      </c>
      <c r="J145" s="92">
        <f t="shared" si="52"/>
        <v>0.25045675230582054</v>
      </c>
      <c r="L145">
        <f>O145/M111</f>
        <v>0.16274108389010231</v>
      </c>
      <c r="M145" s="411">
        <f t="shared" si="53"/>
        <v>6506517.846679599</v>
      </c>
      <c r="N145" s="427">
        <f>SUMPRODUCT('2017 end use splits'!$F$78:$M$80*('2017 end use splits'!$C$78:$C$80='Census 2011_17'!B145)*('2017 end use splits'!$F$19:$M$19='Census 2011_17'!C145))</f>
        <v>0.19213823363648441</v>
      </c>
      <c r="O145" s="85">
        <f t="shared" si="54"/>
        <v>1250150.8461852802</v>
      </c>
      <c r="P145" s="445">
        <f>$N145-($N142*B$20)*$N145/(1-$N142)</f>
        <v>0.1757435090551718</v>
      </c>
      <c r="Q145" s="445">
        <f>$N145-($N142*C$20)*$N145/(1-$N142)</f>
        <v>0.151455028193968</v>
      </c>
      <c r="R145" s="445">
        <f>$N145-($N142*D$20)*$N145/(1-$N142)</f>
        <v>0.12716654733276417</v>
      </c>
      <c r="S145" s="445">
        <f>$N145-($N142*E$20)*$N145/(1-$N142)</f>
        <v>0.10287806647156035</v>
      </c>
    </row>
    <row r="146" spans="1:19" ht="13" thickBot="1">
      <c r="A146" s="85" t="s">
        <v>13</v>
      </c>
      <c r="B146" s="216" t="s">
        <v>22</v>
      </c>
      <c r="C146" s="262" t="s">
        <v>9</v>
      </c>
      <c r="D146" s="247">
        <v>85193.125128337517</v>
      </c>
      <c r="E146" s="247">
        <v>66483.691339507684</v>
      </c>
      <c r="F146" s="93">
        <v>151676.8164678452</v>
      </c>
      <c r="G146" s="405"/>
      <c r="H146" s="92">
        <f t="shared" si="50"/>
        <v>1.991390125738543E-2</v>
      </c>
      <c r="I146" s="92">
        <f t="shared" si="51"/>
        <v>5.8716150676790833E-2</v>
      </c>
      <c r="J146" s="92">
        <f t="shared" si="52"/>
        <v>2.8034500257046523E-2</v>
      </c>
      <c r="L146"/>
      <c r="M146" s="411">
        <f t="shared" si="53"/>
        <v>6506517.846679599</v>
      </c>
      <c r="N146" s="427">
        <f>SUMPRODUCT('2017 end use splits'!$F$78:$M$80*('2017 end use splits'!$C$78:$C$80='Census 2011_17'!B146)*('2017 end use splits'!$F$19:$M$19='Census 2011_17'!C146))</f>
        <v>1.6131153725620011E-2</v>
      </c>
      <c r="O146" s="85">
        <f t="shared" si="54"/>
        <v>104957.6396032787</v>
      </c>
      <c r="P146" s="445">
        <f>$N146-($N142*B$20)*$N146/(1-$N142)</f>
        <v>1.4754718554415562E-2</v>
      </c>
      <c r="Q146" s="445">
        <f>$N146-($N142*C$20)*$N146/(1-$N142)</f>
        <v>1.2715555337816382E-2</v>
      </c>
      <c r="R146" s="445">
        <f>$N146-($N142*D$20)*$N146/(1-$N142)</f>
        <v>1.0676392121217201E-2</v>
      </c>
      <c r="S146" s="445">
        <f>$N146-($N142*E$20)*$N146/(1-$N142)</f>
        <v>8.6372289046180231E-3</v>
      </c>
    </row>
    <row r="147" spans="1:19" ht="13" thickBot="1">
      <c r="A147" s="85" t="s">
        <v>13</v>
      </c>
      <c r="B147" s="216" t="s">
        <v>22</v>
      </c>
      <c r="C147" s="262" t="s">
        <v>46</v>
      </c>
      <c r="D147" s="247">
        <v>14645.409400000008</v>
      </c>
      <c r="E147" s="247">
        <v>13964.02620704125</v>
      </c>
      <c r="F147" s="93">
        <v>28609.435607041258</v>
      </c>
      <c r="G147" s="405"/>
      <c r="H147" s="92">
        <f t="shared" si="50"/>
        <v>3.4233658669785652E-3</v>
      </c>
      <c r="I147" s="92">
        <f t="shared" si="51"/>
        <v>1.2332556305279326E-2</v>
      </c>
      <c r="J147" s="92">
        <f t="shared" si="52"/>
        <v>5.2878959919994452E-3</v>
      </c>
      <c r="L147"/>
      <c r="M147" s="411">
        <f t="shared" si="53"/>
        <v>6506517.846679599</v>
      </c>
      <c r="N147" s="427">
        <f>SUMPRODUCT('2017 end use splits'!$F$78:$M$80*('2017 end use splits'!$C$78:$C$80='Census 2011_17'!B147)*('2017 end use splits'!$F$19:$M$19='Census 2011_17'!C147))</f>
        <v>1.6641775816450533E-3</v>
      </c>
      <c r="O147" s="85">
        <f t="shared" si="54"/>
        <v>10828.001135017636</v>
      </c>
      <c r="P147" s="445">
        <f>$N147-($N142*B$20)*$N147/(1-$N142)</f>
        <v>1.5221770407371727E-3</v>
      </c>
      <c r="Q147" s="445">
        <f>$N147-($N142*C$20)*$N147/(1-$N142)</f>
        <v>1.3118058690217945E-3</v>
      </c>
      <c r="R147" s="445">
        <f>$N147-($N142*D$20)*$N147/(1-$N142)</f>
        <v>1.101434697306416E-3</v>
      </c>
      <c r="S147" s="445">
        <f>$N147-($N142*E$20)*$N147/(1-$N142)</f>
        <v>8.9106352559103791E-4</v>
      </c>
    </row>
    <row r="148" spans="1:19" ht="13" thickBot="1">
      <c r="A148" s="85" t="s">
        <v>13</v>
      </c>
      <c r="B148" s="216" t="s">
        <v>22</v>
      </c>
      <c r="C148" s="262" t="s">
        <v>44</v>
      </c>
      <c r="D148" s="247">
        <v>9013.8614900172215</v>
      </c>
      <c r="E148" s="247">
        <v>3573.7073757321177</v>
      </c>
      <c r="F148" s="93">
        <v>12587.568865749339</v>
      </c>
      <c r="G148" s="405"/>
      <c r="H148" s="92">
        <f t="shared" si="50"/>
        <v>2.1069909970968439E-3</v>
      </c>
      <c r="I148" s="92">
        <f t="shared" si="51"/>
        <v>3.1561776507970834E-3</v>
      </c>
      <c r="J148" s="92">
        <f t="shared" si="52"/>
        <v>2.326566517021083E-3</v>
      </c>
      <c r="L148"/>
      <c r="M148" s="411">
        <f t="shared" si="53"/>
        <v>6506517.846679599</v>
      </c>
      <c r="N148" s="427">
        <f>SUMPRODUCT('2017 end use splits'!$F$78:$M$80*('2017 end use splits'!$C$78:$C$80='Census 2011_17'!B148)*('2017 end use splits'!$F$19:$M$19='Census 2011_17'!C148))</f>
        <v>1.0902647832123408E-3</v>
      </c>
      <c r="O148" s="85">
        <f t="shared" si="54"/>
        <v>7093.8272695773594</v>
      </c>
      <c r="P148" s="445">
        <f>$N148-($N142*B$20)*$N148/(1-$N142)</f>
        <v>9.9723493432089826E-4</v>
      </c>
      <c r="Q148" s="445">
        <f>$N148-($N142*C$20)*$N148/(1-$N142)</f>
        <v>8.5941293596320596E-4</v>
      </c>
      <c r="R148" s="445">
        <f>$N148-($N142*D$20)*$N148/(1-$N142)</f>
        <v>7.2159093760551345E-4</v>
      </c>
      <c r="S148" s="445">
        <f>$N148-($N142*E$20)*$N148/(1-$N142)</f>
        <v>5.8376893924782104E-4</v>
      </c>
    </row>
    <row r="149" spans="1:19" ht="13" thickBot="1">
      <c r="A149" s="85" t="s">
        <v>13</v>
      </c>
      <c r="B149" s="216" t="s">
        <v>22</v>
      </c>
      <c r="C149" s="262" t="s">
        <v>41</v>
      </c>
      <c r="D149" s="247">
        <v>651.30676999999969</v>
      </c>
      <c r="E149" s="247">
        <v>449.28679999999986</v>
      </c>
      <c r="F149" s="93">
        <v>1100.5935699999995</v>
      </c>
      <c r="G149" s="405"/>
      <c r="H149" s="92">
        <f t="shared" si="50"/>
        <v>1.5224302062529277E-4</v>
      </c>
      <c r="I149" s="92">
        <f t="shared" si="51"/>
        <v>3.9679492691189859E-4</v>
      </c>
      <c r="J149" s="92">
        <f t="shared" si="52"/>
        <v>2.0342324845412202E-4</v>
      </c>
      <c r="L149"/>
      <c r="M149" s="411">
        <f t="shared" si="53"/>
        <v>6506517.846679599</v>
      </c>
      <c r="N149" s="427">
        <f>SUMPRODUCT('2017 end use splits'!$F$78:$M$80*('2017 end use splits'!$C$78:$C$80='Census 2011_17'!B149)*('2017 end use splits'!$F$19:$M$19='Census 2011_17'!C149))</f>
        <v>2.0226898213605186E-2</v>
      </c>
      <c r="O149" s="85">
        <f t="shared" si="54"/>
        <v>131606.67420979385</v>
      </c>
      <c r="P149" s="445">
        <f>$N149-($N142*B$20)*$N149/(1-$N142)</f>
        <v>1.8500982350478753E-2</v>
      </c>
      <c r="Q149" s="445">
        <f>$N149-($N142*C$20)*$N149/(1-$N142)</f>
        <v>1.5944069960661826E-2</v>
      </c>
      <c r="R149" s="445">
        <f>$N149-($N142*D$20)*$N149/(1-$N142)</f>
        <v>1.3387157570844889E-2</v>
      </c>
      <c r="S149" s="445">
        <f>$N149-($N142*E$20)*$N149/(1-$N142)</f>
        <v>1.0830245181027959E-2</v>
      </c>
    </row>
    <row r="150" spans="1:19" ht="13" thickBot="1">
      <c r="A150" s="85" t="s">
        <v>13</v>
      </c>
      <c r="B150" s="216" t="s">
        <v>22</v>
      </c>
      <c r="C150" s="259" t="s">
        <v>429</v>
      </c>
      <c r="D150" s="93">
        <v>4278073.0921191098</v>
      </c>
      <c r="E150" s="93">
        <v>1132289.6779367246</v>
      </c>
      <c r="F150" s="105">
        <v>5410362.7700558333</v>
      </c>
      <c r="G150" s="405"/>
      <c r="H150" s="94">
        <f t="shared" si="50"/>
        <v>1</v>
      </c>
      <c r="I150" s="94">
        <f t="shared" si="51"/>
        <v>1</v>
      </c>
      <c r="J150" s="94">
        <f t="shared" si="52"/>
        <v>1</v>
      </c>
      <c r="K150" s="85">
        <f>F150/F119</f>
        <v>0.85666598097831259</v>
      </c>
      <c r="L150"/>
      <c r="O150" s="85">
        <f>SUM(O142:O149)</f>
        <v>6506517.846679599</v>
      </c>
      <c r="P150" s="444">
        <f>SUM(P142:P149)</f>
        <v>1</v>
      </c>
      <c r="Q150" s="444">
        <f t="shared" ref="Q150" si="55">SUM(Q142:Q149)</f>
        <v>1</v>
      </c>
      <c r="R150" s="444">
        <f t="shared" ref="R150" si="56">SUM(R142:R149)</f>
        <v>1</v>
      </c>
      <c r="S150" s="444">
        <f t="shared" ref="S150" si="57">SUM(S142:S149)</f>
        <v>1</v>
      </c>
    </row>
    <row r="151" spans="1:19" ht="13" thickBot="1">
      <c r="A151" s="85" t="s">
        <v>13</v>
      </c>
      <c r="B151" s="258" t="s">
        <v>296</v>
      </c>
      <c r="C151" s="263"/>
      <c r="D151" s="89" t="s">
        <v>34</v>
      </c>
      <c r="E151" s="89" t="s">
        <v>33</v>
      </c>
      <c r="F151" s="89" t="s">
        <v>27</v>
      </c>
      <c r="G151" s="405"/>
      <c r="H151" s="89" t="s">
        <v>34</v>
      </c>
      <c r="I151" s="90" t="s">
        <v>33</v>
      </c>
      <c r="J151" s="89" t="s">
        <v>27</v>
      </c>
      <c r="L151"/>
    </row>
    <row r="152" spans="1:19" ht="13" thickBot="1">
      <c r="A152" s="85" t="s">
        <v>13</v>
      </c>
      <c r="B152" s="95" t="s">
        <v>24</v>
      </c>
      <c r="C152" s="261" t="s">
        <v>42</v>
      </c>
      <c r="D152" s="247">
        <v>2656996.5305898534</v>
      </c>
      <c r="E152" s="248"/>
      <c r="F152" s="93">
        <v>2656996.5305898534</v>
      </c>
      <c r="G152" s="405"/>
      <c r="H152" s="92">
        <f t="shared" ref="H152:H160" si="58">D152/D$160</f>
        <v>0.76412176254575648</v>
      </c>
      <c r="I152" s="92">
        <f t="shared" ref="I152:I160" si="59">E152/E$160</f>
        <v>0</v>
      </c>
      <c r="J152" s="92">
        <f t="shared" ref="J152:J160" si="60">F152/F$160</f>
        <v>0.66338957685980504</v>
      </c>
      <c r="L152"/>
      <c r="M152" s="411">
        <f t="shared" ref="M152:M159" si="61">SUMIFS($E$95:$E$106,$C$95:$C$106,A152,$B$95:$B$106,B152)</f>
        <v>4720418.2414225973</v>
      </c>
      <c r="N152" s="427">
        <f>SUMPRODUCT('2017 end use splits'!$F$78:$M$80*('2017 end use splits'!$C$78:$C$80='Census 2011_17'!B152)*('2017 end use splits'!$F$19:$M$19='Census 2011_17'!C152))</f>
        <v>0.74391519936383166</v>
      </c>
      <c r="O152" s="85">
        <f>N152*M152</f>
        <v>3511590.8771485593</v>
      </c>
      <c r="P152" s="427">
        <f>$N152*(1+B$21)</f>
        <v>0.76626458303570644</v>
      </c>
      <c r="Q152" s="427">
        <f>$N152*(1+C$21)</f>
        <v>0.80883483764880115</v>
      </c>
      <c r="R152" s="427">
        <f>$N152*(1+D$21)</f>
        <v>0.80883483764880115</v>
      </c>
      <c r="S152" s="427">
        <f>$N152*(1+E$21)</f>
        <v>0.85140509226189598</v>
      </c>
    </row>
    <row r="153" spans="1:19" ht="13" thickBot="1">
      <c r="A153" s="85" t="s">
        <v>13</v>
      </c>
      <c r="B153" s="95" t="s">
        <v>24</v>
      </c>
      <c r="C153" s="221" t="s">
        <v>43</v>
      </c>
      <c r="D153" s="247">
        <v>53331.24894901544</v>
      </c>
      <c r="E153" s="247">
        <v>19583.217780920982</v>
      </c>
      <c r="F153" s="93">
        <v>72914.466729936423</v>
      </c>
      <c r="G153" s="405"/>
      <c r="H153" s="92">
        <f t="shared" si="58"/>
        <v>1.5337456212877083E-2</v>
      </c>
      <c r="I153" s="92">
        <f t="shared" si="59"/>
        <v>3.708993065405277E-2</v>
      </c>
      <c r="J153" s="92">
        <f t="shared" si="60"/>
        <v>1.8205028374723757E-2</v>
      </c>
      <c r="L153"/>
      <c r="M153" s="411">
        <f t="shared" si="61"/>
        <v>4720418.2414225973</v>
      </c>
      <c r="N153" s="427">
        <f>SUMPRODUCT('2017 end use splits'!$F$78:$M$80*('2017 end use splits'!$C$78:$C$80='Census 2011_17'!B153)*('2017 end use splits'!$F$19:$M$19='Census 2011_17'!C153))</f>
        <v>9.7838013195240148E-3</v>
      </c>
      <c r="O153" s="85">
        <f t="shared" ref="O153:O159" si="62">N153*M153</f>
        <v>46183.634219135638</v>
      </c>
      <c r="P153" s="445">
        <f>$N153-($N152*B$21)*$N153/(1-$N152)</f>
        <v>8.9299360025812107E-3</v>
      </c>
      <c r="Q153" s="445">
        <f>$N153-($N152*C$21)*$N153/(1-$N152)</f>
        <v>7.3035258750711084E-3</v>
      </c>
      <c r="R153" s="445">
        <f>$N153-($N152*D$21)*$N153/(1-$N152)</f>
        <v>7.3035258750711084E-3</v>
      </c>
      <c r="S153" s="445">
        <f>$N153-($N152*E$21)*$N153/(1-$N152)</f>
        <v>5.6771157475610026E-3</v>
      </c>
    </row>
    <row r="154" spans="1:19" ht="13" thickBot="1">
      <c r="A154" s="85" t="s">
        <v>13</v>
      </c>
      <c r="B154" s="95" t="s">
        <v>24</v>
      </c>
      <c r="C154" s="262" t="s">
        <v>17</v>
      </c>
      <c r="D154" s="247">
        <v>247371.6675775809</v>
      </c>
      <c r="E154" s="247">
        <v>167593.45760659792</v>
      </c>
      <c r="F154" s="93">
        <v>414965.12518417882</v>
      </c>
      <c r="G154" s="405"/>
      <c r="H154" s="92">
        <f t="shared" si="58"/>
        <v>7.1141257603110672E-2</v>
      </c>
      <c r="I154" s="92">
        <f t="shared" si="59"/>
        <v>0.31741615653979188</v>
      </c>
      <c r="J154" s="92">
        <f t="shared" si="60"/>
        <v>0.10360703735898198</v>
      </c>
      <c r="L154"/>
      <c r="M154" s="411">
        <f t="shared" si="61"/>
        <v>4720418.2414225973</v>
      </c>
      <c r="N154" s="427">
        <f>SUMPRODUCT('2017 end use splits'!$F$78:$M$80*('2017 end use splits'!$C$78:$C$80='Census 2011_17'!B154)*('2017 end use splits'!$F$19:$M$19='Census 2011_17'!C154))</f>
        <v>7.8807125580182227E-2</v>
      </c>
      <c r="O154" s="85">
        <f t="shared" si="62"/>
        <v>372002.59314277355</v>
      </c>
      <c r="P154" s="445">
        <f>$N154-($N152*B$21)*$N154/(1-$N152)</f>
        <v>7.1929362115526405E-2</v>
      </c>
      <c r="Q154" s="445">
        <f>$N154-($N152*C$21)*$N154/(1-$N152)</f>
        <v>5.8828860278086759E-2</v>
      </c>
      <c r="R154" s="445">
        <f>$N154-($N152*D$21)*$N154/(1-$N152)</f>
        <v>5.8828860278086759E-2</v>
      </c>
      <c r="S154" s="445">
        <f>$N154-($N152*E$21)*$N154/(1-$N152)</f>
        <v>4.5728358440647078E-2</v>
      </c>
    </row>
    <row r="155" spans="1:19" ht="13" thickBot="1">
      <c r="A155" s="85" t="s">
        <v>13</v>
      </c>
      <c r="B155" s="95" t="s">
        <v>24</v>
      </c>
      <c r="C155" s="262" t="s">
        <v>7</v>
      </c>
      <c r="D155" s="247">
        <v>428214.74790157954</v>
      </c>
      <c r="E155" s="247">
        <v>293921.69641095906</v>
      </c>
      <c r="F155" s="93">
        <v>722136.4443125386</v>
      </c>
      <c r="G155" s="405"/>
      <c r="H155" s="92">
        <f t="shared" si="58"/>
        <v>0.12314965569112034</v>
      </c>
      <c r="I155" s="92">
        <f t="shared" si="59"/>
        <v>0.55667742960122124</v>
      </c>
      <c r="J155" s="92">
        <f t="shared" si="60"/>
        <v>0.18030049520658889</v>
      </c>
      <c r="L155">
        <f>O155/M121</f>
        <v>0.11345089843443973</v>
      </c>
      <c r="M155" s="411">
        <f t="shared" si="61"/>
        <v>4720418.2414225973</v>
      </c>
      <c r="N155" s="427">
        <f>SUMPRODUCT('2017 end use splits'!$F$78:$M$80*('2017 end use splits'!$C$78:$C$80='Census 2011_17'!B155)*('2017 end use splits'!$F$19:$M$19='Census 2011_17'!C155))</f>
        <v>0.13394439012330545</v>
      </c>
      <c r="O155" s="85">
        <f t="shared" si="62"/>
        <v>632273.5424742758</v>
      </c>
      <c r="P155" s="445">
        <f>$N155-($N152*B$21)*$N155/(1-$N152)</f>
        <v>0.12225461174472008</v>
      </c>
      <c r="Q155" s="445">
        <f>$N155-($N152*C$21)*$N155/(1-$N152)</f>
        <v>9.9988367214081303E-2</v>
      </c>
      <c r="R155" s="445">
        <f>$N155-($N152*D$21)*$N155/(1-$N152)</f>
        <v>9.9988367214081303E-2</v>
      </c>
      <c r="S155" s="445">
        <f>$N155-($N152*E$21)*$N155/(1-$N152)</f>
        <v>7.7722122683442474E-2</v>
      </c>
    </row>
    <row r="156" spans="1:19" ht="13" thickBot="1">
      <c r="A156" s="85" t="s">
        <v>13</v>
      </c>
      <c r="B156" s="95" t="s">
        <v>24</v>
      </c>
      <c r="C156" s="262" t="s">
        <v>9</v>
      </c>
      <c r="D156" s="247">
        <v>73701.271611120595</v>
      </c>
      <c r="E156" s="247">
        <v>38040.597806355872</v>
      </c>
      <c r="F156" s="93">
        <v>111741.86941747647</v>
      </c>
      <c r="G156" s="405"/>
      <c r="H156" s="92">
        <f t="shared" si="58"/>
        <v>2.1195641363088522E-2</v>
      </c>
      <c r="I156" s="92">
        <f t="shared" si="59"/>
        <v>7.2047563912149726E-2</v>
      </c>
      <c r="J156" s="92">
        <f t="shared" si="60"/>
        <v>2.7899318127422169E-2</v>
      </c>
      <c r="L156"/>
      <c r="M156" s="411">
        <f t="shared" si="61"/>
        <v>4720418.2414225973</v>
      </c>
      <c r="N156" s="427">
        <f>SUMPRODUCT('2017 end use splits'!$F$78:$M$80*('2017 end use splits'!$C$78:$C$80='Census 2011_17'!B156)*('2017 end use splits'!$F$19:$M$19='Census 2011_17'!C156))</f>
        <v>1.5545788710218835E-2</v>
      </c>
      <c r="O156" s="85">
        <f t="shared" si="62"/>
        <v>73382.624605018456</v>
      </c>
      <c r="P156" s="445">
        <f>$N156-($N152*B$21)*$N156/(1-$N152)</f>
        <v>1.4189055333214542E-2</v>
      </c>
      <c r="Q156" s="445">
        <f>$N156-($N152*C$21)*$N156/(1-$N152)</f>
        <v>1.1604801281777795E-2</v>
      </c>
      <c r="R156" s="445">
        <f>$N156-($N152*D$21)*$N156/(1-$N152)</f>
        <v>1.1604801281777795E-2</v>
      </c>
      <c r="S156" s="445">
        <f>$N156-($N152*E$21)*$N156/(1-$N152)</f>
        <v>9.0205472303410417E-3</v>
      </c>
    </row>
    <row r="157" spans="1:19" ht="13" thickBot="1">
      <c r="A157" s="85" t="s">
        <v>13</v>
      </c>
      <c r="B157" s="95" t="s">
        <v>24</v>
      </c>
      <c r="C157" s="262" t="s">
        <v>46</v>
      </c>
      <c r="D157" s="247">
        <v>9339.2435200000036</v>
      </c>
      <c r="E157" s="247">
        <v>6422.9820594999037</v>
      </c>
      <c r="F157" s="93">
        <v>15762.225579499907</v>
      </c>
      <c r="G157" s="405"/>
      <c r="H157" s="92">
        <f t="shared" si="58"/>
        <v>2.6858594421130745E-3</v>
      </c>
      <c r="I157" s="92">
        <f t="shared" si="59"/>
        <v>1.2164903737687629E-2</v>
      </c>
      <c r="J157" s="92">
        <f t="shared" si="60"/>
        <v>3.9354572116177726E-3</v>
      </c>
      <c r="L157"/>
      <c r="M157" s="411">
        <f t="shared" si="61"/>
        <v>4720418.2414225973</v>
      </c>
      <c r="N157" s="427">
        <f>SUMPRODUCT('2017 end use splits'!$F$78:$M$80*('2017 end use splits'!$C$78:$C$80='Census 2011_17'!B157)*('2017 end use splits'!$F$19:$M$19='Census 2011_17'!C157))</f>
        <v>1.1993847382218523E-3</v>
      </c>
      <c r="O157" s="85">
        <f t="shared" si="62"/>
        <v>5661.5975967862987</v>
      </c>
      <c r="P157" s="445">
        <f>$N157-($N152*B$21)*$N157/(1-$N152)</f>
        <v>1.0947103896540313E-3</v>
      </c>
      <c r="Q157" s="445">
        <f>$N157-($N152*C$21)*$N157/(1-$N152)</f>
        <v>8.95330678096277E-4</v>
      </c>
      <c r="R157" s="445">
        <f>$N157-($N152*D$21)*$N157/(1-$N152)</f>
        <v>8.95330678096277E-4</v>
      </c>
      <c r="S157" s="445">
        <f>$N157-($N152*E$21)*$N157/(1-$N152)</f>
        <v>6.9595096653852226E-4</v>
      </c>
    </row>
    <row r="158" spans="1:19" ht="13" thickBot="1">
      <c r="A158" s="85" t="s">
        <v>13</v>
      </c>
      <c r="B158" s="95" t="s">
        <v>24</v>
      </c>
      <c r="C158" s="262" t="s">
        <v>44</v>
      </c>
      <c r="D158" s="247">
        <v>7773.7888474305737</v>
      </c>
      <c r="E158" s="247">
        <v>2240.5726533105872</v>
      </c>
      <c r="F158" s="93">
        <v>10014.361500741161</v>
      </c>
      <c r="G158" s="405"/>
      <c r="H158" s="92">
        <f t="shared" si="58"/>
        <v>2.2356526127787183E-3</v>
      </c>
      <c r="I158" s="92">
        <f t="shared" si="59"/>
        <v>4.2435663671993567E-3</v>
      </c>
      <c r="J158" s="92">
        <f t="shared" si="60"/>
        <v>2.5003506636205358E-3</v>
      </c>
      <c r="L158"/>
      <c r="M158" s="411">
        <f t="shared" si="61"/>
        <v>4720418.2414225973</v>
      </c>
      <c r="N158" s="427">
        <f>SUMPRODUCT('2017 end use splits'!$F$78:$M$80*('2017 end use splits'!$C$78:$C$80='Census 2011_17'!B158)*('2017 end use splits'!$F$19:$M$19='Census 2011_17'!C158))</f>
        <v>1.1346554197971313E-3</v>
      </c>
      <c r="O158" s="85">
        <f t="shared" si="62"/>
        <v>5356.0481413393936</v>
      </c>
      <c r="P158" s="445">
        <f>$N158-($N152*B$21)*$N158/(1-$N152)</f>
        <v>1.0356302170150002E-3</v>
      </c>
      <c r="Q158" s="445">
        <f>$N158-($N152*C$21)*$N158/(1-$N152)</f>
        <v>8.4701078314427429E-4</v>
      </c>
      <c r="R158" s="445">
        <f>$N158-($N152*D$21)*$N158/(1-$N152)</f>
        <v>8.4701078314427429E-4</v>
      </c>
      <c r="S158" s="445">
        <f>$N158-($N152*E$21)*$N158/(1-$N152)</f>
        <v>6.5839134927354783E-4</v>
      </c>
    </row>
    <row r="159" spans="1:19" ht="13" thickBot="1">
      <c r="A159" s="85" t="s">
        <v>13</v>
      </c>
      <c r="B159" s="95" t="s">
        <v>24</v>
      </c>
      <c r="C159" s="262" t="s">
        <v>41</v>
      </c>
      <c r="D159" s="247">
        <v>461.47362999999984</v>
      </c>
      <c r="E159" s="247">
        <v>190.31459000000018</v>
      </c>
      <c r="F159" s="93">
        <v>651.78822000000002</v>
      </c>
      <c r="G159" s="405"/>
      <c r="H159" s="92">
        <f t="shared" si="58"/>
        <v>1.3271452915510811E-4</v>
      </c>
      <c r="I159" s="92">
        <f t="shared" si="59"/>
        <v>3.6044918789758382E-4</v>
      </c>
      <c r="J159" s="92">
        <f t="shared" si="60"/>
        <v>1.6273619723997722E-4</v>
      </c>
      <c r="L159"/>
      <c r="M159" s="411">
        <f t="shared" si="61"/>
        <v>4720418.2414225973</v>
      </c>
      <c r="N159" s="427">
        <f>SUMPRODUCT('2017 end use splits'!$F$78:$M$80*('2017 end use splits'!$C$78:$C$80='Census 2011_17'!B159)*('2017 end use splits'!$F$19:$M$19='Census 2011_17'!C159))</f>
        <v>1.5669654744918549E-2</v>
      </c>
      <c r="O159" s="85">
        <f t="shared" si="62"/>
        <v>73967.32409470767</v>
      </c>
      <c r="P159" s="445">
        <f>$N159-($N152*B$21)*$N159/(1-$N152)</f>
        <v>1.4302111161582054E-2</v>
      </c>
      <c r="Q159" s="445">
        <f>$N159-($N152*C$21)*$N159/(1-$N152)</f>
        <v>1.1697266240941116E-2</v>
      </c>
      <c r="R159" s="445">
        <f>$N159-($N152*D$21)*$N159/(1-$N152)</f>
        <v>1.1697266240941116E-2</v>
      </c>
      <c r="S159" s="445">
        <f>$N159-($N152*E$21)*$N159/(1-$N152)</f>
        <v>9.0924213203001682E-3</v>
      </c>
    </row>
    <row r="160" spans="1:19" ht="13" thickBot="1">
      <c r="A160" s="85" t="s">
        <v>13</v>
      </c>
      <c r="B160" s="95" t="s">
        <v>24</v>
      </c>
      <c r="C160" s="259" t="s">
        <v>429</v>
      </c>
      <c r="D160" s="93">
        <v>3477189.9726265804</v>
      </c>
      <c r="E160" s="93">
        <v>527992.83890764427</v>
      </c>
      <c r="F160" s="105">
        <v>4005182.8115342241</v>
      </c>
      <c r="G160" s="405"/>
      <c r="H160" s="94">
        <f t="shared" si="58"/>
        <v>1</v>
      </c>
      <c r="I160" s="94">
        <f t="shared" si="59"/>
        <v>1</v>
      </c>
      <c r="J160" s="94">
        <f t="shared" si="60"/>
        <v>1</v>
      </c>
      <c r="K160" s="85">
        <f>F160/F129</f>
        <v>0.87186732798479827</v>
      </c>
      <c r="L160"/>
      <c r="P160" s="444">
        <f>SUM(P152:P159)</f>
        <v>0.99999999999999978</v>
      </c>
      <c r="Q160" s="444">
        <f t="shared" ref="Q160" si="63">SUM(Q152:Q159)</f>
        <v>0.99999999999999989</v>
      </c>
      <c r="R160" s="444">
        <f t="shared" ref="R160" si="64">SUM(R152:R159)</f>
        <v>0.99999999999999989</v>
      </c>
      <c r="S160" s="444">
        <f t="shared" ref="S160" si="65">SUM(S152:S159)</f>
        <v>0.99999999999999989</v>
      </c>
    </row>
    <row r="161" spans="1:19" ht="13" thickBot="1">
      <c r="A161" s="85" t="s">
        <v>13</v>
      </c>
      <c r="B161" s="260" t="s">
        <v>297</v>
      </c>
      <c r="C161" s="264"/>
      <c r="D161" s="89" t="s">
        <v>34</v>
      </c>
      <c r="E161" s="89" t="s">
        <v>33</v>
      </c>
      <c r="F161" s="89" t="s">
        <v>27</v>
      </c>
      <c r="G161" s="405"/>
      <c r="H161" s="89" t="s">
        <v>34</v>
      </c>
      <c r="I161" s="90" t="s">
        <v>33</v>
      </c>
      <c r="J161" s="89" t="s">
        <v>27</v>
      </c>
      <c r="L161"/>
    </row>
    <row r="162" spans="1:19" ht="13" thickBot="1">
      <c r="A162" s="85" t="s">
        <v>13</v>
      </c>
      <c r="B162" s="98" t="s">
        <v>25</v>
      </c>
      <c r="C162" s="261" t="s">
        <v>42</v>
      </c>
      <c r="D162" s="247">
        <v>2716677.6504021734</v>
      </c>
      <c r="E162" s="248"/>
      <c r="F162" s="93">
        <v>2716677.6504021734</v>
      </c>
      <c r="G162" s="405"/>
      <c r="H162" s="92">
        <f t="shared" ref="H162:H170" si="66">D162/D$170</f>
        <v>0.86520085934346214</v>
      </c>
      <c r="I162" s="92">
        <f t="shared" ref="I162:I170" si="67">E162/E$170</f>
        <v>0</v>
      </c>
      <c r="J162" s="92">
        <f t="shared" ref="J162:J170" si="68">F162/F$170</f>
        <v>0.84544349791843898</v>
      </c>
      <c r="L162"/>
      <c r="M162" s="411">
        <f t="shared" ref="M162:M169" si="69">SUMIFS($E$95:$E$106,$C$95:$C$106,A162,$B$95:$B$106,B162)</f>
        <v>3537127.916587804</v>
      </c>
      <c r="N162" s="427">
        <f>SUMPRODUCT('2017 end use splits'!$F$78:$M$80*('2017 end use splits'!$C$78:$C$80='Census 2011_17'!B162)*('2017 end use splits'!$F$19:$M$19='Census 2011_17'!C162))</f>
        <v>0.88748875773533431</v>
      </c>
      <c r="O162" s="85">
        <f>N162*M162</f>
        <v>3139161.2606434813</v>
      </c>
    </row>
    <row r="163" spans="1:19" ht="13" thickBot="1">
      <c r="A163" s="85" t="s">
        <v>13</v>
      </c>
      <c r="B163" s="98" t="s">
        <v>25</v>
      </c>
      <c r="C163" s="221" t="s">
        <v>43</v>
      </c>
      <c r="D163" s="247">
        <v>181127.04626012294</v>
      </c>
      <c r="E163" s="247">
        <v>8897.3064635065093</v>
      </c>
      <c r="F163" s="93">
        <v>190024.35272362945</v>
      </c>
      <c r="G163" s="405"/>
      <c r="H163" s="92">
        <f t="shared" si="66"/>
        <v>5.768489907199776E-2</v>
      </c>
      <c r="I163" s="92">
        <f t="shared" si="67"/>
        <v>0.12125314893013638</v>
      </c>
      <c r="J163" s="92">
        <f t="shared" si="68"/>
        <v>5.9136516779077337E-2</v>
      </c>
      <c r="L163"/>
      <c r="M163" s="411">
        <f t="shared" si="69"/>
        <v>3537127.916587804</v>
      </c>
      <c r="N163" s="427">
        <f>SUMPRODUCT('2017 end use splits'!$F$78:$M$80*('2017 end use splits'!$C$78:$C$80='Census 2011_17'!B163)*('2017 end use splits'!$F$19:$M$19='Census 2011_17'!C163))</f>
        <v>2.9750583534879138E-2</v>
      </c>
      <c r="O163" s="85">
        <f t="shared" ref="O163:O169" si="70">N163*M163</f>
        <v>105231.61955599848</v>
      </c>
    </row>
    <row r="164" spans="1:19" ht="13" thickBot="1">
      <c r="A164" s="85" t="s">
        <v>13</v>
      </c>
      <c r="B164" s="98" t="s">
        <v>25</v>
      </c>
      <c r="C164" s="262" t="s">
        <v>17</v>
      </c>
      <c r="D164" s="247">
        <v>104617.97237427889</v>
      </c>
      <c r="E164" s="247">
        <v>24945.347294456587</v>
      </c>
      <c r="F164" s="93">
        <v>129563.31966873548</v>
      </c>
      <c r="G164" s="405"/>
      <c r="H164" s="92">
        <f t="shared" si="66"/>
        <v>3.3318476186380404E-2</v>
      </c>
      <c r="I164" s="92">
        <f t="shared" si="67"/>
        <v>0.33995703340274253</v>
      </c>
      <c r="J164" s="92">
        <f t="shared" si="68"/>
        <v>4.0320744776784496E-2</v>
      </c>
      <c r="L164"/>
      <c r="M164" s="411">
        <f t="shared" si="69"/>
        <v>3537127.916587804</v>
      </c>
      <c r="N164" s="427">
        <f>SUMPRODUCT('2017 end use splits'!$F$78:$M$80*('2017 end use splits'!$C$78:$C$80='Census 2011_17'!B164)*('2017 end use splits'!$F$19:$M$19='Census 2011_17'!C164))</f>
        <v>2.8709673990794621E-2</v>
      </c>
      <c r="O164" s="85">
        <f t="shared" si="70"/>
        <v>101549.78934897445</v>
      </c>
    </row>
    <row r="165" spans="1:19" ht="13" thickBot="1">
      <c r="A165" s="85" t="s">
        <v>13</v>
      </c>
      <c r="B165" s="98" t="s">
        <v>25</v>
      </c>
      <c r="C165" s="262" t="s">
        <v>7</v>
      </c>
      <c r="D165" s="247">
        <v>94991.018443639536</v>
      </c>
      <c r="E165" s="247">
        <v>31192.971959115821</v>
      </c>
      <c r="F165" s="93">
        <v>126183.99040275536</v>
      </c>
      <c r="G165" s="405"/>
      <c r="H165" s="92">
        <f t="shared" si="66"/>
        <v>3.0252507423978271E-2</v>
      </c>
      <c r="I165" s="92">
        <f t="shared" si="67"/>
        <v>0.42510012328401026</v>
      </c>
      <c r="J165" s="92">
        <f t="shared" si="68"/>
        <v>3.9269080824373567E-2</v>
      </c>
      <c r="L165">
        <f>O165/M138</f>
        <v>2.3130511629596808E-2</v>
      </c>
      <c r="M165" s="411">
        <f t="shared" si="69"/>
        <v>3537127.916587804</v>
      </c>
      <c r="N165" s="427">
        <f>SUMPRODUCT('2017 end use splits'!$F$78:$M$80*('2017 end use splits'!$C$78:$C$80='Census 2011_17'!B165)*('2017 end use splits'!$F$19:$M$19='Census 2011_17'!C165))</f>
        <v>2.730875044816624E-2</v>
      </c>
      <c r="O165" s="85">
        <f t="shared" si="70"/>
        <v>96594.543577338511</v>
      </c>
    </row>
    <row r="166" spans="1:19" ht="13" thickBot="1">
      <c r="A166" s="85" t="s">
        <v>13</v>
      </c>
      <c r="B166" s="98" t="s">
        <v>25</v>
      </c>
      <c r="C166" s="262" t="s">
        <v>9</v>
      </c>
      <c r="D166" s="247">
        <v>24780.785080541897</v>
      </c>
      <c r="E166" s="247">
        <v>5749.2185641364485</v>
      </c>
      <c r="F166" s="93">
        <v>30530.003644678345</v>
      </c>
      <c r="G166" s="405"/>
      <c r="H166" s="92">
        <f t="shared" si="66"/>
        <v>7.8921238755420581E-3</v>
      </c>
      <c r="I166" s="92">
        <f t="shared" si="67"/>
        <v>7.8350774770817991E-2</v>
      </c>
      <c r="J166" s="92">
        <f t="shared" si="68"/>
        <v>9.5010878706932589E-3</v>
      </c>
      <c r="L166"/>
      <c r="M166" s="411">
        <f t="shared" si="69"/>
        <v>3537127.916587804</v>
      </c>
      <c r="N166" s="427">
        <f>SUMPRODUCT('2017 end use splits'!$F$78:$M$80*('2017 end use splits'!$C$78:$C$80='Census 2011_17'!B166)*('2017 end use splits'!$F$19:$M$19='Census 2011_17'!C166))</f>
        <v>4.9558253146998812E-3</v>
      </c>
      <c r="O166" s="85">
        <f t="shared" si="70"/>
        <v>17529.388070357491</v>
      </c>
    </row>
    <row r="167" spans="1:19" ht="13" thickBot="1">
      <c r="A167" s="85" t="s">
        <v>13</v>
      </c>
      <c r="B167" s="98" t="s">
        <v>25</v>
      </c>
      <c r="C167" s="262" t="s">
        <v>46</v>
      </c>
      <c r="D167" s="247">
        <v>3189.05645</v>
      </c>
      <c r="E167" s="247">
        <v>689.81220345881911</v>
      </c>
      <c r="F167" s="93">
        <v>3878.8686534588192</v>
      </c>
      <c r="G167" s="405"/>
      <c r="H167" s="92">
        <f t="shared" si="66"/>
        <v>1.0156429050853148E-3</v>
      </c>
      <c r="I167" s="92">
        <f t="shared" si="67"/>
        <v>9.4008116032516312E-3</v>
      </c>
      <c r="J167" s="92">
        <f t="shared" si="68"/>
        <v>1.2071230761812823E-3</v>
      </c>
      <c r="L167"/>
      <c r="M167" s="411">
        <f t="shared" si="69"/>
        <v>3537127.916587804</v>
      </c>
      <c r="N167" s="427">
        <f>SUMPRODUCT('2017 end use splits'!$F$78:$M$80*('2017 end use splits'!$C$78:$C$80='Census 2011_17'!B167)*('2017 end use splits'!$F$19:$M$19='Census 2011_17'!C167))</f>
        <v>3.4438034682351086E-4</v>
      </c>
      <c r="O167" s="85">
        <f t="shared" si="70"/>
        <v>1218.1173386736302</v>
      </c>
    </row>
    <row r="168" spans="1:19" ht="13" thickBot="1">
      <c r="A168" s="85" t="s">
        <v>13</v>
      </c>
      <c r="B168" s="98" t="s">
        <v>25</v>
      </c>
      <c r="C168" s="262" t="s">
        <v>44</v>
      </c>
      <c r="D168" s="247">
        <v>13916.041072552209</v>
      </c>
      <c r="E168" s="247">
        <v>1852.3167109572896</v>
      </c>
      <c r="F168" s="93">
        <v>15768.357783509498</v>
      </c>
      <c r="G168" s="405"/>
      <c r="H168" s="92">
        <f t="shared" si="66"/>
        <v>4.4319467540982179E-3</v>
      </c>
      <c r="I168" s="92">
        <f t="shared" si="67"/>
        <v>2.5243508801310641E-2</v>
      </c>
      <c r="J168" s="92">
        <f t="shared" si="68"/>
        <v>4.9071907956934726E-3</v>
      </c>
      <c r="L168"/>
      <c r="M168" s="411">
        <f t="shared" si="69"/>
        <v>3537127.916587804</v>
      </c>
      <c r="N168" s="427">
        <f>SUMPRODUCT('2017 end use splits'!$F$78:$M$80*('2017 end use splits'!$C$78:$C$80='Census 2011_17'!B168)*('2017 end use splits'!$F$19:$M$19='Census 2011_17'!C168))</f>
        <v>2.0845844722766804E-3</v>
      </c>
      <c r="O168" s="85">
        <f t="shared" si="70"/>
        <v>7373.4419313753015</v>
      </c>
    </row>
    <row r="169" spans="1:19" ht="13" thickBot="1">
      <c r="A169" s="85" t="s">
        <v>13</v>
      </c>
      <c r="B169" s="98" t="s">
        <v>25</v>
      </c>
      <c r="C169" s="262" t="s">
        <v>41</v>
      </c>
      <c r="D169" s="247">
        <v>639.11705999999981</v>
      </c>
      <c r="E169" s="247">
        <v>50.9682600000001</v>
      </c>
      <c r="F169" s="93">
        <v>690.08531999999991</v>
      </c>
      <c r="G169" s="405"/>
      <c r="H169" s="92">
        <f t="shared" si="66"/>
        <v>2.0354443945574727E-4</v>
      </c>
      <c r="I169" s="92">
        <f t="shared" si="67"/>
        <v>6.9459920773081991E-4</v>
      </c>
      <c r="J169" s="92">
        <f t="shared" si="68"/>
        <v>2.1475795875767421E-4</v>
      </c>
      <c r="L169"/>
      <c r="M169" s="411">
        <f t="shared" si="69"/>
        <v>3537127.916587804</v>
      </c>
      <c r="N169" s="427">
        <f>SUMPRODUCT('2017 end use splits'!$F$78:$M$80*('2017 end use splits'!$C$78:$C$80='Census 2011_17'!B169)*('2017 end use splits'!$F$19:$M$19='Census 2011_17'!C169))</f>
        <v>1.9357444157025498E-2</v>
      </c>
      <c r="O169" s="85">
        <f t="shared" si="70"/>
        <v>68469.756121604354</v>
      </c>
    </row>
    <row r="170" spans="1:19" ht="13" thickBot="1">
      <c r="A170" s="85" t="s">
        <v>13</v>
      </c>
      <c r="B170" s="98" t="s">
        <v>25</v>
      </c>
      <c r="C170" s="259" t="s">
        <v>429</v>
      </c>
      <c r="D170" s="93">
        <v>3139938.687143309</v>
      </c>
      <c r="E170" s="93">
        <v>73377.941455631459</v>
      </c>
      <c r="F170" s="105">
        <v>3213316.6285989401</v>
      </c>
      <c r="G170" s="406"/>
      <c r="H170" s="94">
        <f t="shared" si="66"/>
        <v>1</v>
      </c>
      <c r="I170" s="94">
        <f t="shared" si="67"/>
        <v>1</v>
      </c>
      <c r="J170" s="94">
        <f t="shared" si="68"/>
        <v>1</v>
      </c>
      <c r="K170" s="85">
        <f>F170/F139</f>
        <v>0.9325514506385093</v>
      </c>
      <c r="L170"/>
    </row>
    <row r="172" spans="1:19" ht="12.7" thickBot="1">
      <c r="C172" s="85" t="s">
        <v>433</v>
      </c>
      <c r="D172" s="224">
        <f>D150+D160+D170</f>
        <v>10895201.751889</v>
      </c>
      <c r="E172" s="224">
        <f>E150+E160+E170</f>
        <v>1733660.4583000005</v>
      </c>
    </row>
    <row r="173" spans="1:19" ht="13" thickBot="1">
      <c r="A173" s="85" t="s">
        <v>14</v>
      </c>
      <c r="B173" s="99" t="s">
        <v>896</v>
      </c>
      <c r="C173" s="100"/>
      <c r="D173" s="101"/>
      <c r="E173" s="101"/>
      <c r="F173" s="103"/>
    </row>
    <row r="174" spans="1:19" ht="13" thickBot="1">
      <c r="A174" s="85" t="s">
        <v>14</v>
      </c>
      <c r="B174" s="258" t="s">
        <v>295</v>
      </c>
      <c r="C174" s="104"/>
      <c r="D174" s="89" t="s">
        <v>34</v>
      </c>
      <c r="E174" s="89" t="s">
        <v>33</v>
      </c>
      <c r="F174" s="89" t="s">
        <v>27</v>
      </c>
      <c r="P174" s="443">
        <f>P141</f>
        <v>2020</v>
      </c>
      <c r="Q174" s="443">
        <f t="shared" ref="Q174:S174" si="71">Q141</f>
        <v>2030</v>
      </c>
      <c r="R174" s="443">
        <f t="shared" si="71"/>
        <v>2040</v>
      </c>
      <c r="S174" s="443">
        <f t="shared" si="71"/>
        <v>2050</v>
      </c>
    </row>
    <row r="175" spans="1:19" ht="13" thickBot="1">
      <c r="A175" s="85" t="s">
        <v>14</v>
      </c>
      <c r="B175" s="216" t="s">
        <v>22</v>
      </c>
      <c r="C175" s="261" t="s">
        <v>42</v>
      </c>
      <c r="D175" s="247">
        <v>3081508.5867071724</v>
      </c>
      <c r="E175" s="248"/>
      <c r="F175" s="93">
        <v>3081508.5867071724</v>
      </c>
      <c r="M175" s="411">
        <f t="shared" ref="M175:M182" si="72">SUMIFS($E$95:$E$106,$C$95:$C$106,A175,$B$95:$B$106,B175)</f>
        <v>7566611.6634939834</v>
      </c>
      <c r="N175" s="427">
        <f>SUMPRODUCT('2017 end use splits'!$F$63:$M$65*('2017 end use splits'!$C$63:$C$65='Census 2011_17'!B175)*('2017 end use splits'!$F$19:$M$19='Census 2011_17'!C175))</f>
        <v>0.67539936490784724</v>
      </c>
      <c r="O175" s="85">
        <f>N175*M175</f>
        <v>5110484.7120281458</v>
      </c>
      <c r="P175" s="427">
        <f>$N175*(1+B$20)</f>
        <v>0.70514778717948168</v>
      </c>
      <c r="Q175" s="427">
        <f>$N175*(1+C$20)</f>
        <v>0.74921952387819923</v>
      </c>
      <c r="R175" s="427">
        <f>$N175*(1+D$20)</f>
        <v>0.79329126057691679</v>
      </c>
      <c r="S175" s="427">
        <f>$N175*(1+E$20)</f>
        <v>0.83736299727563446</v>
      </c>
    </row>
    <row r="176" spans="1:19" ht="13" thickBot="1">
      <c r="A176" s="85" t="s">
        <v>14</v>
      </c>
      <c r="B176" s="216" t="s">
        <v>22</v>
      </c>
      <c r="C176" s="221" t="s">
        <v>43</v>
      </c>
      <c r="D176" s="247">
        <v>62628.608320861553</v>
      </c>
      <c r="E176" s="247">
        <v>31494.773135572344</v>
      </c>
      <c r="F176" s="93">
        <v>94123.381456433897</v>
      </c>
      <c r="M176" s="411">
        <f t="shared" si="72"/>
        <v>7566611.6634939834</v>
      </c>
      <c r="N176" s="427">
        <f>SUMPRODUCT('2017 end use splits'!$F$63:$M$65*('2017 end use splits'!$C$63:$C$65='Census 2011_17'!B176)*('2017 end use splits'!$F$19:$M$19='Census 2011_17'!C176))</f>
        <v>2.9346534589993849E-2</v>
      </c>
      <c r="O176" s="85">
        <f t="shared" ref="O176:O182" si="73">N176*M176</f>
        <v>222053.8309117771</v>
      </c>
      <c r="P176" s="445">
        <f>$N176-($N175*B$20)*$N176/(1-$N175)</f>
        <v>2.6657035529265214E-2</v>
      </c>
      <c r="Q176" s="445">
        <f>$N176-($N175*C$20)*$N176/(1-$N175)</f>
        <v>2.2672592476333915E-2</v>
      </c>
      <c r="R176" s="445">
        <f>$N176-($N175*D$20)*$N176/(1-$N175)</f>
        <v>1.8688149423402606E-2</v>
      </c>
      <c r="S176" s="445">
        <f>$N176-($N175*E$20)*$N176/(1-$N175)</f>
        <v>1.4703706370471307E-2</v>
      </c>
    </row>
    <row r="177" spans="1:19" ht="13" thickBot="1">
      <c r="A177" s="85" t="s">
        <v>14</v>
      </c>
      <c r="B177" s="216" t="s">
        <v>22</v>
      </c>
      <c r="C177" s="262" t="s">
        <v>17</v>
      </c>
      <c r="D177" s="247">
        <v>317013.56851814012</v>
      </c>
      <c r="E177" s="247">
        <v>368680.93067894573</v>
      </c>
      <c r="F177" s="93">
        <v>685694.49919708585</v>
      </c>
      <c r="M177" s="411">
        <f t="shared" si="72"/>
        <v>7566611.6634939834</v>
      </c>
      <c r="N177" s="427">
        <f>SUMPRODUCT('2017 end use splits'!$F$63:$M$65*('2017 end use splits'!$C$63:$C$65='Census 2011_17'!B177)*('2017 end use splits'!$F$19:$M$19='Census 2011_17'!C177))</f>
        <v>0.1084836958109595</v>
      </c>
      <c r="O177" s="85">
        <f t="shared" si="73"/>
        <v>820853.99802213954</v>
      </c>
      <c r="P177" s="445">
        <f>$N177-($N175*B$20)*$N177/(1-$N175)</f>
        <v>9.8541574805386695E-2</v>
      </c>
      <c r="Q177" s="445">
        <f>$N177-($N175*C$20)*$N177/(1-$N175)</f>
        <v>8.3812506648982599E-2</v>
      </c>
      <c r="R177" s="445">
        <f>$N177-($N175*D$20)*$N177/(1-$N175)</f>
        <v>6.9083438492578475E-2</v>
      </c>
      <c r="S177" s="445">
        <f>$N177-($N175*E$20)*$N177/(1-$N175)</f>
        <v>5.4354370336174365E-2</v>
      </c>
    </row>
    <row r="178" spans="1:19" ht="13" thickBot="1">
      <c r="A178" s="85" t="s">
        <v>14</v>
      </c>
      <c r="B178" s="216" t="s">
        <v>22</v>
      </c>
      <c r="C178" s="262" t="s">
        <v>7</v>
      </c>
      <c r="D178" s="247">
        <v>707418.62578458106</v>
      </c>
      <c r="E178" s="247">
        <v>647643.26239992585</v>
      </c>
      <c r="F178" s="93">
        <v>1355061.8881845069</v>
      </c>
      <c r="L178" s="85">
        <f>O178/M111</f>
        <v>0.17487462183036445</v>
      </c>
      <c r="M178" s="411">
        <f t="shared" si="72"/>
        <v>7566611.6634939834</v>
      </c>
      <c r="N178" s="427">
        <f>SUMPRODUCT('2017 end use splits'!$F$63:$M$65*('2017 end use splits'!$C$63:$C$65='Census 2011_17'!B178)*('2017 end use splits'!$F$19:$M$19='Census 2011_17'!C178))</f>
        <v>0.17753768713742585</v>
      </c>
      <c r="O178" s="85">
        <f t="shared" si="73"/>
        <v>1343358.7342037922</v>
      </c>
      <c r="P178" s="445">
        <f>$N178-($N175*B$20)*$N178/(1-$N175)</f>
        <v>0.16126702862625542</v>
      </c>
      <c r="Q178" s="445">
        <f>$N178-($N175*C$20)*$N178/(1-$N175)</f>
        <v>0.13716234935044741</v>
      </c>
      <c r="R178" s="445">
        <f>$N178-($N175*D$20)*$N178/(1-$N175)</f>
        <v>0.11305767007463939</v>
      </c>
      <c r="S178" s="445">
        <f>$N178-($N175*E$20)*$N178/(1-$N175)</f>
        <v>8.8952990798831413E-2</v>
      </c>
    </row>
    <row r="179" spans="1:19" ht="13" thickBot="1">
      <c r="A179" s="85" t="s">
        <v>14</v>
      </c>
      <c r="B179" s="216" t="s">
        <v>22</v>
      </c>
      <c r="C179" s="262" t="s">
        <v>9</v>
      </c>
      <c r="D179" s="247">
        <v>85193.125128337517</v>
      </c>
      <c r="E179" s="247">
        <v>66483.691339507684</v>
      </c>
      <c r="F179" s="93">
        <v>151676.8164678452</v>
      </c>
      <c r="M179" s="411">
        <f t="shared" si="72"/>
        <v>7566611.6634939834</v>
      </c>
      <c r="N179" s="427">
        <f>SUMPRODUCT('2017 end use splits'!$F$63:$M$65*('2017 end use splits'!$C$63:$C$65='Census 2011_17'!B179)*('2017 end use splits'!$F$19:$M$19='Census 2011_17'!C179))</f>
        <v>5.3717268482180577E-3</v>
      </c>
      <c r="O179" s="85">
        <f t="shared" si="73"/>
        <v>40645.77102283053</v>
      </c>
      <c r="P179" s="445">
        <f>$N179-($N175*B$20)*$N179/(1-$N175)</f>
        <v>4.8794283702335642E-3</v>
      </c>
      <c r="Q179" s="445">
        <f>$N179-($N175*C$20)*$N179/(1-$N175)</f>
        <v>4.1500972917380211E-3</v>
      </c>
      <c r="R179" s="445">
        <f>$N179-($N175*D$20)*$N179/(1-$N175)</f>
        <v>3.4207662132424762E-3</v>
      </c>
      <c r="S179" s="445">
        <f>$N179-($N175*E$20)*$N179/(1-$N175)</f>
        <v>2.6914351347469326E-3</v>
      </c>
    </row>
    <row r="180" spans="1:19" ht="13" thickBot="1">
      <c r="A180" s="85" t="s">
        <v>14</v>
      </c>
      <c r="B180" s="216" t="s">
        <v>22</v>
      </c>
      <c r="C180" s="262" t="s">
        <v>46</v>
      </c>
      <c r="D180" s="247">
        <v>14645.409400000008</v>
      </c>
      <c r="E180" s="247">
        <v>13964.02620704125</v>
      </c>
      <c r="F180" s="93">
        <v>28609.435607041258</v>
      </c>
      <c r="M180" s="411">
        <f t="shared" si="72"/>
        <v>7566611.6634939834</v>
      </c>
      <c r="N180" s="427">
        <f>SUMPRODUCT('2017 end use splits'!$F$63:$M$65*('2017 end use splits'!$C$63:$C$65='Census 2011_17'!B180)*('2017 end use splits'!$F$19:$M$19='Census 2011_17'!C180))</f>
        <v>1.0754811389595148E-3</v>
      </c>
      <c r="O180" s="85">
        <f t="shared" si="73"/>
        <v>8137.7481299188585</v>
      </c>
      <c r="P180" s="445">
        <f>$N180-($N175*B$20)*$N180/(1-$N175)</f>
        <v>9.7691735439432714E-4</v>
      </c>
      <c r="Q180" s="445">
        <f>$N180-($N175*C$20)*$N180/(1-$N175)</f>
        <v>8.3089693281627216E-4</v>
      </c>
      <c r="R180" s="445">
        <f>$N180-($N175*D$20)*$N180/(1-$N175)</f>
        <v>6.8487651123821664E-4</v>
      </c>
      <c r="S180" s="445">
        <f>$N180-($N175*E$20)*$N180/(1-$N175)</f>
        <v>5.3885608966016145E-4</v>
      </c>
    </row>
    <row r="181" spans="1:19" ht="13" thickBot="1">
      <c r="A181" s="85" t="s">
        <v>14</v>
      </c>
      <c r="B181" s="216" t="s">
        <v>22</v>
      </c>
      <c r="C181" s="262" t="s">
        <v>44</v>
      </c>
      <c r="D181" s="247">
        <v>9013.8614900172215</v>
      </c>
      <c r="E181" s="247">
        <v>3573.7073757321177</v>
      </c>
      <c r="F181" s="93">
        <v>12587.568865749339</v>
      </c>
      <c r="M181" s="411">
        <f t="shared" si="72"/>
        <v>7566611.6634939834</v>
      </c>
      <c r="N181" s="427">
        <f>SUMPRODUCT('2017 end use splits'!$F$63:$M$65*('2017 end use splits'!$C$63:$C$65='Census 2011_17'!B181)*('2017 end use splits'!$F$19:$M$19='Census 2011_17'!C181))</f>
        <v>8.6720985003431331E-4</v>
      </c>
      <c r="O181" s="85">
        <f t="shared" si="73"/>
        <v>6561.8401659665033</v>
      </c>
      <c r="P181" s="445">
        <f>$N181-($N175*B$20)*$N181/(1-$N175)</f>
        <v>7.8773334251109933E-4</v>
      </c>
      <c r="Q181" s="445">
        <f>$N181-($N175*C$20)*$N181/(1-$N175)</f>
        <v>6.6999036840263444E-4</v>
      </c>
      <c r="R181" s="445">
        <f>$N181-($N175*D$20)*$N181/(1-$N175)</f>
        <v>5.5224739429416943E-4</v>
      </c>
      <c r="S181" s="445">
        <f>$N181-($N175*E$20)*$N181/(1-$N175)</f>
        <v>4.3450442018570459E-4</v>
      </c>
    </row>
    <row r="182" spans="1:19" ht="13" thickBot="1">
      <c r="A182" s="85" t="s">
        <v>14</v>
      </c>
      <c r="B182" s="216" t="s">
        <v>22</v>
      </c>
      <c r="C182" s="262" t="s">
        <v>41</v>
      </c>
      <c r="D182" s="247">
        <v>651.30676999999969</v>
      </c>
      <c r="E182" s="247">
        <v>449.28679999999986</v>
      </c>
      <c r="F182" s="93">
        <v>1100.5935699999995</v>
      </c>
      <c r="M182" s="411">
        <f t="shared" si="72"/>
        <v>7566611.6634939834</v>
      </c>
      <c r="N182" s="427">
        <f>SUMPRODUCT('2017 end use splits'!$F$63:$M$65*('2017 end use splits'!$C$63:$C$65='Census 2011_17'!B182)*('2017 end use splits'!$F$19:$M$19='Census 2011_17'!C182))</f>
        <v>1.9182997165616295E-3</v>
      </c>
      <c r="O182" s="85">
        <f t="shared" si="73"/>
        <v>14515.029009412428</v>
      </c>
      <c r="P182" s="445">
        <f>$N182-($N175*B$20)*$N182/(1-$N175)</f>
        <v>1.7424947924719674E-3</v>
      </c>
      <c r="Q182" s="445">
        <f>$N182-($N175*C$20)*$N182/(1-$N175)</f>
        <v>1.4820430530798764E-3</v>
      </c>
      <c r="R182" s="445">
        <f>$N182-($N175*D$20)*$N182/(1-$N175)</f>
        <v>1.2215913136877847E-3</v>
      </c>
      <c r="S182" s="445">
        <f>$N182-($N175*E$20)*$N182/(1-$N175)</f>
        <v>9.6113957429569364E-4</v>
      </c>
    </row>
    <row r="183" spans="1:19" ht="13" thickBot="1">
      <c r="A183" s="85" t="s">
        <v>14</v>
      </c>
      <c r="B183" s="216" t="s">
        <v>22</v>
      </c>
      <c r="C183" s="259" t="s">
        <v>429</v>
      </c>
      <c r="D183" s="93">
        <v>4278073.0921191098</v>
      </c>
      <c r="E183" s="93">
        <v>1132289.6779367246</v>
      </c>
      <c r="F183" s="105">
        <v>5410362.7700558333</v>
      </c>
      <c r="P183" s="444">
        <f>SUM(P175:P182)</f>
        <v>1</v>
      </c>
      <c r="Q183" s="444">
        <f t="shared" ref="Q183" si="74">SUM(Q175:Q182)</f>
        <v>0.99999999999999989</v>
      </c>
      <c r="R183" s="444">
        <f t="shared" ref="R183" si="75">SUM(R175:R182)</f>
        <v>0.99999999999999989</v>
      </c>
      <c r="S183" s="444">
        <f t="shared" ref="S183" si="76">SUM(S175:S182)</f>
        <v>1.0000000000000002</v>
      </c>
    </row>
    <row r="184" spans="1:19" ht="13" thickBot="1">
      <c r="A184" s="85" t="s">
        <v>14</v>
      </c>
      <c r="B184" s="258" t="s">
        <v>296</v>
      </c>
      <c r="C184" s="263"/>
      <c r="D184" s="89" t="s">
        <v>34</v>
      </c>
      <c r="E184" s="89" t="s">
        <v>33</v>
      </c>
      <c r="F184" s="89" t="s">
        <v>27</v>
      </c>
    </row>
    <row r="185" spans="1:19" ht="13" thickBot="1">
      <c r="A185" s="85" t="s">
        <v>14</v>
      </c>
      <c r="B185" s="95" t="s">
        <v>24</v>
      </c>
      <c r="C185" s="261" t="s">
        <v>42</v>
      </c>
      <c r="D185" s="247">
        <v>2656996.5305898534</v>
      </c>
      <c r="E185" s="248"/>
      <c r="F185" s="93">
        <v>2656996.5305898534</v>
      </c>
      <c r="M185" s="411">
        <f t="shared" ref="M185:M192" si="77">SUMIFS($E$95:$E$106,$C$95:$C$106,A185,$B$95:$B$106,B185)</f>
        <v>5489506.4554914497</v>
      </c>
      <c r="N185" s="427">
        <f>SUMPRODUCT('2017 end use splits'!$F$63:$M$65*('2017 end use splits'!$C$63:$C$65='Census 2011_17'!B185)*('2017 end use splits'!$F$19:$M$19='Census 2011_17'!C185))</f>
        <v>0.75206479821323602</v>
      </c>
      <c r="O185" s="85">
        <f>N185*M185</f>
        <v>4128464.5647394336</v>
      </c>
      <c r="P185" s="427">
        <f>$N185*(1+B$21)</f>
        <v>0.77465901961878381</v>
      </c>
      <c r="Q185" s="427">
        <f>$N185*(1+C$21)</f>
        <v>0.81769563181982741</v>
      </c>
      <c r="R185" s="427">
        <f>$N185*(1+D$21)</f>
        <v>0.81769563181982741</v>
      </c>
      <c r="S185" s="427">
        <f>$N185*(1+E$21)</f>
        <v>0.8607322440208709</v>
      </c>
    </row>
    <row r="186" spans="1:19" ht="13" thickBot="1">
      <c r="A186" s="85" t="s">
        <v>14</v>
      </c>
      <c r="B186" s="95" t="s">
        <v>24</v>
      </c>
      <c r="C186" s="221" t="s">
        <v>43</v>
      </c>
      <c r="D186" s="247">
        <v>53331.24894901544</v>
      </c>
      <c r="E186" s="247">
        <v>19583.217780920982</v>
      </c>
      <c r="F186" s="93">
        <v>72914.466729936423</v>
      </c>
      <c r="M186" s="411">
        <f t="shared" si="77"/>
        <v>5489506.4554914497</v>
      </c>
      <c r="N186" s="427">
        <f>SUMPRODUCT('2017 end use splits'!$F$63:$M$65*('2017 end use splits'!$C$63:$C$65='Census 2011_17'!B186)*('2017 end use splits'!$F$19:$M$19='Census 2011_17'!C186))</f>
        <v>2.9763913859880756E-2</v>
      </c>
      <c r="O186" s="85">
        <f t="shared" ref="O186:O192" si="78">N186*M186</f>
        <v>163389.19727450685</v>
      </c>
      <c r="P186" s="445">
        <f>$N186-($N185*B$21)*$N186/(1-$N185)</f>
        <v>2.7051542019176283E-2</v>
      </c>
      <c r="Q186" s="445">
        <f>$N186-($N185*C$21)*$N186/(1-$N185)</f>
        <v>2.1885119465453476E-2</v>
      </c>
      <c r="R186" s="445">
        <f>$N186-($N185*D$21)*$N186/(1-$N185)</f>
        <v>2.1885119465453476E-2</v>
      </c>
      <c r="S186" s="445">
        <f>$N186-($N185*E$21)*$N186/(1-$N185)</f>
        <v>1.6718696911730665E-2</v>
      </c>
    </row>
    <row r="187" spans="1:19" ht="13" thickBot="1">
      <c r="A187" s="85" t="s">
        <v>14</v>
      </c>
      <c r="B187" s="95" t="s">
        <v>24</v>
      </c>
      <c r="C187" s="262" t="s">
        <v>17</v>
      </c>
      <c r="D187" s="247">
        <v>247371.6675775809</v>
      </c>
      <c r="E187" s="247">
        <v>167593.45760659792</v>
      </c>
      <c r="F187" s="93">
        <v>414965.12518417882</v>
      </c>
      <c r="M187" s="411">
        <f t="shared" si="77"/>
        <v>5489506.4554914497</v>
      </c>
      <c r="N187" s="427">
        <f>SUMPRODUCT('2017 end use splits'!$F$63:$M$65*('2017 end use splits'!$C$63:$C$65='Census 2011_17'!B187)*('2017 end use splits'!$F$19:$M$19='Census 2011_17'!C187))</f>
        <v>8.5953276691331709E-2</v>
      </c>
      <c r="O187" s="85">
        <f t="shared" si="78"/>
        <v>471841.06726770819</v>
      </c>
      <c r="P187" s="445">
        <f>$N187-($N185*B$21)*$N187/(1-$N185)</f>
        <v>7.8120393945756442E-2</v>
      </c>
      <c r="Q187" s="445">
        <f>$N187-($N185*C$21)*$N187/(1-$N185)</f>
        <v>6.3200617287517871E-2</v>
      </c>
      <c r="R187" s="445">
        <f>$N187-($N185*D$21)*$N187/(1-$N185)</f>
        <v>6.3200617287517871E-2</v>
      </c>
      <c r="S187" s="445">
        <f>$N187-($N185*E$21)*$N187/(1-$N185)</f>
        <v>4.8280840629279259E-2</v>
      </c>
    </row>
    <row r="188" spans="1:19" ht="13" thickBot="1">
      <c r="A188" s="85" t="s">
        <v>14</v>
      </c>
      <c r="B188" s="95" t="s">
        <v>24</v>
      </c>
      <c r="C188" s="262" t="s">
        <v>7</v>
      </c>
      <c r="D188" s="247">
        <v>428214.74790157954</v>
      </c>
      <c r="E188" s="247">
        <v>293921.69641095906</v>
      </c>
      <c r="F188" s="93">
        <v>722136.4443125386</v>
      </c>
      <c r="L188" s="85">
        <f>O188/M121</f>
        <v>0.12201239514156337</v>
      </c>
      <c r="M188" s="411">
        <f t="shared" si="77"/>
        <v>5489506.4554914497</v>
      </c>
      <c r="N188" s="427">
        <f>SUMPRODUCT('2017 end use splits'!$F$63:$M$65*('2017 end use splits'!$C$63:$C$65='Census 2011_17'!B188)*('2017 end use splits'!$F$19:$M$19='Census 2011_17'!C188))</f>
        <v>0.1238704519203689</v>
      </c>
      <c r="O188" s="85">
        <f t="shared" si="78"/>
        <v>679987.64546150831</v>
      </c>
      <c r="P188" s="445">
        <f>$N188-($N185*B$21)*$N188/(1-$N185)</f>
        <v>0.11258219435901967</v>
      </c>
      <c r="Q188" s="445">
        <f>$N188-($N185*C$21)*$N188/(1-$N185)</f>
        <v>9.1080751385021169E-2</v>
      </c>
      <c r="R188" s="445">
        <f>$N188-($N185*D$21)*$N188/(1-$N185)</f>
        <v>9.1080751385021169E-2</v>
      </c>
      <c r="S188" s="445">
        <f>$N188-($N185*E$21)*$N188/(1-$N185)</f>
        <v>6.9579308411022611E-2</v>
      </c>
    </row>
    <row r="189" spans="1:19" ht="13" thickBot="1">
      <c r="A189" s="85" t="s">
        <v>14</v>
      </c>
      <c r="B189" s="95" t="s">
        <v>24</v>
      </c>
      <c r="C189" s="262" t="s">
        <v>9</v>
      </c>
      <c r="D189" s="247">
        <v>73701.271611120595</v>
      </c>
      <c r="E189" s="247">
        <v>38040.597806355872</v>
      </c>
      <c r="F189" s="93">
        <v>111741.86941747647</v>
      </c>
      <c r="M189" s="411">
        <f t="shared" si="77"/>
        <v>5489506.4554914497</v>
      </c>
      <c r="N189" s="427">
        <f>SUMPRODUCT('2017 end use splits'!$F$63:$M$65*('2017 end use splits'!$C$63:$C$65='Census 2011_17'!B189)*('2017 end use splits'!$F$19:$M$19='Census 2011_17'!C189))</f>
        <v>5.1811680697926811E-3</v>
      </c>
      <c r="O189" s="85">
        <f t="shared" si="78"/>
        <v>28442.055566113097</v>
      </c>
      <c r="P189" s="445">
        <f>$N189-($N185*B$21)*$N189/(1-$N185)</f>
        <v>4.7090105961277197E-3</v>
      </c>
      <c r="Q189" s="445">
        <f>$N189-($N185*C$21)*$N189/(1-$N185)</f>
        <v>3.8096630272420806E-3</v>
      </c>
      <c r="R189" s="445">
        <f>$N189-($N185*D$21)*$N189/(1-$N185)</f>
        <v>3.8096630272420806E-3</v>
      </c>
      <c r="S189" s="445">
        <f>$N189-($N185*E$21)*$N189/(1-$N185)</f>
        <v>2.9103154583564389E-3</v>
      </c>
    </row>
    <row r="190" spans="1:19" ht="13" thickBot="1">
      <c r="A190" s="85" t="s">
        <v>14</v>
      </c>
      <c r="B190" s="95" t="s">
        <v>24</v>
      </c>
      <c r="C190" s="262" t="s">
        <v>46</v>
      </c>
      <c r="D190" s="247">
        <v>9339.2435200000036</v>
      </c>
      <c r="E190" s="247">
        <v>6422.9820594999037</v>
      </c>
      <c r="F190" s="93">
        <v>15762.225579499907</v>
      </c>
      <c r="M190" s="411">
        <f t="shared" si="77"/>
        <v>5489506.4554914497</v>
      </c>
      <c r="N190" s="427">
        <f>SUMPRODUCT('2017 end use splits'!$F$63:$M$65*('2017 end use splits'!$C$63:$C$65='Census 2011_17'!B190)*('2017 end use splits'!$F$19:$M$19='Census 2011_17'!C190))</f>
        <v>7.7576124276791994E-4</v>
      </c>
      <c r="O190" s="85">
        <f t="shared" si="78"/>
        <v>4258.5463500945662</v>
      </c>
      <c r="P190" s="445">
        <f>$N190-($N185*B$21)*$N190/(1-$N185)</f>
        <v>7.0506647594728903E-4</v>
      </c>
      <c r="Q190" s="445">
        <f>$N190-($N185*C$21)*$N190/(1-$N185)</f>
        <v>5.7040977724132568E-4</v>
      </c>
      <c r="R190" s="445">
        <f>$N190-($N185*D$21)*$N190/(1-$N185)</f>
        <v>5.7040977724132568E-4</v>
      </c>
      <c r="S190" s="445">
        <f>$N190-($N185*E$21)*$N190/(1-$N185)</f>
        <v>4.357530785353619E-4</v>
      </c>
    </row>
    <row r="191" spans="1:19" ht="13" thickBot="1">
      <c r="A191" s="85" t="s">
        <v>14</v>
      </c>
      <c r="B191" s="95" t="s">
        <v>24</v>
      </c>
      <c r="C191" s="262" t="s">
        <v>44</v>
      </c>
      <c r="D191" s="247">
        <v>7773.7888474305737</v>
      </c>
      <c r="E191" s="247">
        <v>2240.5726533105872</v>
      </c>
      <c r="F191" s="93">
        <v>10014.361500741161</v>
      </c>
      <c r="M191" s="411">
        <f t="shared" si="77"/>
        <v>5489506.4554914497</v>
      </c>
      <c r="N191" s="427">
        <f>SUMPRODUCT('2017 end use splits'!$F$63:$M$65*('2017 end use splits'!$C$63:$C$65='Census 2011_17'!B191)*('2017 end use splits'!$F$19:$M$19='Census 2011_17'!C191))</f>
        <v>9.0328050830501539E-4</v>
      </c>
      <c r="O191" s="85">
        <f t="shared" si="78"/>
        <v>4958.5641814599803</v>
      </c>
      <c r="P191" s="445">
        <f>$N191-($N185*B$21)*$N191/(1-$N185)</f>
        <v>8.2096496920898996E-4</v>
      </c>
      <c r="Q191" s="445">
        <f>$N191-($N185*C$21)*$N191/(1-$N185)</f>
        <v>6.6417346616894166E-4</v>
      </c>
      <c r="R191" s="445">
        <f>$N191-($N185*D$21)*$N191/(1-$N185)</f>
        <v>6.6417346616894166E-4</v>
      </c>
      <c r="S191" s="445">
        <f>$N191-($N185*E$21)*$N191/(1-$N185)</f>
        <v>5.0738196312889294E-4</v>
      </c>
    </row>
    <row r="192" spans="1:19" ht="13" thickBot="1">
      <c r="A192" s="85" t="s">
        <v>14</v>
      </c>
      <c r="B192" s="95" t="s">
        <v>24</v>
      </c>
      <c r="C192" s="262" t="s">
        <v>41</v>
      </c>
      <c r="D192" s="247">
        <v>461.47362999999984</v>
      </c>
      <c r="E192" s="247">
        <v>190.31459000000018</v>
      </c>
      <c r="F192" s="93">
        <v>651.78822000000002</v>
      </c>
      <c r="M192" s="411">
        <f t="shared" si="77"/>
        <v>5489506.4554914497</v>
      </c>
      <c r="N192" s="427">
        <f>SUMPRODUCT('2017 end use splits'!$F$63:$M$65*('2017 end use splits'!$C$63:$C$65='Census 2011_17'!B192)*('2017 end use splits'!$F$19:$M$19='Census 2011_17'!C192))</f>
        <v>1.487349494316788E-3</v>
      </c>
      <c r="O192" s="85">
        <f t="shared" si="78"/>
        <v>8164.8146506239509</v>
      </c>
      <c r="P192" s="445">
        <f>$N192-($N185*B$21)*$N192/(1-$N185)</f>
        <v>1.3518080159795349E-3</v>
      </c>
      <c r="Q192" s="445">
        <f>$N192-($N185*C$21)*$N192/(1-$N185)</f>
        <v>1.0936337715276244E-3</v>
      </c>
      <c r="R192" s="445">
        <f>$N192-($N185*D$21)*$N192/(1-$N185)</f>
        <v>1.0936337715276244E-3</v>
      </c>
      <c r="S192" s="445">
        <f>$N192-($N185*E$21)*$N192/(1-$N185)</f>
        <v>8.3545952707571346E-4</v>
      </c>
    </row>
    <row r="193" spans="1:19" ht="13" thickBot="1">
      <c r="A193" s="85" t="s">
        <v>14</v>
      </c>
      <c r="B193" s="95" t="s">
        <v>24</v>
      </c>
      <c r="C193" s="259" t="s">
        <v>429</v>
      </c>
      <c r="D193" s="93">
        <v>3477189.9726265804</v>
      </c>
      <c r="E193" s="93">
        <v>527992.83890764427</v>
      </c>
      <c r="F193" s="105">
        <v>4005182.8115342241</v>
      </c>
      <c r="P193" s="444">
        <f>SUM(P185:P192)</f>
        <v>0.99999999999999978</v>
      </c>
      <c r="Q193" s="444">
        <f t="shared" ref="Q193" si="79">SUM(Q185:Q192)</f>
        <v>0.99999999999999989</v>
      </c>
      <c r="R193" s="444">
        <f t="shared" ref="R193" si="80">SUM(R185:R192)</f>
        <v>0.99999999999999989</v>
      </c>
      <c r="S193" s="444">
        <f t="shared" ref="S193" si="81">SUM(S185:S192)</f>
        <v>0.99999999999999989</v>
      </c>
    </row>
    <row r="194" spans="1:19" ht="13" thickBot="1">
      <c r="A194" s="85" t="s">
        <v>14</v>
      </c>
      <c r="B194" s="260" t="s">
        <v>297</v>
      </c>
      <c r="C194" s="264"/>
      <c r="D194" s="89" t="s">
        <v>34</v>
      </c>
      <c r="E194" s="89" t="s">
        <v>33</v>
      </c>
      <c r="F194" s="89" t="s">
        <v>27</v>
      </c>
    </row>
    <row r="195" spans="1:19" ht="13" thickBot="1">
      <c r="A195" s="85" t="s">
        <v>14</v>
      </c>
      <c r="B195" s="98" t="s">
        <v>25</v>
      </c>
      <c r="C195" s="261" t="s">
        <v>42</v>
      </c>
      <c r="D195" s="247">
        <v>2716677.6504021734</v>
      </c>
      <c r="E195" s="248"/>
      <c r="F195" s="93">
        <v>2716677.6504021734</v>
      </c>
      <c r="M195" s="411">
        <f t="shared" ref="M195:M202" si="82">SUMIFS($E$95:$E$106,$C$95:$C$106,A195,$B$95:$B$106,B195)</f>
        <v>4113425.0269645648</v>
      </c>
      <c r="N195" s="427">
        <f>SUMPRODUCT('2017 end use splits'!$F$63:$M$65*('2017 end use splits'!$C$63:$C$65='Census 2011_17'!B195)*('2017 end use splits'!$F$19:$M$19='Census 2011_17'!C195))</f>
        <v>0.84428287819558911</v>
      </c>
      <c r="O195" s="85">
        <f>N195*M195</f>
        <v>3472894.3210074115</v>
      </c>
    </row>
    <row r="196" spans="1:19" ht="13" thickBot="1">
      <c r="A196" s="85" t="s">
        <v>14</v>
      </c>
      <c r="B196" s="98" t="s">
        <v>25</v>
      </c>
      <c r="C196" s="221" t="s">
        <v>43</v>
      </c>
      <c r="D196" s="247">
        <v>181127.04626012294</v>
      </c>
      <c r="E196" s="247">
        <v>8897.3064635065093</v>
      </c>
      <c r="F196" s="93">
        <v>190024.35272362945</v>
      </c>
      <c r="M196" s="411">
        <f t="shared" si="82"/>
        <v>4113425.0269645648</v>
      </c>
      <c r="N196" s="427">
        <f>SUMPRODUCT('2017 end use splits'!$F$63:$M$65*('2017 end use splits'!$C$63:$C$65='Census 2011_17'!B196)*('2017 end use splits'!$F$19:$M$19='Census 2011_17'!C196))</f>
        <v>9.2448546179323479E-2</v>
      </c>
      <c r="O196" s="85">
        <f t="shared" ref="O196:O202" si="83">N196*M196</f>
        <v>380280.16356051847</v>
      </c>
    </row>
    <row r="197" spans="1:19" ht="13" thickBot="1">
      <c r="A197" s="85" t="s">
        <v>14</v>
      </c>
      <c r="B197" s="98" t="s">
        <v>25</v>
      </c>
      <c r="C197" s="262" t="s">
        <v>17</v>
      </c>
      <c r="D197" s="247">
        <v>104617.97237427889</v>
      </c>
      <c r="E197" s="247">
        <v>24945.347294456587</v>
      </c>
      <c r="F197" s="93">
        <v>129563.31966873548</v>
      </c>
      <c r="M197" s="411">
        <f t="shared" si="82"/>
        <v>4113425.0269645648</v>
      </c>
      <c r="N197" s="427">
        <f>SUMPRODUCT('2017 end use splits'!$F$63:$M$65*('2017 end use splits'!$C$63:$C$65='Census 2011_17'!B197)*('2017 end use splits'!$F$19:$M$19='Census 2011_17'!C197))</f>
        <v>3.198507654717684E-2</v>
      </c>
      <c r="O197" s="85">
        <f t="shared" si="83"/>
        <v>131568.21435853455</v>
      </c>
    </row>
    <row r="198" spans="1:19" ht="13" thickBot="1">
      <c r="A198" s="85" t="s">
        <v>14</v>
      </c>
      <c r="B198" s="98" t="s">
        <v>25</v>
      </c>
      <c r="C198" s="262" t="s">
        <v>7</v>
      </c>
      <c r="D198" s="247">
        <v>94991.018443639536</v>
      </c>
      <c r="E198" s="247">
        <v>31192.971959115821</v>
      </c>
      <c r="F198" s="93">
        <v>126183.99040275536</v>
      </c>
      <c r="L198" s="85">
        <f>O198/M131</f>
        <v>2.540992806407949E-2</v>
      </c>
      <c r="M198" s="411">
        <f t="shared" si="82"/>
        <v>4113425.0269645648</v>
      </c>
      <c r="N198" s="427">
        <f>SUMPRODUCT('2017 end use splits'!$F$63:$M$65*('2017 end use splits'!$C$63:$C$65='Census 2011_17'!B198)*('2017 end use splits'!$F$19:$M$19='Census 2011_17'!C198))</f>
        <v>2.5796881283329434E-2</v>
      </c>
      <c r="O198" s="85">
        <f t="shared" si="83"/>
        <v>106113.53708848105</v>
      </c>
    </row>
    <row r="199" spans="1:19" ht="13" thickBot="1">
      <c r="A199" s="85" t="s">
        <v>14</v>
      </c>
      <c r="B199" s="98" t="s">
        <v>25</v>
      </c>
      <c r="C199" s="262" t="s">
        <v>9</v>
      </c>
      <c r="D199" s="247">
        <v>24780.785080541897</v>
      </c>
      <c r="E199" s="247">
        <v>5749.2185641364485</v>
      </c>
      <c r="F199" s="93">
        <v>30530.003644678345</v>
      </c>
      <c r="M199" s="411">
        <f t="shared" si="82"/>
        <v>4113425.0269645648</v>
      </c>
      <c r="N199" s="427">
        <f>SUMPRODUCT('2017 end use splits'!$F$63:$M$65*('2017 end use splits'!$C$63:$C$65='Census 2011_17'!B199)*('2017 end use splits'!$F$19:$M$19='Census 2011_17'!C199))</f>
        <v>1.6871476556303481E-3</v>
      </c>
      <c r="O199" s="85">
        <f t="shared" si="83"/>
        <v>6939.9553908544667</v>
      </c>
    </row>
    <row r="200" spans="1:19" ht="13" thickBot="1">
      <c r="A200" s="85" t="s">
        <v>14</v>
      </c>
      <c r="B200" s="98" t="s">
        <v>25</v>
      </c>
      <c r="C200" s="262" t="s">
        <v>46</v>
      </c>
      <c r="D200" s="247">
        <v>3189.05645</v>
      </c>
      <c r="E200" s="247">
        <v>689.81220345881911</v>
      </c>
      <c r="F200" s="93">
        <v>3878.8686534588192</v>
      </c>
      <c r="M200" s="411">
        <f t="shared" si="82"/>
        <v>4113425.0269645648</v>
      </c>
      <c r="N200" s="427">
        <f>SUMPRODUCT('2017 end use splits'!$F$63:$M$65*('2017 end use splits'!$C$63:$C$65='Census 2011_17'!B200)*('2017 end use splits'!$F$19:$M$19='Census 2011_17'!C200))</f>
        <v>2.2752551312282698E-4</v>
      </c>
      <c r="O200" s="85">
        <f t="shared" si="83"/>
        <v>935.909139952391</v>
      </c>
    </row>
    <row r="201" spans="1:19" ht="13" thickBot="1">
      <c r="A201" s="85" t="s">
        <v>14</v>
      </c>
      <c r="B201" s="98" t="s">
        <v>25</v>
      </c>
      <c r="C201" s="262" t="s">
        <v>44</v>
      </c>
      <c r="D201" s="247">
        <v>13916.041072552209</v>
      </c>
      <c r="E201" s="247">
        <v>1852.3167109572896</v>
      </c>
      <c r="F201" s="93">
        <v>15768.357783509498</v>
      </c>
      <c r="M201" s="411">
        <f t="shared" si="82"/>
        <v>4113425.0269645648</v>
      </c>
      <c r="N201" s="427">
        <f>SUMPRODUCT('2017 end use splits'!$F$63:$M$65*('2017 end use splits'!$C$63:$C$65='Census 2011_17'!B201)*('2017 end use splits'!$F$19:$M$19='Census 2011_17'!C201))</f>
        <v>1.69511953434793E-3</v>
      </c>
      <c r="O201" s="85">
        <f t="shared" si="83"/>
        <v>6972.7471162832944</v>
      </c>
    </row>
    <row r="202" spans="1:19" ht="13" thickBot="1">
      <c r="A202" s="85" t="s">
        <v>14</v>
      </c>
      <c r="B202" s="98" t="s">
        <v>25</v>
      </c>
      <c r="C202" s="262" t="s">
        <v>41</v>
      </c>
      <c r="D202" s="247">
        <v>639.11705999999981</v>
      </c>
      <c r="E202" s="247">
        <v>50.9682600000001</v>
      </c>
      <c r="F202" s="93">
        <v>690.08531999999991</v>
      </c>
      <c r="M202" s="411">
        <f t="shared" si="82"/>
        <v>4113425.0269645648</v>
      </c>
      <c r="N202" s="427">
        <f>SUMPRODUCT('2017 end use splits'!$F$63:$M$65*('2017 end use splits'!$C$63:$C$65='Census 2011_17'!B202)*('2017 end use splits'!$F$19:$M$19='Census 2011_17'!C202))</f>
        <v>1.8768250914800362E-3</v>
      </c>
      <c r="O202" s="85">
        <f t="shared" si="83"/>
        <v>7720.1793025290399</v>
      </c>
    </row>
    <row r="203" spans="1:19" ht="13" thickBot="1">
      <c r="A203" s="85" t="s">
        <v>14</v>
      </c>
      <c r="B203" s="98" t="s">
        <v>25</v>
      </c>
      <c r="C203" s="259" t="s">
        <v>429</v>
      </c>
      <c r="D203" s="93">
        <v>3139938.687143309</v>
      </c>
      <c r="E203" s="93">
        <v>73377.941455631459</v>
      </c>
      <c r="F203" s="105">
        <v>3213316.6285989401</v>
      </c>
    </row>
    <row r="204" spans="1:19">
      <c r="D204" s="224"/>
      <c r="E204" s="224"/>
    </row>
    <row r="205" spans="1:19" customFormat="1" ht="12.7">
      <c r="A205" s="85" t="s">
        <v>323</v>
      </c>
      <c r="B205" s="222" t="s">
        <v>18</v>
      </c>
      <c r="C205" t="s">
        <v>55</v>
      </c>
      <c r="D205" s="85">
        <v>656307.33508305065</v>
      </c>
      <c r="E205" s="85">
        <v>277541.14498945</v>
      </c>
    </row>
    <row r="206" spans="1:19" customFormat="1" ht="12.7">
      <c r="A206" s="85" t="s">
        <v>323</v>
      </c>
      <c r="B206" s="222" t="s">
        <v>24</v>
      </c>
      <c r="C206" t="s">
        <v>55</v>
      </c>
      <c r="D206" s="85">
        <v>472372.80664586509</v>
      </c>
      <c r="E206" s="85">
        <v>128664.41323867033</v>
      </c>
    </row>
    <row r="207" spans="1:19" customFormat="1" ht="12.7">
      <c r="A207" s="85" t="s">
        <v>323</v>
      </c>
      <c r="B207" s="222" t="s">
        <v>59</v>
      </c>
      <c r="C207" t="s">
        <v>55</v>
      </c>
      <c r="D207" s="85">
        <v>218514.65195108452</v>
      </c>
      <c r="E207" s="85">
        <v>19971.579971879022</v>
      </c>
    </row>
    <row r="208" spans="1:19" customFormat="1" ht="12.7">
      <c r="D208" s="85"/>
      <c r="E208" s="85"/>
    </row>
    <row r="209" spans="1:19" customFormat="1" ht="12.7">
      <c r="C209" t="s">
        <v>431</v>
      </c>
      <c r="D209" s="86">
        <f>D119+D129+D139</f>
        <v>12228642.677698497</v>
      </c>
      <c r="E209" s="86">
        <f>E119+E129+E139</f>
        <v>2126485.2658100007</v>
      </c>
    </row>
    <row r="210" spans="1:19" customFormat="1" ht="12.7">
      <c r="C210" t="s">
        <v>432</v>
      </c>
      <c r="D210" s="223">
        <f>D172+D205+D206+D207</f>
        <v>12242396.545568999</v>
      </c>
      <c r="E210" s="223">
        <f>E172+E205+E206+E207</f>
        <v>2159837.5965</v>
      </c>
    </row>
    <row r="211" spans="1:19" customFormat="1" ht="13" thickBot="1"/>
    <row r="212" spans="1:19" customFormat="1" ht="13" thickBot="1">
      <c r="A212" s="472" t="s">
        <v>11</v>
      </c>
      <c r="B212" s="235"/>
      <c r="C212" s="235"/>
      <c r="D212" s="236" t="s">
        <v>34</v>
      </c>
      <c r="E212" s="236" t="s">
        <v>434</v>
      </c>
      <c r="F212" s="235" t="s">
        <v>27</v>
      </c>
      <c r="G212" s="237"/>
      <c r="H212" s="238" t="s">
        <v>34</v>
      </c>
      <c r="I212" s="239" t="s">
        <v>33</v>
      </c>
      <c r="J212" s="238" t="s">
        <v>27</v>
      </c>
      <c r="N212" s="14" t="s">
        <v>861</v>
      </c>
      <c r="P212" s="443">
        <f>P174</f>
        <v>2020</v>
      </c>
      <c r="Q212" s="443">
        <f t="shared" ref="Q212:S212" si="84">Q174</f>
        <v>2030</v>
      </c>
      <c r="R212" s="443">
        <f t="shared" si="84"/>
        <v>2040</v>
      </c>
      <c r="S212" s="443">
        <f t="shared" si="84"/>
        <v>2050</v>
      </c>
    </row>
    <row r="213" spans="1:19" customFormat="1" ht="12.7">
      <c r="A213" s="18" t="s">
        <v>11</v>
      </c>
      <c r="B213" s="226" t="s">
        <v>22</v>
      </c>
      <c r="C213" s="227" t="s">
        <v>42</v>
      </c>
      <c r="D213" s="228">
        <v>4934382.4149125442</v>
      </c>
      <c r="E213" s="18"/>
      <c r="F213" s="229">
        <f t="shared" ref="F213:F237" si="85">SUM(D213:E213)</f>
        <v>4934382.4149125442</v>
      </c>
      <c r="H213" s="92">
        <f>D213/D$220</f>
        <v>1</v>
      </c>
      <c r="I213" s="92">
        <f>E213/E$220</f>
        <v>0</v>
      </c>
      <c r="J213" s="92">
        <f>F213/F$220</f>
        <v>0.77484957211901018</v>
      </c>
      <c r="M213" s="411">
        <f t="shared" ref="M213:M220" si="86">SUMIFS($E$95:$E$106,$C$95:$C$106,A213,$B$95:$B$106,B213)</f>
        <v>7681839.2522781566</v>
      </c>
      <c r="N213" s="427">
        <f>SUMPRODUCT('2017 end use splits'!$F$48:$O$50*('2017 end use splits'!$C$48:$C$50='Census 2011_17'!B213)*('2017 end use splits'!$F$19:$O$19='Census 2011_17'!C213))</f>
        <v>0.77484957211901018</v>
      </c>
      <c r="O213">
        <f>N213*M213</f>
        <v>5952269.8577147471</v>
      </c>
      <c r="P213" s="427">
        <f>$N213*(1+B$20)</f>
        <v>0.80897834609488839</v>
      </c>
      <c r="Q213" s="427">
        <f>$N213*(1+C$20)</f>
        <v>0.85953949272581875</v>
      </c>
      <c r="R213" s="427">
        <f>$N213*(1+D$20)</f>
        <v>0.91010063935674923</v>
      </c>
      <c r="S213" s="427">
        <f>$N213*(1+E$20)</f>
        <v>0.96066178598767982</v>
      </c>
    </row>
    <row r="214" spans="1:19" customFormat="1" ht="12.7">
      <c r="A214" s="18" t="s">
        <v>11</v>
      </c>
      <c r="B214" s="226" t="s">
        <v>18</v>
      </c>
      <c r="C214" s="227" t="s">
        <v>43</v>
      </c>
      <c r="D214" s="18"/>
      <c r="E214" s="18">
        <v>17869.826769999992</v>
      </c>
      <c r="F214" s="229">
        <f t="shared" si="85"/>
        <v>17869.826769999992</v>
      </c>
      <c r="H214" s="92">
        <f t="shared" ref="H214:H219" si="87">D214/D$220</f>
        <v>0</v>
      </c>
      <c r="I214" s="92">
        <f t="shared" ref="I214:J219" si="88">E214/E$220</f>
        <v>1.246327446399524E-2</v>
      </c>
      <c r="J214" s="92">
        <f t="shared" si="88"/>
        <v>2.8061115783667404E-3</v>
      </c>
      <c r="M214" s="411">
        <f t="shared" si="86"/>
        <v>7681839.2522781566</v>
      </c>
      <c r="N214" s="427">
        <f>SUMPRODUCT('2017 end use splits'!$F$48:$O$50*('2017 end use splits'!$C$48:$C$50='Census 2011_17'!B214)*('2017 end use splits'!$F$19:$O$19='Census 2011_17'!C214))</f>
        <v>2.8061115783667404E-3</v>
      </c>
      <c r="O214">
        <f t="shared" ref="O214:O220" si="89">N214*M214</f>
        <v>21556.098068969837</v>
      </c>
      <c r="P214" s="445">
        <f>$N214-($N213*B$20)*$N214/(1-$N213)</f>
        <v>2.3807553011857131E-3</v>
      </c>
      <c r="Q214" s="445">
        <f>$N214-($N213*C$20)*$N214/(1-$N213)</f>
        <v>1.7505978535101191E-3</v>
      </c>
      <c r="R214" s="445">
        <f>$N214-($N213*D$20)*$N214/(1-$N213)</f>
        <v>1.1204404058345236E-3</v>
      </c>
      <c r="S214" s="445">
        <f>$N214-($N213*E$20)*$N214/(1-$N213)</f>
        <v>4.9028295815892924E-4</v>
      </c>
    </row>
    <row r="215" spans="1:19" customFormat="1" ht="12.7">
      <c r="A215" s="18" t="s">
        <v>11</v>
      </c>
      <c r="B215" s="226" t="s">
        <v>18</v>
      </c>
      <c r="C215" s="227" t="s">
        <v>17</v>
      </c>
      <c r="D215" s="18"/>
      <c r="E215" s="18">
        <v>274321.35216982913</v>
      </c>
      <c r="F215" s="229">
        <f t="shared" si="85"/>
        <v>274321.35216982913</v>
      </c>
      <c r="H215" s="92">
        <f t="shared" si="87"/>
        <v>0</v>
      </c>
      <c r="I215" s="92">
        <f t="shared" si="88"/>
        <v>0.19132487110432564</v>
      </c>
      <c r="J215" s="92">
        <f t="shared" si="88"/>
        <v>4.3076876593414117E-2</v>
      </c>
      <c r="L215">
        <f>E214+E216+E217+E218</f>
        <v>1159477.3515033966</v>
      </c>
      <c r="M215" s="411">
        <f t="shared" si="86"/>
        <v>7681839.2522781566</v>
      </c>
      <c r="N215" s="427">
        <f>SUMPRODUCT('2017 end use splits'!$F$48:$O$50*('2017 end use splits'!$C$48:$C$50='Census 2011_17'!B215)*('2017 end use splits'!$F$19:$O$19='Census 2011_17'!C215))</f>
        <v>4.3076876593414117E-2</v>
      </c>
      <c r="O215">
        <f t="shared" si="89"/>
        <v>330909.64148083073</v>
      </c>
      <c r="P215" s="445">
        <f>$N215-($N213*B$20)*$N215/(1-$N213)</f>
        <v>3.6547193311530571E-2</v>
      </c>
      <c r="Q215" s="445">
        <f>$N215-($N213*C$20)*$N215/(1-$N213)</f>
        <v>2.6873588449480897E-2</v>
      </c>
      <c r="R215" s="445">
        <f>$N215-($N213*D$20)*$N215/(1-$N213)</f>
        <v>1.719998358743121E-2</v>
      </c>
      <c r="S215" s="445">
        <f>$N215-($N213*E$20)*$N215/(1-$N213)</f>
        <v>7.5263787253815259E-3</v>
      </c>
    </row>
    <row r="216" spans="1:19" customFormat="1" ht="12.7">
      <c r="A216" s="18" t="s">
        <v>11</v>
      </c>
      <c r="B216" s="226" t="s">
        <v>18</v>
      </c>
      <c r="C216" s="428" t="s">
        <v>2</v>
      </c>
      <c r="D216" s="18"/>
      <c r="E216" s="18">
        <v>1088744.5315500766</v>
      </c>
      <c r="F216" s="229">
        <f t="shared" si="85"/>
        <v>1088744.5315500766</v>
      </c>
      <c r="H216" s="92">
        <f t="shared" si="87"/>
        <v>0</v>
      </c>
      <c r="I216" s="92">
        <f t="shared" si="88"/>
        <v>0.75934266697329234</v>
      </c>
      <c r="J216" s="92">
        <f t="shared" si="88"/>
        <v>0.17096632637732861</v>
      </c>
      <c r="M216" s="411">
        <f t="shared" si="86"/>
        <v>7681839.2522781566</v>
      </c>
      <c r="N216" s="427">
        <f>SUMPRODUCT('2017 end use splits'!$F$48:$O$50*('2017 end use splits'!$C$48:$C$50='Census 2011_17'!B216)*('2017 end use splits'!$F$19:$O$19='Census 2011_17'!C216))</f>
        <v>0.17096632637732861</v>
      </c>
      <c r="O216">
        <f t="shared" si="89"/>
        <v>1313335.8367831614</v>
      </c>
      <c r="P216" s="445">
        <f>$N216-($N213*B$20)*$N216/(1-$N213)</f>
        <v>0.14505089212595662</v>
      </c>
      <c r="Q216" s="445">
        <f>$N216-($N213*C$20)*$N216/(1-$N213)</f>
        <v>0.10665765619799822</v>
      </c>
      <c r="R216" s="445">
        <f>$N216-($N213*D$20)*$N216/(1-$N213)</f>
        <v>6.8264420270039747E-2</v>
      </c>
      <c r="S216" s="445">
        <f>$N216-($N213*E$20)*$N216/(1-$N213)</f>
        <v>2.9871184342081303E-2</v>
      </c>
    </row>
    <row r="217" spans="1:19" customFormat="1" ht="12.7">
      <c r="A217" s="18" t="s">
        <v>11</v>
      </c>
      <c r="B217" s="226" t="s">
        <v>18</v>
      </c>
      <c r="C217" s="227" t="s">
        <v>44</v>
      </c>
      <c r="D217" s="18"/>
      <c r="E217" s="18">
        <v>24110.493553320201</v>
      </c>
      <c r="F217" s="229">
        <f t="shared" si="85"/>
        <v>24110.493553320201</v>
      </c>
      <c r="H217" s="92">
        <f t="shared" si="87"/>
        <v>0</v>
      </c>
      <c r="I217" s="92">
        <f t="shared" si="88"/>
        <v>1.6815814864075351E-2</v>
      </c>
      <c r="J217" s="92">
        <f t="shared" si="88"/>
        <v>3.7860879118140718E-3</v>
      </c>
      <c r="M217" s="411">
        <f t="shared" si="86"/>
        <v>7681839.2522781566</v>
      </c>
      <c r="N217" s="427">
        <f>SUMPRODUCT('2017 end use splits'!$F$48:$O$50*('2017 end use splits'!$C$48:$C$50='Census 2011_17'!B217)*('2017 end use splits'!$F$19:$O$19='Census 2011_17'!C217))</f>
        <v>3.7860879118140718E-3</v>
      </c>
      <c r="O217">
        <f t="shared" si="89"/>
        <v>29084.118733549178</v>
      </c>
      <c r="P217" s="445">
        <f>$N217-($N213*B$20)*$N217/(1-$N213)</f>
        <v>3.2121847670978322E-3</v>
      </c>
      <c r="Q217" s="445">
        <f>$N217-($N213*C$20)*$N217/(1-$N213)</f>
        <v>2.3619578860367392E-3</v>
      </c>
      <c r="R217" s="445">
        <f>$N217-($N213*D$20)*$N217/(1-$N213)</f>
        <v>1.5117310049756441E-3</v>
      </c>
      <c r="S217" s="445">
        <f>$N217-($N213*E$20)*$N217/(1-$N213)</f>
        <v>6.6150412391455075E-4</v>
      </c>
    </row>
    <row r="218" spans="1:19" customFormat="1" ht="12.7">
      <c r="A218" s="18" t="s">
        <v>11</v>
      </c>
      <c r="B218" s="226" t="s">
        <v>18</v>
      </c>
      <c r="C218" s="227" t="s">
        <v>47</v>
      </c>
      <c r="D218" s="18"/>
      <c r="E218" s="18">
        <v>28752.499630000002</v>
      </c>
      <c r="F218" s="229">
        <f t="shared" si="85"/>
        <v>28752.499630000002</v>
      </c>
      <c r="H218" s="92">
        <f t="shared" si="87"/>
        <v>0</v>
      </c>
      <c r="I218" s="92">
        <f t="shared" si="88"/>
        <v>2.0053372594311485E-2</v>
      </c>
      <c r="J218" s="92">
        <f t="shared" si="88"/>
        <v>4.5150254200661431E-3</v>
      </c>
      <c r="M218" s="411">
        <f t="shared" si="86"/>
        <v>7681839.2522781566</v>
      </c>
      <c r="N218" s="427">
        <f>SUMPRODUCT('2017 end use splits'!$F$48:$O$50*('2017 end use splits'!$C$48:$C$50='Census 2011_17'!B218)*('2017 end use splits'!$F$19:$O$19='Census 2011_17'!C218))</f>
        <v>4.5150254200661422E-3</v>
      </c>
      <c r="O218">
        <f t="shared" si="89"/>
        <v>34683.699496897767</v>
      </c>
      <c r="P218" s="445">
        <f>$N218-($N213*B$20)*$N218/(1-$N213)</f>
        <v>3.8306283993408165E-3</v>
      </c>
      <c r="Q218" s="445">
        <f>$N218-($N213*C$20)*$N218/(1-$N213)</f>
        <v>2.8167068871551527E-3</v>
      </c>
      <c r="R218" s="445">
        <f>$N218-($N213*D$20)*$N218/(1-$N213)</f>
        <v>1.8027853749694859E-3</v>
      </c>
      <c r="S218" s="445">
        <f>$N218-($N213*E$20)*$N218/(1-$N213)</f>
        <v>7.8886386278382127E-4</v>
      </c>
    </row>
    <row r="219" spans="1:19" customFormat="1" ht="12.7">
      <c r="A219" s="18" t="s">
        <v>11</v>
      </c>
      <c r="B219" s="226" t="s">
        <v>18</v>
      </c>
      <c r="C219" s="227" t="s">
        <v>292</v>
      </c>
      <c r="D219" s="18"/>
      <c r="E219" s="18">
        <v>0</v>
      </c>
      <c r="F219" s="229">
        <f t="shared" si="85"/>
        <v>0</v>
      </c>
      <c r="H219" s="92">
        <f t="shared" si="87"/>
        <v>0</v>
      </c>
      <c r="I219" s="92">
        <f t="shared" si="88"/>
        <v>0</v>
      </c>
      <c r="J219" s="92">
        <f t="shared" si="88"/>
        <v>0</v>
      </c>
      <c r="M219" s="411">
        <f t="shared" si="86"/>
        <v>7681839.2522781566</v>
      </c>
      <c r="N219" s="427">
        <f>SUMPRODUCT('2017 end use splits'!$F$48:$O$50*('2017 end use splits'!$C$48:$C$50='Census 2011_17'!B219)*('2017 end use splits'!$F$19:$O$19='Census 2011_17'!C219))</f>
        <v>0</v>
      </c>
      <c r="O219">
        <f t="shared" si="89"/>
        <v>0</v>
      </c>
      <c r="P219" s="445">
        <f>$N219-($N213*B$20)*$N219/(1-$N213)</f>
        <v>0</v>
      </c>
      <c r="Q219" s="445">
        <f>$N219-($N213*C$20)*$N219/(1-$N213)</f>
        <v>0</v>
      </c>
      <c r="R219" s="445">
        <f>$N219-($N213*D$20)*$N219/(1-$N213)</f>
        <v>0</v>
      </c>
      <c r="S219" s="445">
        <f>$N219-($N213*E$20)*$N219/(1-$N213)</f>
        <v>0</v>
      </c>
    </row>
    <row r="220" spans="1:19" customFormat="1" ht="13" thickBot="1">
      <c r="A220" s="18" t="s">
        <v>11</v>
      </c>
      <c r="B220" s="226" t="s">
        <v>18</v>
      </c>
      <c r="C220" s="231" t="s">
        <v>27</v>
      </c>
      <c r="D220" s="230">
        <v>4934382.4149125442</v>
      </c>
      <c r="E220" s="230">
        <v>1433798.7036732258</v>
      </c>
      <c r="F220" s="232">
        <f>SUM(F213:F219)</f>
        <v>6368181.1185857709</v>
      </c>
      <c r="H220" s="92">
        <f>SUM(H213:H219)</f>
        <v>1</v>
      </c>
      <c r="I220" s="92">
        <f>SUM(I213:I219)</f>
        <v>1</v>
      </c>
      <c r="J220" s="92">
        <f>SUM(J213:J219)</f>
        <v>0.99999999999999978</v>
      </c>
      <c r="L220" s="295">
        <f>F220/(F220+F229+F238)</f>
        <v>0.44069965049004917</v>
      </c>
      <c r="M220" s="411">
        <f t="shared" si="86"/>
        <v>7681839.2522781566</v>
      </c>
      <c r="N220" s="427">
        <f>SUMPRODUCT('2017 end use splits'!$F$48:$O$50*('2017 end use splits'!$C$48:$C$50='Census 2011_17'!B220)*('2017 end use splits'!$F$19:$O$19='Census 2011_17'!C220))</f>
        <v>0</v>
      </c>
      <c r="O220">
        <f t="shared" si="89"/>
        <v>0</v>
      </c>
      <c r="P220" s="445">
        <f>$N220-($N213*B$20)*$N220/(1-$N213)</f>
        <v>0</v>
      </c>
      <c r="Q220" s="445">
        <f>$N220-($N213*C$20)*$N220/(1-$N213)</f>
        <v>0</v>
      </c>
      <c r="R220" s="445">
        <f>$N220-($N213*D$20)*$N220/(1-$N213)</f>
        <v>0</v>
      </c>
      <c r="S220" s="445">
        <f>$N220-($N213*E$20)*$N220/(1-$N213)</f>
        <v>0</v>
      </c>
    </row>
    <row r="221" spans="1:19" customFormat="1" ht="13" thickBot="1">
      <c r="A221" s="74"/>
      <c r="B221" s="74"/>
      <c r="C221" s="233"/>
      <c r="D221" s="74"/>
      <c r="E221" s="74"/>
      <c r="F221" s="234"/>
      <c r="H221" s="89" t="s">
        <v>34</v>
      </c>
      <c r="I221" s="90" t="s">
        <v>33</v>
      </c>
      <c r="J221" s="89" t="s">
        <v>27</v>
      </c>
      <c r="P221" s="444">
        <f>SUM(P213:P220)</f>
        <v>1</v>
      </c>
      <c r="Q221" s="444">
        <f t="shared" ref="Q221" si="90">SUM(Q213:Q220)</f>
        <v>1</v>
      </c>
      <c r="R221" s="444">
        <f t="shared" ref="R221" si="91">SUM(R213:R220)</f>
        <v>0.99999999999999978</v>
      </c>
      <c r="S221" s="444">
        <f t="shared" ref="S221" si="92">SUM(S213:S220)</f>
        <v>1</v>
      </c>
    </row>
    <row r="222" spans="1:19" customFormat="1" ht="12.7">
      <c r="A222" s="18" t="s">
        <v>11</v>
      </c>
      <c r="B222" s="226" t="s">
        <v>24</v>
      </c>
      <c r="C222" s="227" t="s">
        <v>42</v>
      </c>
      <c r="D222" s="18">
        <v>3949564.3702698089</v>
      </c>
      <c r="E222" s="18"/>
      <c r="F222" s="229">
        <f t="shared" si="85"/>
        <v>3949564.3702698089</v>
      </c>
      <c r="H222" s="92">
        <f>D222/D$229</f>
        <v>1</v>
      </c>
      <c r="I222" s="92">
        <f>E222/E$229</f>
        <v>0</v>
      </c>
      <c r="J222" s="92">
        <f>F222/F$229</f>
        <v>0.85487365806023408</v>
      </c>
      <c r="M222" s="411">
        <f t="shared" ref="M222:M229" si="93">SUMIFS($E$95:$E$106,$C$95:$C$106,A222,$B$95:$B$106,B222)</f>
        <v>5573103.0004989337</v>
      </c>
      <c r="N222" s="427">
        <f>SUMPRODUCT('2017 end use splits'!$F$48:$O$50*('2017 end use splits'!$C$48:$C$50='Census 2011_17'!B222)*('2017 end use splits'!$F$19:$O$19='Census 2011_17'!C222))</f>
        <v>0.87738786992840467</v>
      </c>
      <c r="O222">
        <f>N222*M222</f>
        <v>4889772.97049936</v>
      </c>
      <c r="P222" s="427">
        <f>$N222*(1+B$21)</f>
        <v>0.90374716215801332</v>
      </c>
      <c r="Q222" s="427">
        <f>$N222*(1+C$21)</f>
        <v>0.95395533783345854</v>
      </c>
      <c r="R222" s="427">
        <f>$N222*(1+D$21)</f>
        <v>0.95395533783345854</v>
      </c>
      <c r="S222" s="427">
        <v>1</v>
      </c>
    </row>
    <row r="223" spans="1:19" customFormat="1" ht="12.7">
      <c r="A223" s="18" t="s">
        <v>11</v>
      </c>
      <c r="B223" s="226" t="s">
        <v>24</v>
      </c>
      <c r="C223" s="227" t="s">
        <v>43</v>
      </c>
      <c r="D223" s="18"/>
      <c r="E223" s="18">
        <v>10358.532200000003</v>
      </c>
      <c r="F223" s="229">
        <f t="shared" si="85"/>
        <v>10358.532200000003</v>
      </c>
      <c r="H223" s="92">
        <f t="shared" ref="H223:H229" si="94">D223/D$229</f>
        <v>0</v>
      </c>
      <c r="I223" s="92">
        <f t="shared" ref="I223:I229" si="95">E223/E$229</f>
        <v>1.5449154290091152E-2</v>
      </c>
      <c r="J223" s="92">
        <f t="shared" ref="J223:J229" si="96">F223/F$229</f>
        <v>2.2420792481839696E-3</v>
      </c>
      <c r="M223" s="411">
        <f t="shared" si="93"/>
        <v>5573103.0004989337</v>
      </c>
      <c r="N223" s="427">
        <f>SUMPRODUCT('2017 end use splits'!$F$48:$O$50*('2017 end use splits'!$C$48:$C$50='Census 2011_17'!B223)*('2017 end use splits'!$F$19:$O$19='Census 2011_17'!C223))</f>
        <v>5.0195414291403142E-3</v>
      </c>
      <c r="O223">
        <f t="shared" ref="O223:O229" si="97">N223*M223</f>
        <v>27974.421399870589</v>
      </c>
      <c r="P223" s="445">
        <f>$N223-($N222*B$21)*$N223/(1-$N222)</f>
        <v>3.9404348243363817E-3</v>
      </c>
      <c r="Q223" s="445">
        <f>$N223-($N222*C$21)*$N223/(1-$N222)</f>
        <v>1.884993672328895E-3</v>
      </c>
      <c r="R223" s="445">
        <f>$N223-($N222*D$21)*$N223/(1-$N222)</f>
        <v>1.884993672328895E-3</v>
      </c>
      <c r="S223" s="445">
        <v>0</v>
      </c>
    </row>
    <row r="224" spans="1:19" customFormat="1" ht="12.7">
      <c r="A224" s="18" t="s">
        <v>11</v>
      </c>
      <c r="B224" s="226" t="s">
        <v>24</v>
      </c>
      <c r="C224" s="227" t="s">
        <v>17</v>
      </c>
      <c r="D224" s="18"/>
      <c r="E224" s="18">
        <v>132993.16558246015</v>
      </c>
      <c r="F224" s="229">
        <f t="shared" si="85"/>
        <v>132993.16558246015</v>
      </c>
      <c r="H224" s="92">
        <f t="shared" si="94"/>
        <v>0</v>
      </c>
      <c r="I224" s="92">
        <f t="shared" si="95"/>
        <v>0.19835164818149298</v>
      </c>
      <c r="J224" s="92">
        <f t="shared" si="96"/>
        <v>2.8786049118303493E-2</v>
      </c>
      <c r="M224" s="411">
        <f t="shared" si="93"/>
        <v>5573103.0004989337</v>
      </c>
      <c r="N224" s="427">
        <f>SUMPRODUCT('2017 end use splits'!$F$48:$O$50*('2017 end use splits'!$C$48:$C$50='Census 2011_17'!B224)*('2017 end use splits'!$F$19:$O$19='Census 2011_17'!C224))</f>
        <v>9.1261724853621801E-2</v>
      </c>
      <c r="O224">
        <f t="shared" si="97"/>
        <v>508610.99261242774</v>
      </c>
      <c r="P224" s="445">
        <f>$N224-($N222*B$21)*$N224/(1-$N222)</f>
        <v>7.1642177640877894E-2</v>
      </c>
      <c r="Q224" s="445">
        <f>$N224-($N222*C$21)*$N224/(1-$N222)</f>
        <v>3.4271611521365722E-2</v>
      </c>
      <c r="R224" s="445">
        <f>$N224-($N222*D$21)*$N224/(1-$N222)</f>
        <v>3.4271611521365722E-2</v>
      </c>
      <c r="S224" s="445">
        <v>0</v>
      </c>
    </row>
    <row r="225" spans="1:19" customFormat="1" ht="12.7">
      <c r="A225" s="18" t="s">
        <v>11</v>
      </c>
      <c r="B225" s="226" t="s">
        <v>24</v>
      </c>
      <c r="C225" s="227" t="s">
        <v>293</v>
      </c>
      <c r="D225" s="18"/>
      <c r="E225" s="18">
        <v>497730.81376470451</v>
      </c>
      <c r="F225" s="229">
        <f t="shared" si="85"/>
        <v>497730.81376470451</v>
      </c>
      <c r="H225" s="92">
        <f t="shared" si="94"/>
        <v>0</v>
      </c>
      <c r="I225" s="92">
        <f t="shared" si="95"/>
        <v>0.74233684737530115</v>
      </c>
      <c r="J225" s="92">
        <f t="shared" si="96"/>
        <v>0.10773263114667576</v>
      </c>
      <c r="M225" s="411">
        <f t="shared" si="93"/>
        <v>5573103.0004989337</v>
      </c>
      <c r="N225" s="427">
        <f>SUMPRODUCT('2017 end use splits'!$F$48:$O$50*('2017 end use splits'!$C$48:$C$50='Census 2011_17'!B225)*('2017 end use splits'!$F$19:$O$19='Census 2011_17'!C225))</f>
        <v>0</v>
      </c>
      <c r="O225">
        <f t="shared" si="97"/>
        <v>0</v>
      </c>
      <c r="P225" s="445">
        <f>$N225-($N222*B$21)*$N225/(1-$N222)</f>
        <v>0</v>
      </c>
      <c r="Q225" s="445">
        <f>$N225-($N222*C$21)*$N225/(1-$N222)</f>
        <v>0</v>
      </c>
      <c r="R225" s="445">
        <f>$N225-($N222*D$21)*$N225/(1-$N222)</f>
        <v>0</v>
      </c>
      <c r="S225" s="445">
        <v>0</v>
      </c>
    </row>
    <row r="226" spans="1:19" customFormat="1" ht="12.7">
      <c r="A226" s="18" t="s">
        <v>11</v>
      </c>
      <c r="B226" s="226" t="s">
        <v>24</v>
      </c>
      <c r="C226" s="227" t="s">
        <v>44</v>
      </c>
      <c r="D226" s="18"/>
      <c r="E226" s="18">
        <v>16413.321691221048</v>
      </c>
      <c r="F226" s="229">
        <f t="shared" si="85"/>
        <v>16413.321691221048</v>
      </c>
      <c r="H226" s="92">
        <f t="shared" si="94"/>
        <v>0</v>
      </c>
      <c r="I226" s="92">
        <f t="shared" si="95"/>
        <v>2.4479524156962484E-2</v>
      </c>
      <c r="J226" s="92">
        <f t="shared" si="96"/>
        <v>3.5526237933260966E-3</v>
      </c>
      <c r="M226" s="411">
        <f t="shared" si="93"/>
        <v>5573103.0004989337</v>
      </c>
      <c r="N226" s="427">
        <f>SUMPRODUCT('2017 end use splits'!$F$48:$O$50*('2017 end use splits'!$C$48:$C$50='Census 2011_17'!B226)*('2017 end use splits'!$F$19:$O$19='Census 2011_17'!C226))</f>
        <v>1.9922315859087873E-2</v>
      </c>
      <c r="O226">
        <f t="shared" si="97"/>
        <v>111029.11829117012</v>
      </c>
      <c r="P226" s="445">
        <f>$N226-($N222*B$21)*$N226/(1-$N222)</f>
        <v>1.5639394215742893E-2</v>
      </c>
      <c r="Q226" s="445">
        <f>$N226-($N222*C$21)*$N226/(1-$N222)</f>
        <v>7.4814482284191307E-3</v>
      </c>
      <c r="R226" s="445">
        <f>$N226-($N222*D$21)*$N226/(1-$N222)</f>
        <v>7.4814482284191307E-3</v>
      </c>
      <c r="S226" s="445">
        <v>0</v>
      </c>
    </row>
    <row r="227" spans="1:19" customFormat="1" ht="12.7">
      <c r="A227" s="18" t="s">
        <v>11</v>
      </c>
      <c r="B227" s="226" t="s">
        <v>24</v>
      </c>
      <c r="C227" s="227" t="s">
        <v>47</v>
      </c>
      <c r="D227" s="18"/>
      <c r="E227" s="18">
        <v>12996.027060000002</v>
      </c>
      <c r="F227" s="229">
        <f t="shared" si="85"/>
        <v>12996.027060000002</v>
      </c>
      <c r="H227" s="92">
        <f t="shared" si="94"/>
        <v>0</v>
      </c>
      <c r="I227" s="92">
        <f t="shared" si="95"/>
        <v>1.9382825996152202E-2</v>
      </c>
      <c r="J227" s="92">
        <f t="shared" si="96"/>
        <v>2.8129586332765683E-3</v>
      </c>
      <c r="M227" s="411">
        <f t="shared" si="93"/>
        <v>5573103.0004989337</v>
      </c>
      <c r="N227" s="427">
        <f>SUMPRODUCT('2017 end use splits'!$F$48:$O$50*('2017 end use splits'!$C$48:$C$50='Census 2011_17'!B227)*('2017 end use splits'!$F$19:$O$19='Census 2011_17'!C227))</f>
        <v>6.4085479297452874E-3</v>
      </c>
      <c r="O227">
        <f t="shared" si="97"/>
        <v>35715.497696104692</v>
      </c>
      <c r="P227" s="445">
        <f>$N227-($N222*B$21)*$N227/(1-$N222)</f>
        <v>5.0308311610294029E-3</v>
      </c>
      <c r="Q227" s="445">
        <f>$N227-($N222*C$21)*$N227/(1-$N222)</f>
        <v>2.4066087444277228E-3</v>
      </c>
      <c r="R227" s="445">
        <f>$N227-($N222*D$21)*$N227/(1-$N222)</f>
        <v>2.4066087444277228E-3</v>
      </c>
      <c r="S227" s="445">
        <v>0</v>
      </c>
    </row>
    <row r="228" spans="1:19" customFormat="1" ht="12.7">
      <c r="A228" s="18" t="s">
        <v>11</v>
      </c>
      <c r="B228" s="226" t="s">
        <v>24</v>
      </c>
      <c r="C228" s="227" t="s">
        <v>292</v>
      </c>
      <c r="D228" s="18"/>
      <c r="E228" s="18">
        <v>0</v>
      </c>
      <c r="F228" s="229">
        <f t="shared" si="85"/>
        <v>0</v>
      </c>
      <c r="H228" s="92">
        <f t="shared" si="94"/>
        <v>0</v>
      </c>
      <c r="I228" s="92">
        <f t="shared" si="95"/>
        <v>0</v>
      </c>
      <c r="J228" s="92">
        <f t="shared" si="96"/>
        <v>0</v>
      </c>
      <c r="M228" s="411">
        <f t="shared" si="93"/>
        <v>5573103.0004989337</v>
      </c>
      <c r="N228" s="427">
        <f>SUMPRODUCT('2017 end use splits'!$F$48:$O$50*('2017 end use splits'!$C$48:$C$50='Census 2011_17'!B228)*('2017 end use splits'!$F$19:$O$19='Census 2011_17'!C228))</f>
        <v>0</v>
      </c>
      <c r="O228">
        <f t="shared" si="97"/>
        <v>0</v>
      </c>
      <c r="P228" s="445">
        <f>$N228-($N222*B$21)*$N228/(1-$N222)</f>
        <v>0</v>
      </c>
      <c r="Q228" s="445">
        <f>$N228-($N222*C$21)*$N228/(1-$N222)</f>
        <v>0</v>
      </c>
      <c r="R228" s="445">
        <f>$N228-($N222*D$21)*$N228/(1-$N222)</f>
        <v>0</v>
      </c>
      <c r="S228" s="445">
        <v>0</v>
      </c>
    </row>
    <row r="229" spans="1:19" customFormat="1" ht="13" thickBot="1">
      <c r="A229" s="18" t="s">
        <v>11</v>
      </c>
      <c r="B229" s="226" t="s">
        <v>24</v>
      </c>
      <c r="C229" s="231" t="s">
        <v>27</v>
      </c>
      <c r="D229" s="230">
        <v>3949564.3702698089</v>
      </c>
      <c r="E229" s="230">
        <v>670491.86029838573</v>
      </c>
      <c r="F229" s="232">
        <f>SUM(F222:F228)</f>
        <v>4620056.2305681948</v>
      </c>
      <c r="H229" s="92">
        <f t="shared" si="94"/>
        <v>1</v>
      </c>
      <c r="I229" s="92">
        <f t="shared" si="95"/>
        <v>1</v>
      </c>
      <c r="J229" s="92">
        <f t="shared" si="96"/>
        <v>1</v>
      </c>
      <c r="M229" s="411">
        <f t="shared" si="93"/>
        <v>5573103.0004989337</v>
      </c>
      <c r="N229" s="427">
        <f>SUMPRODUCT('2017 end use splits'!$F$48:$O$50*('2017 end use splits'!$C$48:$C$50='Census 2011_17'!B229)*('2017 end use splits'!$F$19:$O$19='Census 2011_17'!C229))</f>
        <v>0</v>
      </c>
      <c r="O229">
        <f t="shared" si="97"/>
        <v>0</v>
      </c>
      <c r="P229" s="445">
        <f>$N229-($N222*B$21)*$N229/(1-$N222)</f>
        <v>0</v>
      </c>
      <c r="Q229" s="445">
        <f>$N229-($N222*C$21)*$N229/(1-$N222)</f>
        <v>0</v>
      </c>
      <c r="R229" s="445">
        <f>$N229-($N222*D$21)*$N229/(1-$N222)</f>
        <v>0</v>
      </c>
      <c r="S229" s="445">
        <v>0</v>
      </c>
    </row>
    <row r="230" spans="1:19" customFormat="1" ht="13" thickBot="1">
      <c r="A230" s="74"/>
      <c r="B230" s="74"/>
      <c r="C230" s="233"/>
      <c r="D230" s="74"/>
      <c r="E230" s="74"/>
      <c r="F230" s="234"/>
      <c r="H230" s="89" t="s">
        <v>34</v>
      </c>
      <c r="I230" s="90" t="s">
        <v>33</v>
      </c>
      <c r="J230" s="89" t="s">
        <v>27</v>
      </c>
      <c r="L230" s="295">
        <f>F229/(F220+F229+F238)</f>
        <v>0.31972350159976914</v>
      </c>
      <c r="P230" s="444">
        <f>SUM(P222:P229)</f>
        <v>0.99999999999999989</v>
      </c>
      <c r="Q230" s="444">
        <f t="shared" ref="Q230:S230" si="98">SUM(Q222:Q229)</f>
        <v>1</v>
      </c>
      <c r="R230" s="444">
        <f t="shared" si="98"/>
        <v>1</v>
      </c>
      <c r="S230" s="444">
        <f t="shared" si="98"/>
        <v>1</v>
      </c>
    </row>
    <row r="231" spans="1:19" customFormat="1" ht="12.7">
      <c r="A231" s="18" t="s">
        <v>11</v>
      </c>
      <c r="B231" s="226" t="s">
        <v>25</v>
      </c>
      <c r="C231" s="227" t="s">
        <v>42</v>
      </c>
      <c r="D231" s="18">
        <v>3358454.6919761435</v>
      </c>
      <c r="E231" s="18"/>
      <c r="F231" s="229">
        <f t="shared" si="85"/>
        <v>3358454.6919761435</v>
      </c>
      <c r="H231" s="92">
        <f>D231/D$238</f>
        <v>1</v>
      </c>
      <c r="I231" s="92">
        <f>E231/E$238</f>
        <v>0</v>
      </c>
      <c r="J231" s="92">
        <f>F231/F$238</f>
        <v>0.97011215567399645</v>
      </c>
      <c r="M231" s="411">
        <f t="shared" ref="M231:M238" si="99">SUMIFS($E$95:$E$106,$C$95:$C$106,A231,$B$95:$B$106,B231)</f>
        <v>4176066.0172229088</v>
      </c>
      <c r="N231" s="427">
        <f>SUMPRODUCT('2017 end use splits'!$F$48:$O$50*('2017 end use splits'!$C$48:$C$50='Census 2011_17'!B231)*('2017 end use splits'!$F$19:$O$19='Census 2011_17'!C231))</f>
        <v>0.95929280782280502</v>
      </c>
      <c r="O231">
        <f>N231*M231</f>
        <v>4006070.0953151626</v>
      </c>
    </row>
    <row r="232" spans="1:19" customFormat="1" ht="12.7">
      <c r="A232" s="18" t="s">
        <v>11</v>
      </c>
      <c r="B232" s="226" t="s">
        <v>25</v>
      </c>
      <c r="C232" s="227" t="s">
        <v>43</v>
      </c>
      <c r="D232" s="85"/>
      <c r="E232" s="18">
        <v>6118.5712100000001</v>
      </c>
      <c r="F232" s="229">
        <f>SUM(E232:E232)</f>
        <v>6118.5712100000001</v>
      </c>
      <c r="H232" s="92">
        <f t="shared" ref="H232:H237" si="100">D232/D$238</f>
        <v>0</v>
      </c>
      <c r="I232" s="92">
        <f t="shared" ref="I232:I237" si="101">E232/E$238</f>
        <v>5.9134084705576753E-2</v>
      </c>
      <c r="J232" s="92">
        <f t="shared" ref="J232:J237" si="102">F232/F$238</f>
        <v>1.7673903180409844E-3</v>
      </c>
      <c r="M232" s="411">
        <f t="shared" si="99"/>
        <v>4176066.0172229088</v>
      </c>
      <c r="N232" s="427">
        <f>SUMPRODUCT('2017 end use splits'!$F$48:$O$50*('2017 end use splits'!$C$48:$C$50='Census 2011_17'!B232)*('2017 end use splits'!$F$19:$O$19='Census 2011_17'!C232))</f>
        <v>3.8122827738128282E-3</v>
      </c>
      <c r="O232">
        <f t="shared" ref="O232:O238" si="103">N232*M232</f>
        <v>15920.344539764041</v>
      </c>
    </row>
    <row r="233" spans="1:19" customFormat="1" ht="12.7">
      <c r="A233" s="18" t="s">
        <v>11</v>
      </c>
      <c r="B233" s="226" t="s">
        <v>25</v>
      </c>
      <c r="C233" s="227" t="s">
        <v>17</v>
      </c>
      <c r="D233" s="85"/>
      <c r="E233" s="18">
        <v>18890.571727710707</v>
      </c>
      <c r="F233" s="229">
        <f>SUM(E233:E233)</f>
        <v>18890.571727710707</v>
      </c>
      <c r="H233" s="92">
        <f t="shared" si="100"/>
        <v>0</v>
      </c>
      <c r="I233" s="92">
        <f t="shared" si="101"/>
        <v>0.18257149101370324</v>
      </c>
      <c r="J233" s="92">
        <f t="shared" si="102"/>
        <v>5.4566683017839152E-3</v>
      </c>
      <c r="M233" s="411">
        <f t="shared" si="99"/>
        <v>4176066.0172229088</v>
      </c>
      <c r="N233" s="427">
        <f>SUMPRODUCT('2017 end use splits'!$F$48:$O$50*('2017 end use splits'!$C$48:$C$50='Census 2011_17'!B233)*('2017 end use splits'!$F$19:$O$19='Census 2011_17'!C233))</f>
        <v>1.6667624835997062E-2</v>
      </c>
      <c r="O233">
        <f t="shared" si="103"/>
        <v>69605.101665427894</v>
      </c>
    </row>
    <row r="234" spans="1:19" customFormat="1" ht="12.7">
      <c r="A234" s="18" t="s">
        <v>11</v>
      </c>
      <c r="B234" s="226" t="s">
        <v>25</v>
      </c>
      <c r="C234" s="227" t="s">
        <v>293</v>
      </c>
      <c r="D234" s="85"/>
      <c r="E234" s="18">
        <v>62606.783145218884</v>
      </c>
      <c r="F234" s="229">
        <f>SUM(E234:E234)</f>
        <v>62606.783145218884</v>
      </c>
      <c r="H234" s="92">
        <f t="shared" si="100"/>
        <v>0</v>
      </c>
      <c r="I234" s="92">
        <f t="shared" si="101"/>
        <v>0.60507505601999001</v>
      </c>
      <c r="J234" s="92">
        <f t="shared" si="102"/>
        <v>1.8084389079873329E-2</v>
      </c>
      <c r="M234" s="411">
        <f t="shared" si="99"/>
        <v>4176066.0172229088</v>
      </c>
      <c r="N234" s="427">
        <f>SUMPRODUCT('2017 end use splits'!$F$48:$O$50*('2017 end use splits'!$C$48:$C$50='Census 2011_17'!B234)*('2017 end use splits'!$F$19:$O$19='Census 2011_17'!C234))</f>
        <v>0</v>
      </c>
      <c r="O234">
        <f t="shared" si="103"/>
        <v>0</v>
      </c>
    </row>
    <row r="235" spans="1:19" customFormat="1" ht="12.7">
      <c r="A235" s="18" t="s">
        <v>11</v>
      </c>
      <c r="B235" s="226" t="s">
        <v>25</v>
      </c>
      <c r="C235" s="227" t="s">
        <v>44</v>
      </c>
      <c r="D235" s="85"/>
      <c r="E235" s="18">
        <v>10981.130155458752</v>
      </c>
      <c r="F235" s="229">
        <f>SUM(E235:E235)</f>
        <v>10981.130155458752</v>
      </c>
      <c r="H235" s="92">
        <f t="shared" si="100"/>
        <v>0</v>
      </c>
      <c r="I235" s="92">
        <f t="shared" si="101"/>
        <v>0.10612920214356074</v>
      </c>
      <c r="J235" s="92">
        <f t="shared" si="102"/>
        <v>3.1719730721097039E-3</v>
      </c>
      <c r="M235" s="411">
        <f t="shared" si="99"/>
        <v>4176066.0172229088</v>
      </c>
      <c r="N235" s="427">
        <f>SUMPRODUCT('2017 end use splits'!$F$48:$O$50*('2017 end use splits'!$C$48:$C$50='Census 2011_17'!B235)*('2017 end use splits'!$F$19:$O$19='Census 2011_17'!C235))</f>
        <v>1.7137980492421708E-2</v>
      </c>
      <c r="O235">
        <f t="shared" si="103"/>
        <v>71569.337938231431</v>
      </c>
    </row>
    <row r="236" spans="1:19" customFormat="1" ht="12.7">
      <c r="A236" s="18" t="s">
        <v>11</v>
      </c>
      <c r="B236" s="226" t="s">
        <v>25</v>
      </c>
      <c r="C236" s="227" t="s">
        <v>47</v>
      </c>
      <c r="D236" s="85"/>
      <c r="E236" s="18">
        <v>4872.3935799999999</v>
      </c>
      <c r="F236" s="229">
        <f>SUM(E236:E236)</f>
        <v>4872.3935799999999</v>
      </c>
      <c r="H236" s="92">
        <f t="shared" si="100"/>
        <v>0</v>
      </c>
      <c r="I236" s="92">
        <f t="shared" si="101"/>
        <v>4.7090166117169104E-2</v>
      </c>
      <c r="J236" s="92">
        <f t="shared" si="102"/>
        <v>1.4074235541955964E-3</v>
      </c>
      <c r="M236" s="411">
        <f t="shared" si="99"/>
        <v>4176066.0172229088</v>
      </c>
      <c r="N236" s="427">
        <f>SUMPRODUCT('2017 end use splits'!$F$48:$O$50*('2017 end use splits'!$C$48:$C$50='Census 2011_17'!B236)*('2017 end use splits'!$F$19:$O$19='Census 2011_17'!C236))</f>
        <v>3.0893040749634423E-3</v>
      </c>
      <c r="O236">
        <f t="shared" si="103"/>
        <v>12901.137764323084</v>
      </c>
    </row>
    <row r="237" spans="1:19" customFormat="1" ht="12.7">
      <c r="A237" s="18" t="s">
        <v>11</v>
      </c>
      <c r="B237" s="226" t="s">
        <v>25</v>
      </c>
      <c r="C237" s="227" t="s">
        <v>292</v>
      </c>
      <c r="D237" s="18">
        <v>0</v>
      </c>
      <c r="E237" s="18"/>
      <c r="F237" s="229">
        <f t="shared" si="85"/>
        <v>0</v>
      </c>
      <c r="H237" s="92">
        <f t="shared" si="100"/>
        <v>0</v>
      </c>
      <c r="I237" s="92">
        <f t="shared" si="101"/>
        <v>0</v>
      </c>
      <c r="J237" s="92">
        <f t="shared" si="102"/>
        <v>0</v>
      </c>
      <c r="M237" s="411">
        <f t="shared" si="99"/>
        <v>4176066.0172229088</v>
      </c>
      <c r="N237" s="427">
        <f>SUMPRODUCT('2017 end use splits'!$F$48:$O$50*('2017 end use splits'!$C$48:$C$50='Census 2011_17'!B237)*('2017 end use splits'!$F$19:$O$19='Census 2011_17'!C237))</f>
        <v>0</v>
      </c>
      <c r="O237">
        <f t="shared" si="103"/>
        <v>0</v>
      </c>
    </row>
    <row r="238" spans="1:19" customFormat="1" ht="12.7">
      <c r="A238" s="18" t="s">
        <v>11</v>
      </c>
      <c r="B238" s="226" t="s">
        <v>25</v>
      </c>
      <c r="C238" s="231" t="s">
        <v>27</v>
      </c>
      <c r="D238" s="230">
        <f>D231</f>
        <v>3358454.6919761435</v>
      </c>
      <c r="E238" s="230">
        <f>SUM(E232:E237)</f>
        <v>103469.44981838836</v>
      </c>
      <c r="F238" s="232">
        <f>SUM(F231:F237)</f>
        <v>3461924.1417945321</v>
      </c>
      <c r="H238" s="225">
        <f>SUM(H231:H237)</f>
        <v>1</v>
      </c>
      <c r="I238" s="225">
        <f>SUM(I231:I237)</f>
        <v>0.99999999999999978</v>
      </c>
      <c r="J238" s="225">
        <f>SUM(J231:J237)</f>
        <v>0.99999999999999989</v>
      </c>
      <c r="L238" s="295">
        <f>F238/(F220+F229+F238)</f>
        <v>0.23957684791018166</v>
      </c>
      <c r="M238" s="411">
        <f t="shared" si="99"/>
        <v>4176066.0172229088</v>
      </c>
      <c r="N238" s="427">
        <f>SUMPRODUCT('2017 end use splits'!$F$48:$O$50*('2017 end use splits'!$C$48:$C$50='Census 2011_17'!B238)*('2017 end use splits'!$F$19:$O$19='Census 2011_17'!C238))</f>
        <v>0</v>
      </c>
      <c r="O238">
        <f t="shared" si="103"/>
        <v>0</v>
      </c>
    </row>
    <row r="239" spans="1:19" customFormat="1" ht="12.7"/>
    <row r="240" spans="1:19" customFormat="1" ht="12.7">
      <c r="E240">
        <f>D238/(D238+E238)</f>
        <v>0.97011215567399645</v>
      </c>
    </row>
    <row r="241" spans="1:7" customFormat="1" ht="12.7"/>
    <row r="242" spans="1:7" customFormat="1" ht="12.7">
      <c r="A242" s="85"/>
      <c r="B242" s="85"/>
      <c r="C242" s="85"/>
      <c r="D242" s="85"/>
      <c r="E242" s="85"/>
      <c r="F242" s="85"/>
    </row>
    <row r="243" spans="1:7" customFormat="1" ht="12.7"/>
    <row r="244" spans="1:7" customFormat="1" ht="12.7"/>
    <row r="245" spans="1:7" customFormat="1" ht="12.7">
      <c r="A245" s="5" t="s">
        <v>458</v>
      </c>
    </row>
    <row r="246" spans="1:7" customFormat="1" ht="12.7"/>
    <row r="247" spans="1:7" customFormat="1" ht="12.7"/>
    <row r="248" spans="1:7" customFormat="1" ht="12.7"/>
    <row r="249" spans="1:7" customFormat="1" ht="12.7"/>
    <row r="250" spans="1:7" customFormat="1" ht="12.7"/>
    <row r="251" spans="1:7" customFormat="1" ht="12.7"/>
    <row r="252" spans="1:7" customFormat="1" ht="12.7"/>
    <row r="253" spans="1:7" customFormat="1" ht="12.7"/>
    <row r="254" spans="1:7" customFormat="1" ht="12.7">
      <c r="A254" s="5" t="s">
        <v>543</v>
      </c>
    </row>
    <row r="255" spans="1:7" customFormat="1" ht="12.7"/>
    <row r="256" spans="1:7" customFormat="1" ht="12.7">
      <c r="A256" s="668" t="s">
        <v>825</v>
      </c>
      <c r="B256" s="669"/>
      <c r="C256" s="669"/>
      <c r="D256" s="669"/>
      <c r="E256" s="669"/>
      <c r="F256" s="669"/>
      <c r="G256" s="669"/>
    </row>
    <row r="257" spans="1:9" customFormat="1" ht="12.7">
      <c r="A257" t="s">
        <v>12</v>
      </c>
      <c r="B257" t="s">
        <v>821</v>
      </c>
      <c r="D257" t="s">
        <v>162</v>
      </c>
      <c r="E257" t="s">
        <v>822</v>
      </c>
      <c r="G257">
        <v>2016</v>
      </c>
    </row>
    <row r="258" spans="1:9" customFormat="1" ht="12.7">
      <c r="A258" s="85" t="s">
        <v>815</v>
      </c>
      <c r="B258" t="s">
        <v>823</v>
      </c>
      <c r="C258" t="s">
        <v>42</v>
      </c>
      <c r="D258">
        <v>791956</v>
      </c>
      <c r="E258">
        <v>13987704</v>
      </c>
      <c r="G258">
        <v>82.7</v>
      </c>
      <c r="I258">
        <f>SUM(E258:E268)</f>
        <v>16923309.099999998</v>
      </c>
    </row>
    <row r="259" spans="1:9" customFormat="1" ht="12.7">
      <c r="A259" s="85" t="s">
        <v>815</v>
      </c>
      <c r="B259" t="s">
        <v>824</v>
      </c>
      <c r="C259" t="s">
        <v>42</v>
      </c>
      <c r="D259">
        <v>1360</v>
      </c>
      <c r="E259">
        <v>24332.5</v>
      </c>
      <c r="F259">
        <f>SUM(E258:E259)</f>
        <v>14012036.5</v>
      </c>
      <c r="G259">
        <v>0.1</v>
      </c>
    </row>
    <row r="260" spans="1:9" customFormat="1" ht="12.7">
      <c r="A260" s="85" t="s">
        <v>815</v>
      </c>
      <c r="B260" t="s">
        <v>43</v>
      </c>
      <c r="C260" t="s">
        <v>43</v>
      </c>
      <c r="D260">
        <v>26059</v>
      </c>
      <c r="E260">
        <v>502216.2</v>
      </c>
      <c r="G260">
        <v>3</v>
      </c>
    </row>
    <row r="261" spans="1:9" customFormat="1" ht="12.7">
      <c r="A261" s="85" t="s">
        <v>815</v>
      </c>
      <c r="B261" t="s">
        <v>17</v>
      </c>
      <c r="C261" t="s">
        <v>17</v>
      </c>
      <c r="D261">
        <v>49739</v>
      </c>
      <c r="E261">
        <v>908943</v>
      </c>
      <c r="G261">
        <v>5.4</v>
      </c>
    </row>
    <row r="262" spans="1:9" customFormat="1" ht="12.7">
      <c r="A262" s="85" t="s">
        <v>815</v>
      </c>
      <c r="B262" t="s">
        <v>7</v>
      </c>
      <c r="C262" t="s">
        <v>7</v>
      </c>
      <c r="D262">
        <v>106531</v>
      </c>
      <c r="E262">
        <v>1353990.6</v>
      </c>
      <c r="G262">
        <v>8</v>
      </c>
    </row>
    <row r="263" spans="1:9" customFormat="1" ht="12.7">
      <c r="A263" s="85" t="s">
        <v>815</v>
      </c>
      <c r="B263" t="s">
        <v>9</v>
      </c>
      <c r="C263" t="s">
        <v>9</v>
      </c>
      <c r="D263">
        <v>3241</v>
      </c>
      <c r="E263">
        <v>48580.5</v>
      </c>
      <c r="G263">
        <v>0.3</v>
      </c>
    </row>
    <row r="264" spans="1:9" customFormat="1" ht="12.7">
      <c r="A264" s="85" t="s">
        <v>815</v>
      </c>
      <c r="B264" t="s">
        <v>46</v>
      </c>
      <c r="C264" t="s">
        <v>46</v>
      </c>
      <c r="D264">
        <v>776</v>
      </c>
      <c r="E264">
        <v>8490.6</v>
      </c>
      <c r="G264">
        <v>0.1</v>
      </c>
    </row>
    <row r="265" spans="1:9" customFormat="1" ht="12.7">
      <c r="A265" s="85" t="s">
        <v>815</v>
      </c>
      <c r="B265" t="s">
        <v>44</v>
      </c>
      <c r="C265" t="s">
        <v>44</v>
      </c>
      <c r="D265">
        <v>700</v>
      </c>
      <c r="E265">
        <v>12039.7</v>
      </c>
      <c r="G265">
        <v>0.1</v>
      </c>
    </row>
    <row r="266" spans="1:9" customFormat="1" ht="12.7">
      <c r="A266" s="85" t="s">
        <v>815</v>
      </c>
      <c r="B266" t="s">
        <v>41</v>
      </c>
      <c r="C266" t="s">
        <v>41</v>
      </c>
      <c r="D266">
        <v>1088</v>
      </c>
      <c r="E266">
        <v>19606.3</v>
      </c>
      <c r="G266">
        <v>0.1</v>
      </c>
    </row>
    <row r="267" spans="1:9" customFormat="1" ht="12.7">
      <c r="A267" s="85" t="s">
        <v>815</v>
      </c>
      <c r="B267" t="s">
        <v>47</v>
      </c>
      <c r="C267" t="s">
        <v>47</v>
      </c>
      <c r="D267">
        <v>2914</v>
      </c>
      <c r="E267">
        <v>52624.9</v>
      </c>
      <c r="G267">
        <v>0.3</v>
      </c>
    </row>
    <row r="268" spans="1:9" customFormat="1" ht="12.7">
      <c r="A268" s="85" t="s">
        <v>815</v>
      </c>
      <c r="B268" t="s">
        <v>292</v>
      </c>
      <c r="D268">
        <v>263</v>
      </c>
      <c r="E268">
        <v>4780.8</v>
      </c>
      <c r="G268">
        <v>0</v>
      </c>
    </row>
    <row r="269" spans="1:9" customFormat="1" ht="12.7">
      <c r="A269" t="s">
        <v>816</v>
      </c>
      <c r="B269" t="s">
        <v>823</v>
      </c>
      <c r="C269" t="s">
        <v>42</v>
      </c>
      <c r="D269">
        <v>879893</v>
      </c>
      <c r="E269" s="330">
        <v>15231038.199999999</v>
      </c>
      <c r="G269">
        <v>90</v>
      </c>
    </row>
    <row r="270" spans="1:9" customFormat="1" ht="12.7">
      <c r="A270" t="s">
        <v>816</v>
      </c>
      <c r="B270" t="s">
        <v>824</v>
      </c>
      <c r="C270" t="s">
        <v>42</v>
      </c>
      <c r="D270">
        <v>1759</v>
      </c>
      <c r="E270" s="330">
        <v>31197.1</v>
      </c>
      <c r="G270">
        <v>0.2</v>
      </c>
    </row>
    <row r="271" spans="1:9" customFormat="1" ht="12.7">
      <c r="A271" t="s">
        <v>816</v>
      </c>
      <c r="B271" t="s">
        <v>43</v>
      </c>
      <c r="C271" t="s">
        <v>43</v>
      </c>
      <c r="D271">
        <v>1413</v>
      </c>
      <c r="E271" s="330">
        <v>25699.9</v>
      </c>
      <c r="G271">
        <v>0.2</v>
      </c>
    </row>
    <row r="272" spans="1:9" customFormat="1" ht="12.7">
      <c r="A272" t="s">
        <v>816</v>
      </c>
      <c r="B272" t="s">
        <v>17</v>
      </c>
      <c r="C272" t="s">
        <v>17</v>
      </c>
      <c r="D272">
        <v>25776</v>
      </c>
      <c r="E272" s="330">
        <v>451601.8</v>
      </c>
      <c r="G272">
        <v>2.7</v>
      </c>
    </row>
    <row r="273" spans="1:7" customFormat="1" ht="12.7">
      <c r="A273" t="s">
        <v>816</v>
      </c>
      <c r="B273" t="s">
        <v>2</v>
      </c>
      <c r="C273" t="s">
        <v>293</v>
      </c>
      <c r="D273">
        <v>63892</v>
      </c>
      <c r="E273" s="330">
        <v>997571.1</v>
      </c>
      <c r="G273">
        <v>5.9</v>
      </c>
    </row>
    <row r="274" spans="1:7" customFormat="1" ht="12.7">
      <c r="A274" t="s">
        <v>816</v>
      </c>
      <c r="B274" t="s">
        <v>44</v>
      </c>
      <c r="C274" t="s">
        <v>44</v>
      </c>
      <c r="D274">
        <v>6871</v>
      </c>
      <c r="E274" s="330">
        <v>96531.7</v>
      </c>
      <c r="G274">
        <v>0.6</v>
      </c>
    </row>
    <row r="275" spans="1:7" customFormat="1" ht="12.7">
      <c r="A275" t="s">
        <v>816</v>
      </c>
      <c r="B275" t="s">
        <v>41</v>
      </c>
      <c r="C275" t="s">
        <v>41</v>
      </c>
      <c r="D275">
        <v>1362</v>
      </c>
      <c r="E275" s="330">
        <v>23783.7</v>
      </c>
      <c r="G275">
        <v>0.1</v>
      </c>
    </row>
    <row r="276" spans="1:7" customFormat="1" ht="12.7">
      <c r="A276" t="s">
        <v>816</v>
      </c>
      <c r="B276" t="s">
        <v>47</v>
      </c>
      <c r="C276" t="s">
        <v>47</v>
      </c>
      <c r="D276">
        <v>2023</v>
      </c>
      <c r="E276" s="330">
        <v>35498.300000000003</v>
      </c>
      <c r="G276">
        <v>0.2</v>
      </c>
    </row>
    <row r="277" spans="1:7" customFormat="1" ht="12.7">
      <c r="A277" t="s">
        <v>816</v>
      </c>
      <c r="B277" t="s">
        <v>292</v>
      </c>
      <c r="D277">
        <v>1638</v>
      </c>
      <c r="E277" s="330">
        <v>30387.200000000001</v>
      </c>
      <c r="G277">
        <v>0.2</v>
      </c>
    </row>
    <row r="278" spans="1:7" customFormat="1" ht="12.7">
      <c r="A278" s="85" t="s">
        <v>818</v>
      </c>
      <c r="B278" t="s">
        <v>823</v>
      </c>
      <c r="C278" t="s">
        <v>42</v>
      </c>
      <c r="D278">
        <v>784230</v>
      </c>
      <c r="E278" s="330">
        <v>13914732.300000001</v>
      </c>
      <c r="G278">
        <v>82.2</v>
      </c>
    </row>
    <row r="279" spans="1:7" customFormat="1" ht="12.7">
      <c r="A279" s="85" t="s">
        <v>818</v>
      </c>
      <c r="B279" t="s">
        <v>824</v>
      </c>
      <c r="C279" t="s">
        <v>42</v>
      </c>
      <c r="D279">
        <v>1436</v>
      </c>
      <c r="E279" s="330">
        <v>25396.2</v>
      </c>
      <c r="G279">
        <v>0.2</v>
      </c>
    </row>
    <row r="280" spans="1:7" customFormat="1" ht="12.7">
      <c r="A280" s="85" t="s">
        <v>818</v>
      </c>
      <c r="B280" t="s">
        <v>43</v>
      </c>
      <c r="C280" t="s">
        <v>43</v>
      </c>
      <c r="D280">
        <v>10617</v>
      </c>
      <c r="E280" s="330">
        <v>189485.9</v>
      </c>
      <c r="G280">
        <v>1.1000000000000001</v>
      </c>
    </row>
    <row r="281" spans="1:7" customFormat="1" ht="12.7">
      <c r="A281" s="85" t="s">
        <v>818</v>
      </c>
      <c r="B281" t="s">
        <v>17</v>
      </c>
      <c r="C281" t="s">
        <v>17</v>
      </c>
      <c r="D281">
        <v>48571</v>
      </c>
      <c r="E281" s="330">
        <v>869199.9</v>
      </c>
      <c r="G281">
        <v>5.0999999999999996</v>
      </c>
    </row>
    <row r="282" spans="1:7" customFormat="1" ht="12.7">
      <c r="A282" s="85" t="s">
        <v>818</v>
      </c>
      <c r="B282" t="s">
        <v>7</v>
      </c>
      <c r="C282" t="s">
        <v>7</v>
      </c>
      <c r="D282">
        <v>111005</v>
      </c>
      <c r="E282" s="330">
        <v>1425605.2</v>
      </c>
      <c r="G282">
        <v>8.4</v>
      </c>
    </row>
    <row r="283" spans="1:7" customFormat="1" ht="12.7">
      <c r="A283" s="85" t="s">
        <v>818</v>
      </c>
      <c r="B283" t="s">
        <v>9</v>
      </c>
      <c r="C283" t="s">
        <v>9</v>
      </c>
      <c r="D283">
        <v>3573</v>
      </c>
      <c r="E283" s="330">
        <v>55809.2</v>
      </c>
      <c r="G283">
        <v>0.3</v>
      </c>
    </row>
    <row r="284" spans="1:7" customFormat="1" ht="12.7">
      <c r="A284" s="85" t="s">
        <v>818</v>
      </c>
      <c r="B284" t="s">
        <v>46</v>
      </c>
      <c r="C284" t="s">
        <v>46</v>
      </c>
      <c r="D284">
        <v>1081</v>
      </c>
      <c r="E284" s="330">
        <v>11802.1</v>
      </c>
      <c r="G284">
        <v>0.1</v>
      </c>
    </row>
    <row r="285" spans="1:7" customFormat="1" ht="12.7">
      <c r="A285" s="85" t="s">
        <v>818</v>
      </c>
      <c r="B285" t="s">
        <v>44</v>
      </c>
      <c r="C285" t="s">
        <v>44</v>
      </c>
      <c r="D285">
        <v>5101</v>
      </c>
      <c r="E285" s="330">
        <v>107689</v>
      </c>
      <c r="G285">
        <v>0.6</v>
      </c>
    </row>
    <row r="286" spans="1:7" customFormat="1" ht="12.7">
      <c r="A286" s="85" t="s">
        <v>818</v>
      </c>
      <c r="B286" t="s">
        <v>41</v>
      </c>
      <c r="C286" t="s">
        <v>41</v>
      </c>
      <c r="D286">
        <v>2826</v>
      </c>
      <c r="E286" s="330">
        <v>48638.8</v>
      </c>
      <c r="G286">
        <v>0.3</v>
      </c>
    </row>
    <row r="287" spans="1:7" customFormat="1" ht="12.7">
      <c r="A287" s="85" t="s">
        <v>818</v>
      </c>
      <c r="B287" t="s">
        <v>47</v>
      </c>
      <c r="C287" t="s">
        <v>47</v>
      </c>
      <c r="D287">
        <v>14933</v>
      </c>
      <c r="E287" s="330">
        <v>251838.3</v>
      </c>
      <c r="G287">
        <v>1.5</v>
      </c>
    </row>
    <row r="288" spans="1:7" customFormat="1" ht="12.7">
      <c r="A288" s="85" t="s">
        <v>818</v>
      </c>
      <c r="B288" t="s">
        <v>292</v>
      </c>
      <c r="D288">
        <v>1254</v>
      </c>
      <c r="E288" s="330">
        <v>23112</v>
      </c>
      <c r="G288">
        <v>0.1</v>
      </c>
    </row>
    <row r="289" spans="1:7" customFormat="1" ht="12.7">
      <c r="A289" s="85" t="s">
        <v>817</v>
      </c>
      <c r="B289" t="s">
        <v>823</v>
      </c>
      <c r="C289" t="s">
        <v>42</v>
      </c>
      <c r="D289">
        <v>615597</v>
      </c>
      <c r="E289" s="330">
        <v>11127407.199999999</v>
      </c>
      <c r="G289">
        <v>65.8</v>
      </c>
    </row>
    <row r="290" spans="1:7" customFormat="1" ht="12.7">
      <c r="A290" s="85" t="s">
        <v>817</v>
      </c>
      <c r="B290" t="s">
        <v>824</v>
      </c>
      <c r="C290" t="s">
        <v>42</v>
      </c>
      <c r="D290">
        <v>1424</v>
      </c>
      <c r="E290" s="330">
        <v>24976.9</v>
      </c>
      <c r="G290">
        <v>0.1</v>
      </c>
    </row>
    <row r="291" spans="1:7" customFormat="1" ht="12.7">
      <c r="A291" s="85" t="s">
        <v>817</v>
      </c>
      <c r="B291" t="s">
        <v>43</v>
      </c>
      <c r="C291" t="s">
        <v>43</v>
      </c>
      <c r="D291">
        <v>10510</v>
      </c>
      <c r="E291" s="330">
        <v>227606.3</v>
      </c>
      <c r="G291">
        <v>1.3</v>
      </c>
    </row>
    <row r="292" spans="1:7" customFormat="1" ht="12.7">
      <c r="A292" s="85" t="s">
        <v>817</v>
      </c>
      <c r="B292" t="s">
        <v>17</v>
      </c>
      <c r="C292" t="s">
        <v>17</v>
      </c>
      <c r="D292">
        <v>57282</v>
      </c>
      <c r="E292" s="330">
        <v>920344.2</v>
      </c>
      <c r="G292">
        <v>5.4</v>
      </c>
    </row>
    <row r="293" spans="1:7" customFormat="1" ht="12.7">
      <c r="A293" s="85" t="s">
        <v>817</v>
      </c>
      <c r="B293" t="s">
        <v>7</v>
      </c>
      <c r="C293" t="s">
        <v>7</v>
      </c>
      <c r="D293">
        <v>118770</v>
      </c>
      <c r="E293" s="330">
        <v>1560959.7</v>
      </c>
      <c r="G293">
        <v>9.1999999999999993</v>
      </c>
    </row>
    <row r="294" spans="1:7" customFormat="1" ht="12.7">
      <c r="A294" s="85" t="s">
        <v>817</v>
      </c>
      <c r="B294" t="s">
        <v>9</v>
      </c>
      <c r="C294" t="s">
        <v>9</v>
      </c>
      <c r="D294">
        <v>10288</v>
      </c>
      <c r="E294" s="330">
        <v>162993.60000000001</v>
      </c>
      <c r="G294">
        <v>1</v>
      </c>
    </row>
    <row r="295" spans="1:7" customFormat="1" ht="12.7">
      <c r="A295" s="85" t="s">
        <v>817</v>
      </c>
      <c r="B295" t="s">
        <v>46</v>
      </c>
      <c r="C295" t="s">
        <v>46</v>
      </c>
      <c r="D295">
        <v>1272</v>
      </c>
      <c r="E295" s="330">
        <v>14210.5</v>
      </c>
      <c r="G295">
        <v>0.1</v>
      </c>
    </row>
    <row r="296" spans="1:7" customFormat="1" ht="12.7">
      <c r="A296" s="85" t="s">
        <v>817</v>
      </c>
      <c r="B296" t="s">
        <v>44</v>
      </c>
      <c r="C296" t="s">
        <v>44</v>
      </c>
      <c r="D296">
        <v>1101</v>
      </c>
      <c r="E296" s="330">
        <v>19747</v>
      </c>
      <c r="G296">
        <v>0.1</v>
      </c>
    </row>
    <row r="297" spans="1:7" customFormat="1" ht="12.7">
      <c r="A297" s="85" t="s">
        <v>817</v>
      </c>
      <c r="B297" t="s">
        <v>41</v>
      </c>
      <c r="C297" t="s">
        <v>41</v>
      </c>
      <c r="D297">
        <v>14827</v>
      </c>
      <c r="E297" s="330">
        <v>250052.7</v>
      </c>
      <c r="G297">
        <v>1.5</v>
      </c>
    </row>
    <row r="298" spans="1:7" customFormat="1" ht="12.7">
      <c r="A298" s="85" t="s">
        <v>817</v>
      </c>
      <c r="B298" t="s">
        <v>47</v>
      </c>
      <c r="C298" t="s">
        <v>47</v>
      </c>
      <c r="D298">
        <v>152445</v>
      </c>
      <c r="E298" s="330">
        <v>2594103.2999999998</v>
      </c>
      <c r="G298">
        <v>15.3</v>
      </c>
    </row>
    <row r="299" spans="1:7" customFormat="1" ht="12.7">
      <c r="A299" s="85" t="s">
        <v>817</v>
      </c>
      <c r="B299" t="s">
        <v>292</v>
      </c>
      <c r="D299">
        <v>1111</v>
      </c>
      <c r="E299" s="330">
        <v>20907.7</v>
      </c>
      <c r="G299">
        <v>0.1</v>
      </c>
    </row>
    <row r="300" spans="1:7" customFormat="1" ht="12.7"/>
    <row r="301" spans="1:7" customFormat="1" ht="12.7"/>
    <row r="302" spans="1:7" customFormat="1" ht="12.7"/>
    <row r="303" spans="1:7" customFormat="1" ht="12.7"/>
    <row r="304" spans="1:7" customFormat="1" ht="12.7"/>
    <row r="305" customFormat="1" ht="12.7"/>
    <row r="306" customFormat="1" ht="12.7"/>
    <row r="307" customFormat="1" ht="12.7"/>
    <row r="308" customFormat="1" ht="12.7"/>
    <row r="309" customFormat="1" ht="12.7"/>
    <row r="310" customFormat="1" ht="12.7"/>
    <row r="311" customFormat="1" ht="12.7"/>
    <row r="312" customFormat="1" ht="12.7"/>
    <row r="313" customFormat="1" ht="12.7"/>
    <row r="314" customFormat="1" ht="12.7"/>
    <row r="315" customFormat="1" ht="12.7"/>
    <row r="316" customFormat="1" ht="12.7"/>
    <row r="317" customFormat="1" ht="12.7"/>
    <row r="318" customFormat="1" ht="12.7"/>
    <row r="319" customFormat="1" ht="12.7"/>
    <row r="320" customFormat="1" ht="12.7"/>
    <row r="321" customFormat="1" ht="12.7"/>
    <row r="322" customFormat="1" ht="12.7"/>
    <row r="323" customFormat="1" ht="12.7"/>
    <row r="324" customFormat="1" ht="12.7"/>
    <row r="325" customFormat="1" ht="12.7"/>
    <row r="326" customFormat="1" ht="12.7"/>
    <row r="327" customFormat="1" ht="12.7"/>
    <row r="328" customFormat="1" ht="12.7"/>
    <row r="329" customFormat="1" ht="12.7"/>
    <row r="330" customFormat="1" ht="12.7"/>
    <row r="331" customFormat="1" ht="12.7"/>
    <row r="332" customFormat="1" ht="12.7"/>
    <row r="333" customFormat="1" ht="12.7"/>
    <row r="334" customFormat="1" ht="12.7"/>
    <row r="335" customFormat="1" ht="12.7"/>
    <row r="336" customFormat="1" ht="12.7"/>
    <row r="337" customFormat="1" ht="12.7"/>
    <row r="338" customFormat="1" ht="12.7"/>
    <row r="339" customFormat="1" ht="12.7"/>
    <row r="340" customFormat="1" ht="12.7"/>
    <row r="341" customFormat="1" ht="12.7"/>
    <row r="342" customFormat="1" ht="12.7"/>
    <row r="343" customFormat="1" ht="12.7"/>
    <row r="344" customFormat="1" ht="12.7"/>
    <row r="345" customFormat="1" ht="12.7"/>
    <row r="346" customFormat="1" ht="12.7"/>
    <row r="347" customFormat="1" ht="12.7"/>
    <row r="348" customFormat="1" ht="12.7"/>
    <row r="349" customFormat="1" ht="12.7"/>
    <row r="350" customFormat="1" ht="12.7"/>
    <row r="351" customFormat="1" ht="12.7"/>
    <row r="352" customFormat="1" ht="12.7"/>
    <row r="353" customFormat="1" ht="12.7"/>
    <row r="354" customFormat="1" ht="12.7"/>
    <row r="355" customFormat="1" ht="12.7"/>
    <row r="356" customFormat="1" ht="12.7"/>
    <row r="357" customFormat="1" ht="12.7"/>
  </sheetData>
  <mergeCells count="1">
    <mergeCell ref="A256:G256"/>
  </mergeCells>
  <conditionalFormatting sqref="F59:P66">
    <cfRule type="dataBar" priority="3">
      <dataBar>
        <cfvo type="min"/>
        <cfvo type="max"/>
        <color rgb="FFFFB628"/>
      </dataBar>
      <extLst>
        <ext xmlns:x14="http://schemas.microsoft.com/office/spreadsheetml/2009/9/main" uri="{B025F937-C7B1-47D3-B67F-A62EFF666E3E}">
          <x14:id>{95A84A6F-D529-48E9-81E4-B6A039028B99}</x14:id>
        </ext>
      </extLst>
    </cfRule>
  </conditionalFormatting>
  <conditionalFormatting sqref="A48:A66">
    <cfRule type="colorScale" priority="2">
      <colorScale>
        <cfvo type="min"/>
        <cfvo type="percentile" val="50"/>
        <cfvo type="max"/>
        <color rgb="FFF8696B"/>
        <color rgb="FFFFEB84"/>
        <color rgb="FF63BE7B"/>
      </colorScale>
    </cfRule>
  </conditionalFormatting>
  <conditionalFormatting sqref="F70:P78">
    <cfRule type="dataBar" priority="1">
      <dataBar>
        <cfvo type="min"/>
        <cfvo type="max"/>
        <color rgb="FFFFB628"/>
      </dataBar>
      <extLst>
        <ext xmlns:x14="http://schemas.microsoft.com/office/spreadsheetml/2009/9/main" uri="{B025F937-C7B1-47D3-B67F-A62EFF666E3E}">
          <x14:id>{932C7EC3-747A-433C-A01B-1C33C5272686}</x14:id>
        </ext>
      </extLst>
    </cfRule>
  </conditionalFormatting>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95A84A6F-D529-48E9-81E4-B6A039028B99}">
            <x14:dataBar minLength="0" maxLength="100" gradient="0">
              <x14:cfvo type="autoMin"/>
              <x14:cfvo type="autoMax"/>
              <x14:negativeFillColor rgb="FFFF0000"/>
              <x14:axisColor rgb="FF000000"/>
            </x14:dataBar>
          </x14:cfRule>
          <xm:sqref>F59:P66</xm:sqref>
        </x14:conditionalFormatting>
        <x14:conditionalFormatting xmlns:xm="http://schemas.microsoft.com/office/excel/2006/main">
          <x14:cfRule type="dataBar" id="{932C7EC3-747A-433C-A01B-1C33C5272686}">
            <x14:dataBar minLength="0" maxLength="100" border="1" negativeBarBorderColorSameAsPositive="0">
              <x14:cfvo type="autoMin"/>
              <x14:cfvo type="autoMax"/>
              <x14:borderColor rgb="FFFFB628"/>
              <x14:negativeFillColor rgb="FFFF0000"/>
              <x14:negativeBorderColor rgb="FFFF0000"/>
              <x14:axisColor rgb="FF000000"/>
            </x14:dataBar>
          </x14:cfRule>
          <xm:sqref>F70:P78</xm:sqref>
        </x14:conditionalFormatting>
      </x14:conditionalFormatting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AD934-39B2-441B-8A26-136746954FA5}">
  <sheetPr codeName="Sheet49"/>
  <dimension ref="A1:V83"/>
  <sheetViews>
    <sheetView zoomScaleNormal="100" workbookViewId="0">
      <pane xSplit="5" ySplit="19" topLeftCell="F20" activePane="bottomRight" state="frozen"/>
      <selection pane="topRight" activeCell="F1" sqref="F1"/>
      <selection pane="bottomLeft" activeCell="A2" sqref="A2"/>
      <selection pane="bottomRight" activeCell="E62" sqref="E62"/>
    </sheetView>
  </sheetViews>
  <sheetFormatPr defaultColWidth="8.8203125" defaultRowHeight="12.7"/>
  <cols>
    <col min="1" max="1" width="19.46875" customWidth="1"/>
    <col min="2" max="2" width="30" customWidth="1"/>
    <col min="3" max="3" width="14" customWidth="1"/>
    <col min="6" max="6" width="13.64453125" customWidth="1"/>
    <col min="7" max="8" width="11.46875" customWidth="1"/>
    <col min="9" max="9" width="13.64453125" customWidth="1"/>
    <col min="14" max="15" width="12.46875" customWidth="1"/>
    <col min="16" max="16" width="14.8203125" customWidth="1"/>
    <col min="19" max="19" width="15.3515625" customWidth="1"/>
  </cols>
  <sheetData>
    <row r="1" spans="1:1" s="15" customFormat="1">
      <c r="A1" s="15" t="s">
        <v>429</v>
      </c>
    </row>
    <row r="18" spans="1:22">
      <c r="A18" s="409" t="s">
        <v>826</v>
      </c>
    </row>
    <row r="19" spans="1:22" s="15" customFormat="1" ht="25">
      <c r="F19" s="91" t="s">
        <v>42</v>
      </c>
      <c r="G19" s="416" t="s">
        <v>43</v>
      </c>
      <c r="H19" s="416" t="s">
        <v>17</v>
      </c>
      <c r="I19" s="416" t="s">
        <v>7</v>
      </c>
      <c r="J19" s="416" t="s">
        <v>9</v>
      </c>
      <c r="K19" s="416" t="s">
        <v>46</v>
      </c>
      <c r="L19" s="416" t="s">
        <v>44</v>
      </c>
      <c r="M19" s="416" t="s">
        <v>41</v>
      </c>
      <c r="N19" s="417" t="s">
        <v>2</v>
      </c>
      <c r="O19" s="417" t="s">
        <v>47</v>
      </c>
      <c r="P19" s="417" t="s">
        <v>292</v>
      </c>
      <c r="S19" s="417" t="s">
        <v>829</v>
      </c>
      <c r="T19" s="418" t="s">
        <v>834</v>
      </c>
      <c r="U19"/>
      <c r="V19"/>
    </row>
    <row r="20" spans="1:22">
      <c r="A20" s="409">
        <v>2017</v>
      </c>
      <c r="B20" s="85" t="s">
        <v>817</v>
      </c>
      <c r="C20" s="412" t="s">
        <v>22</v>
      </c>
      <c r="D20" s="85" t="s">
        <v>61</v>
      </c>
      <c r="E20" s="85"/>
      <c r="F20" s="411">
        <f>'Census 2011_17'!F70*'Census 2011_17'!$H$3</f>
        <v>4972127.0907013947</v>
      </c>
      <c r="G20" s="411">
        <f>'Census 2011_17'!G70*'Census 2011_17'!$H$3</f>
        <v>194944.7163574484</v>
      </c>
      <c r="H20" s="411">
        <f>'Census 2011_17'!H70*'Census 2011_17'!$H$3</f>
        <v>988243.02195122826</v>
      </c>
      <c r="I20" s="411">
        <f>'Census 2011_17'!I70*'Census 2011_17'!$H$3</f>
        <v>1403483.6842982608</v>
      </c>
      <c r="J20" s="411">
        <f>'Census 2011_17'!J70*'Census 2011_17'!$H$3</f>
        <v>66001.647920682255</v>
      </c>
      <c r="K20" s="411">
        <f>'Census 2011_17'!K70*'Census 2011_17'!$H$3</f>
        <v>34131.532906167784</v>
      </c>
      <c r="L20" s="411">
        <f>'Census 2011_17'!L70*'Census 2011_17'!$H$3</f>
        <v>11039.53714615331</v>
      </c>
      <c r="M20" s="411">
        <f>'Census 2011_17'!M70*'Census 2011_17'!$H$3</f>
        <v>11868.020996821147</v>
      </c>
      <c r="N20" s="411"/>
      <c r="O20" s="411"/>
      <c r="P20" s="411"/>
      <c r="Q20" s="411"/>
      <c r="R20" s="411"/>
      <c r="S20" s="399">
        <f>SUM(F20:P20)</f>
        <v>7681839.2522781566</v>
      </c>
      <c r="T20" s="401">
        <f>'Census 2011_17'!F6</f>
        <v>0.76624999999999999</v>
      </c>
      <c r="U20" s="85"/>
    </row>
    <row r="21" spans="1:22">
      <c r="A21" s="409">
        <v>2017</v>
      </c>
      <c r="B21" s="85" t="s">
        <v>817</v>
      </c>
      <c r="C21" s="412" t="s">
        <v>24</v>
      </c>
      <c r="D21" s="85" t="s">
        <v>61</v>
      </c>
      <c r="E21" s="85"/>
      <c r="F21" s="411">
        <f>'Census 2011_17'!F71*'Census 2011_17'!$H$4</f>
        <v>4168279.766984453</v>
      </c>
      <c r="G21" s="411">
        <f>'Census 2011_17'!G71*'Census 2011_17'!$H$4</f>
        <v>159792.96004378959</v>
      </c>
      <c r="H21" s="411">
        <f>'Census 2011_17'!H71*'Census 2011_17'!$H$4</f>
        <v>446689.66987402603</v>
      </c>
      <c r="I21" s="411">
        <f>'Census 2011_17'!I71*'Census 2011_17'!$H$4</f>
        <v>713369.69226657972</v>
      </c>
      <c r="J21" s="411">
        <f>'Census 2011_17'!J71*'Census 2011_17'!$H$4</f>
        <v>50141.629841162197</v>
      </c>
      <c r="K21" s="411">
        <f>'Census 2011_17'!K71*'Census 2011_17'!$H$4</f>
        <v>18413.302125939856</v>
      </c>
      <c r="L21" s="411">
        <f>'Census 2011_17'!L71*'Census 2011_17'!$H$4</f>
        <v>8215.7820966705749</v>
      </c>
      <c r="M21" s="411">
        <f>'Census 2011_17'!M71*'Census 2011_17'!$H$4</f>
        <v>8200.197266313251</v>
      </c>
      <c r="N21" s="411"/>
      <c r="O21" s="411"/>
      <c r="P21" s="411"/>
      <c r="Q21" s="411"/>
      <c r="R21" s="411"/>
      <c r="S21" s="399">
        <f>SUM(F21:P21)</f>
        <v>5573103.0004989346</v>
      </c>
      <c r="T21" s="401">
        <f>'Census 2011_17'!F7</f>
        <v>0.87375000000000003</v>
      </c>
      <c r="U21" s="85"/>
    </row>
    <row r="22" spans="1:22">
      <c r="A22" s="409">
        <v>2017</v>
      </c>
      <c r="B22" s="85" t="s">
        <v>817</v>
      </c>
      <c r="C22" s="412" t="s">
        <v>25</v>
      </c>
      <c r="D22" s="85" t="s">
        <v>61</v>
      </c>
      <c r="E22" s="85"/>
      <c r="F22" s="411">
        <f>'Census 2011_17'!F72*'Census 2011_17'!$H$5</f>
        <v>3742274.2518551368</v>
      </c>
      <c r="G22" s="411">
        <f>'Census 2011_17'!G72*'Census 2011_17'!$H$5</f>
        <v>261331.8043062962</v>
      </c>
      <c r="H22" s="411">
        <f>'Census 2011_17'!H72*'Census 2011_17'!$H$5</f>
        <v>56547.691446721707</v>
      </c>
      <c r="I22" s="411">
        <f>'Census 2011_17'!I72*'Census 2011_17'!$H$5</f>
        <v>79648.136169583551</v>
      </c>
      <c r="J22" s="411">
        <f>'Census 2011_17'!J72*'Census 2011_17'!$H$5</f>
        <v>10395.534751917374</v>
      </c>
      <c r="K22" s="411">
        <f>'Census 2011_17'!K72*'Census 2011_17'!$H$5</f>
        <v>2557.8030319023705</v>
      </c>
      <c r="L22" s="411">
        <f>'Census 2011_17'!L72*'Census 2011_17'!$H$5</f>
        <v>7764.9897563554941</v>
      </c>
      <c r="M22" s="411">
        <f>'Census 2011_17'!M72*'Census 2011_17'!$H$5</f>
        <v>15545.80590499487</v>
      </c>
      <c r="N22" s="411"/>
      <c r="O22" s="411"/>
      <c r="P22" s="411"/>
      <c r="Q22" s="411"/>
      <c r="R22" s="411"/>
      <c r="S22" s="399">
        <f>SUM(F22:P22)</f>
        <v>4176066.0172229079</v>
      </c>
      <c r="T22" s="400">
        <v>1</v>
      </c>
      <c r="U22" s="85"/>
    </row>
    <row r="23" spans="1:22">
      <c r="A23" s="409">
        <v>2017</v>
      </c>
      <c r="B23" s="85" t="s">
        <v>817</v>
      </c>
      <c r="C23" s="412"/>
      <c r="D23" s="85" t="s">
        <v>61</v>
      </c>
      <c r="E23" s="85"/>
      <c r="F23" s="400">
        <f t="shared" ref="F23:M23" si="0">SUM(F20:F22)/SUM($F$20:$M$22)</f>
        <v>0.73906689217243915</v>
      </c>
      <c r="G23" s="400">
        <f t="shared" si="0"/>
        <v>3.5343307235292484E-2</v>
      </c>
      <c r="H23" s="400">
        <f t="shared" si="0"/>
        <v>8.5564779740189764E-2</v>
      </c>
      <c r="I23" s="400">
        <f t="shared" si="0"/>
        <v>0.12601115659584414</v>
      </c>
      <c r="J23" s="400">
        <f t="shared" si="0"/>
        <v>7.2594086672280508E-3</v>
      </c>
      <c r="K23" s="400">
        <f t="shared" si="0"/>
        <v>3.1611847811951047E-3</v>
      </c>
      <c r="L23" s="400">
        <f t="shared" si="0"/>
        <v>1.5501288612020938E-3</v>
      </c>
      <c r="M23" s="400">
        <f t="shared" si="0"/>
        <v>2.0431419466092234E-3</v>
      </c>
      <c r="N23" s="411"/>
      <c r="O23" s="411"/>
      <c r="P23" s="411"/>
      <c r="Q23" s="411"/>
      <c r="R23" s="411"/>
      <c r="S23" s="399"/>
      <c r="T23" s="85"/>
      <c r="U23" s="85"/>
    </row>
    <row r="24" spans="1:22">
      <c r="A24" s="409">
        <v>2017</v>
      </c>
      <c r="B24" s="85" t="s">
        <v>817</v>
      </c>
      <c r="C24" s="412" t="s">
        <v>22</v>
      </c>
      <c r="D24" s="85" t="s">
        <v>61</v>
      </c>
      <c r="E24" s="85"/>
      <c r="F24" s="413">
        <f>F20*'Census 2011_17'!F$84/F$23</f>
        <v>4970934.2879842855</v>
      </c>
      <c r="G24" s="413">
        <f>G20*'Census 2011_17'!G$84/G$23</f>
        <v>248857.1267482237</v>
      </c>
      <c r="H24" s="413">
        <f>H20*'Census 2011_17'!H$84/H$23</f>
        <v>943105.87683779513</v>
      </c>
      <c r="I24" s="413">
        <f>I20*'Census 2011_17'!I$84/I$23</f>
        <v>1354781.0140957711</v>
      </c>
      <c r="J24" s="413">
        <f>J20*'Census 2011_17'!J$84/J$23</f>
        <v>39679.902450589048</v>
      </c>
      <c r="K24" s="413">
        <f>K20*'Census 2011_17'!K$84/K$23</f>
        <v>8235.6783106809489</v>
      </c>
      <c r="L24" s="413">
        <f>L20*'Census 2011_17'!L$84/L$23</f>
        <v>7702.8920280133079</v>
      </c>
      <c r="M24" s="413">
        <f>M20*'Census 2011_17'!M$84/M$23</f>
        <v>10231.29228003852</v>
      </c>
      <c r="N24" s="411"/>
      <c r="O24" s="411"/>
      <c r="P24" s="411"/>
      <c r="Q24" s="411"/>
      <c r="R24" s="411"/>
      <c r="S24" s="399">
        <f>SUM(F24:P24)</f>
        <v>7583528.0707353977</v>
      </c>
      <c r="T24" s="85"/>
      <c r="U24" s="85"/>
    </row>
    <row r="25" spans="1:22">
      <c r="A25" s="409">
        <v>2017</v>
      </c>
      <c r="B25" s="85" t="s">
        <v>817</v>
      </c>
      <c r="C25" s="412" t="s">
        <v>24</v>
      </c>
      <c r="D25" s="85" t="s">
        <v>61</v>
      </c>
      <c r="E25" s="85"/>
      <c r="F25" s="413">
        <f>F21*'Census 2011_17'!F$84/F$23</f>
        <v>4167279.8055311288</v>
      </c>
      <c r="G25" s="413">
        <f>G21*'Census 2011_17'!G$84/G$23</f>
        <v>203984.07124908894</v>
      </c>
      <c r="H25" s="413">
        <f>H21*'Census 2011_17'!H$84/H$23</f>
        <v>426287.5056270514</v>
      </c>
      <c r="I25" s="413">
        <f>I21*'Census 2011_17'!I$84/I$23</f>
        <v>688614.85596630443</v>
      </c>
      <c r="J25" s="413">
        <f>J21*'Census 2011_17'!J$84/J$23</f>
        <v>30144.928853926322</v>
      </c>
      <c r="K25" s="413">
        <f>K21*'Census 2011_17'!K$84/K$23</f>
        <v>4442.9892253451899</v>
      </c>
      <c r="L25" s="413">
        <f>L21*'Census 2011_17'!L$84/L$23</f>
        <v>5732.6028780463666</v>
      </c>
      <c r="M25" s="413">
        <f>M21*'Census 2011_17'!M$84/M$23</f>
        <v>7069.3011925152477</v>
      </c>
      <c r="N25" s="411"/>
      <c r="O25" s="411"/>
      <c r="P25" s="411"/>
      <c r="Q25" s="411"/>
      <c r="R25" s="411"/>
      <c r="S25" s="399">
        <f>SUM(F25:P25)</f>
        <v>5533556.0605234057</v>
      </c>
      <c r="T25" s="85"/>
      <c r="U25" s="85"/>
    </row>
    <row r="26" spans="1:22">
      <c r="A26" s="409">
        <v>2017</v>
      </c>
      <c r="B26" s="85" t="s">
        <v>817</v>
      </c>
      <c r="C26" s="412" t="s">
        <v>25</v>
      </c>
      <c r="D26" s="85" t="s">
        <v>61</v>
      </c>
      <c r="E26" s="85"/>
      <c r="F26" s="413">
        <f>F22*'Census 2011_17'!F$84/F$23</f>
        <v>3741376.4882191005</v>
      </c>
      <c r="G26" s="413">
        <f>G22*'Census 2011_17'!G$84/G$23</f>
        <v>333603.71680116648</v>
      </c>
      <c r="H26" s="413">
        <f>H22*'Census 2011_17'!H$84/H$23</f>
        <v>53964.92455845089</v>
      </c>
      <c r="I26" s="413">
        <f>I22*'Census 2011_17'!I$84/I$23</f>
        <v>76884.244468163641</v>
      </c>
      <c r="J26" s="413">
        <f>J22*'Census 2011_17'!J$84/J$23</f>
        <v>6249.7500876569911</v>
      </c>
      <c r="K26" s="413">
        <f>K22*'Census 2011_17'!K$84/K$23</f>
        <v>617.17834387173696</v>
      </c>
      <c r="L26" s="413">
        <f>L22*'Census 2011_17'!L$84/L$23</f>
        <v>5418.0602773439041</v>
      </c>
      <c r="M26" s="413">
        <f>M22*'Census 2011_17'!M$84/M$23</f>
        <v>13401.870790871859</v>
      </c>
      <c r="N26" s="411"/>
      <c r="O26" s="411"/>
      <c r="P26" s="411"/>
      <c r="Q26" s="411"/>
      <c r="R26" s="411"/>
      <c r="S26" s="399">
        <f>SUM(F26:P26)</f>
        <v>4231516.2335466258</v>
      </c>
      <c r="T26" s="85"/>
      <c r="U26" s="85"/>
    </row>
    <row r="27" spans="1:22">
      <c r="A27" s="409">
        <v>2017</v>
      </c>
      <c r="B27" s="85" t="s">
        <v>817</v>
      </c>
      <c r="C27" s="412" t="s">
        <v>22</v>
      </c>
      <c r="D27" s="85" t="s">
        <v>61</v>
      </c>
      <c r="E27" s="85"/>
      <c r="F27" s="411">
        <f>F24*'Census 2011_17'!$H3/$S24</f>
        <v>5035376.3812507456</v>
      </c>
      <c r="G27" s="411">
        <f>G24*'Census 2011_17'!$H3/$S24</f>
        <v>252083.25552862149</v>
      </c>
      <c r="H27" s="411">
        <f>H24*'Census 2011_17'!$H3/$S24</f>
        <v>955332.09294816176</v>
      </c>
      <c r="I27" s="411">
        <f>I24*'Census 2011_17'!$H3/$S24</f>
        <v>1372344.095683275</v>
      </c>
      <c r="J27" s="411">
        <f>J24*'Census 2011_17'!$H3/$S24</f>
        <v>40194.30393457281</v>
      </c>
      <c r="K27" s="411">
        <f>K24*'Census 2011_17'!$H3/$S24</f>
        <v>8342.4438237741979</v>
      </c>
      <c r="L27" s="411">
        <f>L24*'Census 2011_17'!$H3/$S24</f>
        <v>7802.7506175123835</v>
      </c>
      <c r="M27" s="411">
        <f>M24*'Census 2011_17'!$H3/$S24</f>
        <v>10363.928491492848</v>
      </c>
      <c r="N27" s="411"/>
      <c r="O27" s="411"/>
      <c r="P27" s="411"/>
      <c r="Q27" s="411"/>
      <c r="R27" s="411"/>
      <c r="S27" s="399">
        <f>SUM(F27:M27)</f>
        <v>7681839.2522781566</v>
      </c>
      <c r="T27" s="85"/>
      <c r="U27" s="85"/>
    </row>
    <row r="28" spans="1:22">
      <c r="A28" s="409">
        <v>2017</v>
      </c>
      <c r="B28" s="85" t="s">
        <v>817</v>
      </c>
      <c r="C28" s="412" t="s">
        <v>24</v>
      </c>
      <c r="D28" s="85" t="s">
        <v>61</v>
      </c>
      <c r="E28" s="85"/>
      <c r="F28" s="411">
        <f>F25*'Census 2011_17'!$H4/$S25</f>
        <v>4197062.3111257292</v>
      </c>
      <c r="G28" s="411">
        <f>G25*'Census 2011_17'!$H4/$S25</f>
        <v>205441.89434393414</v>
      </c>
      <c r="H28" s="411">
        <f>H25*'Census 2011_17'!$H4/$S25</f>
        <v>429334.07571922388</v>
      </c>
      <c r="I28" s="411">
        <f>I25*'Census 2011_17'!$H4/$S25</f>
        <v>693536.21396418114</v>
      </c>
      <c r="J28" s="411">
        <f>J25*'Census 2011_17'!$H4/$S25</f>
        <v>30360.36711440724</v>
      </c>
      <c r="K28" s="411">
        <f>K25*'Census 2011_17'!$H4/$S25</f>
        <v>4474.74215714616</v>
      </c>
      <c r="L28" s="411">
        <f>L25*'Census 2011_17'!$H4/$S25</f>
        <v>5773.5723558002783</v>
      </c>
      <c r="M28" s="411">
        <f>M25*'Census 2011_17'!$H4/$S25</f>
        <v>7119.8237185132739</v>
      </c>
      <c r="N28" s="411"/>
      <c r="O28" s="411"/>
      <c r="P28" s="411"/>
      <c r="Q28" s="411"/>
      <c r="R28" s="411"/>
      <c r="S28" s="399">
        <f>SUM(F28:M28)</f>
        <v>5573103.0004989356</v>
      </c>
      <c r="T28" s="85"/>
      <c r="U28" s="85"/>
    </row>
    <row r="29" spans="1:22">
      <c r="A29" s="409">
        <v>2017</v>
      </c>
      <c r="B29" s="85" t="s">
        <v>817</v>
      </c>
      <c r="C29" s="412" t="s">
        <v>25</v>
      </c>
      <c r="D29" s="85" t="s">
        <v>61</v>
      </c>
      <c r="E29" s="85"/>
      <c r="F29" s="411">
        <f>F26*'Census 2011_17'!$H5/$S26</f>
        <v>3692349.1126473104</v>
      </c>
      <c r="G29" s="411">
        <f>G26*'Census 2011_17'!$H5/$S26</f>
        <v>329232.13998518523</v>
      </c>
      <c r="H29" s="411">
        <f>H26*'Census 2011_17'!$H5/$S26</f>
        <v>53257.762733822572</v>
      </c>
      <c r="I29" s="411">
        <f>I26*'Census 2011_17'!$H5/$S26</f>
        <v>75876.745559416217</v>
      </c>
      <c r="J29" s="411">
        <f>J26*'Census 2011_17'!$H5/$S26</f>
        <v>6167.8527309642841</v>
      </c>
      <c r="K29" s="411">
        <f>K26*'Census 2011_17'!$H5/$S26</f>
        <v>609.09077648709808</v>
      </c>
      <c r="L29" s="411">
        <f>L26*'Census 2011_17'!$H5/$S26</f>
        <v>5347.0614679686996</v>
      </c>
      <c r="M29" s="411">
        <f>M26*'Census 2011_17'!$H5/$S26</f>
        <v>13226.25132175464</v>
      </c>
      <c r="N29" s="411"/>
      <c r="O29" s="411"/>
      <c r="P29" s="411"/>
      <c r="Q29" s="411"/>
      <c r="R29" s="411"/>
      <c r="S29" s="399">
        <f>SUM(F29:M29)</f>
        <v>4176066.0172229093</v>
      </c>
      <c r="T29" s="85"/>
      <c r="U29" s="85"/>
    </row>
    <row r="30" spans="1:22" ht="13" thickBot="1">
      <c r="A30" s="409">
        <v>2017</v>
      </c>
      <c r="B30" s="85" t="s">
        <v>817</v>
      </c>
      <c r="C30" s="412"/>
      <c r="D30" s="85" t="s">
        <v>61</v>
      </c>
      <c r="E30" s="85"/>
      <c r="F30" s="400">
        <f t="shared" ref="F30:M30" si="1">SUM(F27:F29)/SUM($F$27:$M$29)</f>
        <v>0.74148251236093221</v>
      </c>
      <c r="G30" s="400">
        <f t="shared" si="1"/>
        <v>4.5135500922904498E-2</v>
      </c>
      <c r="H30" s="400">
        <f t="shared" si="1"/>
        <v>8.2492298157874039E-2</v>
      </c>
      <c r="I30" s="400">
        <f t="shared" si="1"/>
        <v>0.12287052028384314</v>
      </c>
      <c r="J30" s="400">
        <f t="shared" si="1"/>
        <v>4.4014966083166414E-3</v>
      </c>
      <c r="K30" s="400">
        <f t="shared" si="1"/>
        <v>7.7025244606848307E-4</v>
      </c>
      <c r="L30" s="400">
        <f t="shared" si="1"/>
        <v>1.0856161702275046E-3</v>
      </c>
      <c r="M30" s="400">
        <f t="shared" si="1"/>
        <v>1.7618030498336033E-3</v>
      </c>
      <c r="N30" s="411"/>
      <c r="O30" s="411"/>
      <c r="P30" s="411"/>
      <c r="Q30" s="411"/>
      <c r="R30" s="411"/>
      <c r="S30" s="399"/>
      <c r="T30" s="85"/>
      <c r="U30" s="85"/>
    </row>
    <row r="31" spans="1:22" ht="13" thickBot="1">
      <c r="A31" s="409" t="s">
        <v>830</v>
      </c>
      <c r="B31" s="85" t="s">
        <v>815</v>
      </c>
      <c r="C31" s="216" t="s">
        <v>22</v>
      </c>
      <c r="D31" s="85" t="s">
        <v>61</v>
      </c>
      <c r="E31" s="85"/>
      <c r="F31" s="426">
        <f t="shared" ref="F31:M33" si="2">F27/SUM($F27:$M27)</f>
        <v>0.65549098541178596</v>
      </c>
      <c r="G31" s="426">
        <f t="shared" si="2"/>
        <v>3.2815481716030791E-2</v>
      </c>
      <c r="H31" s="426">
        <f t="shared" si="2"/>
        <v>0.12436241654820422</v>
      </c>
      <c r="I31" s="426">
        <f t="shared" si="2"/>
        <v>0.17864785380353895</v>
      </c>
      <c r="J31" s="426">
        <f t="shared" si="2"/>
        <v>5.2323802431367764E-3</v>
      </c>
      <c r="K31" s="426">
        <f t="shared" si="2"/>
        <v>1.0859956255007718E-3</v>
      </c>
      <c r="L31" s="426">
        <f t="shared" si="2"/>
        <v>1.0157398978634406E-3</v>
      </c>
      <c r="M31" s="426">
        <f t="shared" si="2"/>
        <v>1.3491467539390753E-3</v>
      </c>
      <c r="N31" s="411"/>
      <c r="O31" s="411"/>
      <c r="P31" s="411"/>
      <c r="Q31" s="411"/>
      <c r="R31" s="411"/>
      <c r="S31" s="401">
        <f>SUM(F31:O31)</f>
        <v>1</v>
      </c>
      <c r="T31" s="85"/>
      <c r="U31" s="85"/>
    </row>
    <row r="32" spans="1:22">
      <c r="A32" s="409" t="s">
        <v>830</v>
      </c>
      <c r="B32" s="85" t="s">
        <v>815</v>
      </c>
      <c r="C32" s="412" t="s">
        <v>24</v>
      </c>
      <c r="D32" s="85" t="s">
        <v>61</v>
      </c>
      <c r="E32" s="85"/>
      <c r="F32" s="426">
        <f t="shared" si="2"/>
        <v>0.75309254301418516</v>
      </c>
      <c r="G32" s="426">
        <f t="shared" si="2"/>
        <v>3.6863107379415352E-2</v>
      </c>
      <c r="H32" s="426">
        <f t="shared" si="2"/>
        <v>7.7036809777387472E-2</v>
      </c>
      <c r="I32" s="426">
        <f t="shared" si="2"/>
        <v>0.12444345885982941</v>
      </c>
      <c r="J32" s="426">
        <f t="shared" si="2"/>
        <v>5.447659429888378E-3</v>
      </c>
      <c r="K32" s="426">
        <f t="shared" si="2"/>
        <v>8.0291754104411055E-4</v>
      </c>
      <c r="L32" s="426">
        <f t="shared" si="2"/>
        <v>1.0359708685239435E-3</v>
      </c>
      <c r="M32" s="426">
        <f t="shared" si="2"/>
        <v>1.2775331297260909E-3</v>
      </c>
      <c r="N32" s="411"/>
      <c r="O32" s="411"/>
      <c r="P32" s="411"/>
      <c r="Q32" s="411"/>
      <c r="R32" s="411"/>
      <c r="S32" s="401">
        <f t="shared" ref="S32:S33" si="3">SUM(F31:O31)</f>
        <v>1</v>
      </c>
      <c r="T32" s="85"/>
      <c r="U32" s="85"/>
    </row>
    <row r="33" spans="1:21">
      <c r="A33" s="409" t="s">
        <v>830</v>
      </c>
      <c r="B33" s="85" t="s">
        <v>815</v>
      </c>
      <c r="C33" s="412" t="s">
        <v>25</v>
      </c>
      <c r="D33" s="85" t="s">
        <v>61</v>
      </c>
      <c r="E33" s="85"/>
      <c r="F33" s="426">
        <f t="shared" si="2"/>
        <v>0.88416923904443656</v>
      </c>
      <c r="G33" s="426">
        <f t="shared" si="2"/>
        <v>7.8837867655196972E-2</v>
      </c>
      <c r="H33" s="426">
        <f t="shared" si="2"/>
        <v>1.2753094063689891E-2</v>
      </c>
      <c r="I33" s="426">
        <f t="shared" si="2"/>
        <v>1.8169431528736794E-2</v>
      </c>
      <c r="J33" s="426">
        <f t="shared" si="2"/>
        <v>1.4769528799417583E-3</v>
      </c>
      <c r="K33" s="426">
        <f t="shared" si="2"/>
        <v>1.4585276525205519E-4</v>
      </c>
      <c r="L33" s="426">
        <f t="shared" si="2"/>
        <v>1.2804063551477341E-3</v>
      </c>
      <c r="M33" s="426">
        <f t="shared" si="2"/>
        <v>3.1671557075982526E-3</v>
      </c>
      <c r="N33" s="411"/>
      <c r="O33" s="411"/>
      <c r="P33" s="411"/>
      <c r="Q33" s="411"/>
      <c r="R33" s="411"/>
      <c r="S33" s="401">
        <f t="shared" si="3"/>
        <v>0.99999999999999989</v>
      </c>
      <c r="T33" s="85"/>
      <c r="U33" s="85"/>
    </row>
    <row r="34" spans="1:21">
      <c r="A34">
        <v>2017</v>
      </c>
      <c r="D34" s="85" t="s">
        <v>450</v>
      </c>
    </row>
    <row r="37" spans="1:21">
      <c r="A37" s="409">
        <v>2017</v>
      </c>
      <c r="B37" s="85" t="s">
        <v>816</v>
      </c>
      <c r="C37" s="412" t="s">
        <v>22</v>
      </c>
      <c r="D37" s="85" t="s">
        <v>450</v>
      </c>
      <c r="E37" s="85"/>
      <c r="F37" s="411">
        <f>'Census 2011_17'!F73*'Census 2011_17'!$H$3</f>
        <v>5952269.8577147471</v>
      </c>
      <c r="G37" s="411">
        <f>'Census 2011_17'!G73*'Census 2011_17'!$H$3</f>
        <v>21556.098068969837</v>
      </c>
      <c r="H37" s="411">
        <f>'Census 2011_17'!H73*'Census 2011_17'!$H$3</f>
        <v>330909.64148083073</v>
      </c>
      <c r="I37" s="411"/>
      <c r="J37" s="411"/>
      <c r="K37" s="411"/>
      <c r="L37" s="411">
        <f>'Census 2011_17'!L73*'Census 2011_17'!$H$3</f>
        <v>29084.118733549178</v>
      </c>
      <c r="M37" s="411"/>
      <c r="N37" s="411">
        <f>'Census 2011_17'!N73*'Census 2011_17'!$H$3</f>
        <v>1313335.8367831614</v>
      </c>
      <c r="O37" s="411">
        <f>'Census 2011_17'!O73*'Census 2011_17'!$H$3</f>
        <v>34683.699496897767</v>
      </c>
      <c r="P37" s="411"/>
      <c r="Q37" s="411"/>
      <c r="R37" s="411"/>
      <c r="S37" s="399">
        <f>SUM(F37:P37)</f>
        <v>7681839.2522781566</v>
      </c>
      <c r="T37" s="85"/>
      <c r="U37" s="85"/>
    </row>
    <row r="38" spans="1:21">
      <c r="A38" s="409">
        <v>2017</v>
      </c>
      <c r="B38" s="85" t="s">
        <v>816</v>
      </c>
      <c r="C38" s="412" t="s">
        <v>24</v>
      </c>
      <c r="D38" s="85" t="s">
        <v>450</v>
      </c>
      <c r="E38" s="85"/>
      <c r="F38" s="411">
        <f>'Census 2011_17'!F74*'Census 2011_17'!$H$4</f>
        <v>4764298.9487829898</v>
      </c>
      <c r="G38" s="411">
        <f>'Census 2011_17'!G74*'Census 2011_17'!$H$4</f>
        <v>12495.338585410474</v>
      </c>
      <c r="H38" s="411">
        <f>'Census 2011_17'!H74*'Census 2011_17'!$H$4</f>
        <v>160427.61671372689</v>
      </c>
      <c r="I38" s="411"/>
      <c r="J38" s="411"/>
      <c r="K38" s="411"/>
      <c r="L38" s="411">
        <f>'Census 2011_17'!L74*'Census 2011_17'!$H$4</f>
        <v>19799.138322229574</v>
      </c>
      <c r="M38" s="411"/>
      <c r="N38" s="411">
        <f>'Census 2011_17'!N74*'Census 2011_17'!$H$4</f>
        <v>0</v>
      </c>
      <c r="O38" s="411">
        <f>'Census 2011_17'!O74*'Census 2011_17'!$H$4</f>
        <v>15676.908199393023</v>
      </c>
      <c r="P38" s="411"/>
      <c r="Q38" s="411"/>
      <c r="R38" s="411"/>
      <c r="S38" s="399">
        <f>SUM(F38:P38)</f>
        <v>4972697.9506037496</v>
      </c>
      <c r="T38" s="85"/>
      <c r="U38" s="85"/>
    </row>
    <row r="39" spans="1:21">
      <c r="A39" s="409">
        <v>2017</v>
      </c>
      <c r="B39" s="85" t="s">
        <v>816</v>
      </c>
      <c r="C39" s="412" t="s">
        <v>25</v>
      </c>
      <c r="D39" s="85" t="s">
        <v>450</v>
      </c>
      <c r="E39" s="85"/>
      <c r="F39" s="411">
        <f>'Census 2011_17'!F75*'Census 2011_17'!$H$5</f>
        <v>4051252.4062050367</v>
      </c>
      <c r="G39" s="411">
        <f>'Census 2011_17'!G75*'Census 2011_17'!$H$5</f>
        <v>7380.7386463397434</v>
      </c>
      <c r="H39" s="411">
        <f>'Census 2011_17'!H75*'Census 2011_17'!$H$5</f>
        <v>22787.407062337246</v>
      </c>
      <c r="I39" s="411"/>
      <c r="J39" s="411"/>
      <c r="K39" s="411"/>
      <c r="L39" s="411">
        <f>'Census 2011_17'!L75*'Census 2011_17'!$H$5</f>
        <v>13246.368953983485</v>
      </c>
      <c r="M39" s="411"/>
      <c r="N39" s="411">
        <f>'Census 2011_17'!N75*'Census 2011_17'!$H$5</f>
        <v>0</v>
      </c>
      <c r="O39" s="411">
        <f>'Census 2011_17'!O75*'Census 2011_17'!$H$5</f>
        <v>5877.4936765153152</v>
      </c>
      <c r="P39" s="411"/>
      <c r="Q39" s="411"/>
      <c r="R39" s="411"/>
      <c r="S39" s="399">
        <f>SUM(F39:P39)</f>
        <v>4100544.4145442122</v>
      </c>
      <c r="T39" s="85"/>
      <c r="U39" s="85"/>
    </row>
    <row r="40" spans="1:21">
      <c r="A40" s="409">
        <v>2017</v>
      </c>
      <c r="B40" s="85" t="s">
        <v>816</v>
      </c>
      <c r="C40" s="412"/>
      <c r="D40" s="85" t="s">
        <v>450</v>
      </c>
      <c r="E40" s="85"/>
      <c r="F40" s="400">
        <f t="shared" ref="F40:M40" si="4">SUM(F37:F39)/SUM($F$20:$M$22)</f>
        <v>0.84721554737136118</v>
      </c>
      <c r="G40" s="400">
        <f t="shared" si="4"/>
        <v>2.3769236213390917E-3</v>
      </c>
      <c r="H40" s="400">
        <f t="shared" si="4"/>
        <v>2.9494832272080319E-2</v>
      </c>
      <c r="I40" s="400">
        <f t="shared" si="4"/>
        <v>0</v>
      </c>
      <c r="J40" s="400">
        <f t="shared" si="4"/>
        <v>0</v>
      </c>
      <c r="K40" s="400">
        <f t="shared" si="4"/>
        <v>0</v>
      </c>
      <c r="L40" s="400">
        <f t="shared" si="4"/>
        <v>3.5643162488019544E-3</v>
      </c>
      <c r="M40" s="400">
        <f t="shared" si="4"/>
        <v>0</v>
      </c>
      <c r="N40" s="400">
        <f t="shared" ref="N40:P40" si="5">SUM(N37:N39)/SUM($F$20:$M$22)</f>
        <v>7.5344800280056398E-2</v>
      </c>
      <c r="O40" s="400">
        <f t="shared" si="5"/>
        <v>3.2263252074520477E-3</v>
      </c>
      <c r="P40" s="400">
        <f t="shared" si="5"/>
        <v>0</v>
      </c>
      <c r="Q40" s="400"/>
      <c r="R40" s="400"/>
      <c r="S40" s="399"/>
      <c r="T40" s="85"/>
      <c r="U40" s="85"/>
    </row>
    <row r="41" spans="1:21">
      <c r="A41" s="409">
        <v>2017</v>
      </c>
      <c r="B41" s="85" t="s">
        <v>816</v>
      </c>
      <c r="C41" s="412" t="s">
        <v>22</v>
      </c>
      <c r="D41" s="85" t="s">
        <v>450</v>
      </c>
      <c r="E41" s="85"/>
      <c r="F41" s="413">
        <f>F37</f>
        <v>5952269.8577147471</v>
      </c>
      <c r="G41" s="413">
        <f t="shared" ref="G41:P41" si="6">G37</f>
        <v>21556.098068969837</v>
      </c>
      <c r="H41" s="413">
        <f t="shared" si="6"/>
        <v>330909.64148083073</v>
      </c>
      <c r="I41" s="413">
        <f t="shared" si="6"/>
        <v>0</v>
      </c>
      <c r="J41" s="413">
        <f t="shared" si="6"/>
        <v>0</v>
      </c>
      <c r="K41" s="413">
        <f t="shared" si="6"/>
        <v>0</v>
      </c>
      <c r="L41" s="413">
        <f t="shared" si="6"/>
        <v>29084.118733549178</v>
      </c>
      <c r="M41" s="413">
        <f t="shared" si="6"/>
        <v>0</v>
      </c>
      <c r="N41" s="413">
        <f t="shared" si="6"/>
        <v>1313335.8367831614</v>
      </c>
      <c r="O41" s="413">
        <f t="shared" si="6"/>
        <v>34683.699496897767</v>
      </c>
      <c r="P41" s="413">
        <f t="shared" si="6"/>
        <v>0</v>
      </c>
      <c r="Q41" s="413"/>
      <c r="R41" s="413"/>
      <c r="S41" s="399">
        <f>SUM(F41:P41)</f>
        <v>7681839.2522781566</v>
      </c>
      <c r="T41" s="85"/>
      <c r="U41" s="85"/>
    </row>
    <row r="42" spans="1:21">
      <c r="A42" s="409">
        <v>2017</v>
      </c>
      <c r="B42" s="85" t="s">
        <v>816</v>
      </c>
      <c r="C42" s="412" t="s">
        <v>24</v>
      </c>
      <c r="D42" s="85" t="s">
        <v>450</v>
      </c>
      <c r="E42" s="85"/>
      <c r="F42" s="413">
        <f>IFERROR(F38*'Census 2011_17'!F$85/F$40,"")</f>
        <v>4817192.365781582</v>
      </c>
      <c r="G42" s="413">
        <f>IFERROR(G38*'Census 2011_17'!G$85/G$40,"")</f>
        <v>27559.187311481983</v>
      </c>
      <c r="H42" s="413">
        <f>IFERROR(H38*'Census 2011_17'!H$85/H$40,"")</f>
        <v>501061.50235334324</v>
      </c>
      <c r="I42" s="413" t="str">
        <f>IFERROR(I38*'Census 2011_17'!I$85/I$40,"")</f>
        <v/>
      </c>
      <c r="J42" s="413" t="str">
        <f>IFERROR(J38*'Census 2011_17'!J$85/J$40,"")</f>
        <v/>
      </c>
      <c r="K42" s="413" t="str">
        <f>IFERROR(K38*'Census 2011_17'!K$85/K$40,"")</f>
        <v/>
      </c>
      <c r="L42" s="413">
        <f>IFERROR(L38*'Census 2011_17'!L$85/L$40,"")</f>
        <v>109381.07438494517</v>
      </c>
      <c r="M42" s="413" t="str">
        <f>IFERROR(M38*'Census 2011_17'!M$85/M$40,"")</f>
        <v/>
      </c>
      <c r="N42" s="413">
        <f>IFERROR(N38*'Census 2011_17'!N$85/N$40,"")</f>
        <v>0</v>
      </c>
      <c r="O42" s="413">
        <f>IFERROR(O38*'Census 2011_17'!O$85/O$40,"")</f>
        <v>35185.360113804018</v>
      </c>
      <c r="P42" s="413" t="str">
        <f>IFERROR(P38*'Census 2011_17'!P$85/P$40,"")</f>
        <v/>
      </c>
      <c r="Q42" s="413"/>
      <c r="R42" s="413"/>
      <c r="S42" s="399">
        <f>SUM(F42:P42)</f>
        <v>5490379.4899451565</v>
      </c>
      <c r="T42" s="85"/>
      <c r="U42" s="85"/>
    </row>
    <row r="43" spans="1:21">
      <c r="A43" s="409">
        <v>2017</v>
      </c>
      <c r="B43" s="85" t="s">
        <v>816</v>
      </c>
      <c r="C43" s="412" t="s">
        <v>25</v>
      </c>
      <c r="D43" s="85" t="s">
        <v>450</v>
      </c>
      <c r="E43" s="85"/>
      <c r="F43" s="413">
        <f>IFERROR(F39*'Census 2011_17'!F$85/F$40,"")</f>
        <v>4096229.5550346016</v>
      </c>
      <c r="G43" s="413">
        <f>IFERROR(G39*'Census 2011_17'!G$85/G$40,"")</f>
        <v>16278.643228529127</v>
      </c>
      <c r="H43" s="413">
        <f>IFERROR(H39*'Census 2011_17'!H$85/H$40,"")</f>
        <v>71171.614035546037</v>
      </c>
      <c r="I43" s="413" t="str">
        <f>IFERROR(I39*'Census 2011_17'!I$85/I$40,"")</f>
        <v/>
      </c>
      <c r="J43" s="413" t="str">
        <f>IFERROR(J39*'Census 2011_17'!J$85/J$40,"")</f>
        <v/>
      </c>
      <c r="K43" s="413" t="str">
        <f>IFERROR(K39*'Census 2011_17'!K$85/K$40,"")</f>
        <v/>
      </c>
      <c r="L43" s="413">
        <f>IFERROR(L39*'Census 2011_17'!L$85/L$40,"")</f>
        <v>73180.056844157414</v>
      </c>
      <c r="M43" s="413" t="str">
        <f>IFERROR(M39*'Census 2011_17'!M$85/M$40,"")</f>
        <v/>
      </c>
      <c r="N43" s="413">
        <f>IFERROR(N39*'Census 2011_17'!N$85/N$40,"")</f>
        <v>0</v>
      </c>
      <c r="O43" s="413">
        <f>IFERROR(O39*'Census 2011_17'!O$85/O$40,"")</f>
        <v>13191.48705500516</v>
      </c>
      <c r="P43" s="413" t="str">
        <f>IFERROR(P39*'Census 2011_17'!P$85/P$40,"")</f>
        <v/>
      </c>
      <c r="Q43" s="413"/>
      <c r="R43" s="413"/>
      <c r="S43" s="399">
        <f>SUM(F43:P43)</f>
        <v>4270051.3561978396</v>
      </c>
      <c r="T43" s="85"/>
      <c r="U43" s="85"/>
    </row>
    <row r="44" spans="1:21">
      <c r="A44" s="409">
        <v>2017</v>
      </c>
      <c r="B44" s="85" t="s">
        <v>816</v>
      </c>
      <c r="C44" s="412" t="s">
        <v>22</v>
      </c>
      <c r="D44" s="85" t="s">
        <v>450</v>
      </c>
      <c r="E44" s="85"/>
      <c r="F44" s="411">
        <f>IFERROR(F41*'Census 2011_17'!$H3/$S41,"")</f>
        <v>5952269.8577147471</v>
      </c>
      <c r="G44" s="411">
        <f>IFERROR(G41*'Census 2011_17'!$H3/$S41,"")</f>
        <v>21556.098068969837</v>
      </c>
      <c r="H44" s="411">
        <f>IFERROR(H41*'Census 2011_17'!$H3/$S41,"")</f>
        <v>330909.64148083073</v>
      </c>
      <c r="I44" s="411">
        <f>IFERROR(I41*'Census 2011_17'!$H3/$S41,"")</f>
        <v>0</v>
      </c>
      <c r="J44" s="411">
        <f>IFERROR(J41*'Census 2011_17'!$H3/$S41,"")</f>
        <v>0</v>
      </c>
      <c r="K44" s="411">
        <f>IFERROR(K41*'Census 2011_17'!$H3/$S41,"")</f>
        <v>0</v>
      </c>
      <c r="L44" s="411">
        <f>IFERROR(L41*'Census 2011_17'!$H3/$S41,"")</f>
        <v>29084.118733549178</v>
      </c>
      <c r="M44" s="411">
        <f>IFERROR(M41*'Census 2011_17'!$H3/$S41,"")</f>
        <v>0</v>
      </c>
      <c r="N44" s="411">
        <f>IFERROR(N41*'Census 2011_17'!$H3/$S41,"")</f>
        <v>1313335.8367831614</v>
      </c>
      <c r="O44" s="411">
        <f>IFERROR(O41*'Census 2011_17'!$H3/$S41,"")</f>
        <v>34683.699496897767</v>
      </c>
      <c r="P44" s="411">
        <f>IFERROR(P41*'Census 2011_17'!$H3/$S41,"")</f>
        <v>0</v>
      </c>
      <c r="Q44" s="411"/>
      <c r="R44" s="411"/>
      <c r="S44" s="399">
        <f>SUM(F44:P44)</f>
        <v>7681839.2522781566</v>
      </c>
      <c r="T44" s="85"/>
      <c r="U44" s="85"/>
    </row>
    <row r="45" spans="1:21">
      <c r="A45" s="409">
        <v>2017</v>
      </c>
      <c r="B45" s="85" t="s">
        <v>816</v>
      </c>
      <c r="C45" s="412" t="s">
        <v>24</v>
      </c>
      <c r="D45" s="85" t="s">
        <v>450</v>
      </c>
      <c r="E45" s="85"/>
      <c r="F45" s="411">
        <f>IFERROR(F42*'Census 2011_17'!$H4/$S42,"")</f>
        <v>4889772.97049936</v>
      </c>
      <c r="G45" s="411">
        <f>IFERROR(G42*'Census 2011_17'!$H4/$S42,"")</f>
        <v>27974.421399870593</v>
      </c>
      <c r="H45" s="411">
        <f>IFERROR(H42*'Census 2011_17'!$H4/$S42,"")</f>
        <v>508610.99261242774</v>
      </c>
      <c r="I45" s="411" t="str">
        <f>IFERROR(I42*'Census 2011_17'!$H4/$S42,"")</f>
        <v/>
      </c>
      <c r="J45" s="411" t="str">
        <f>IFERROR(J42*'Census 2011_17'!$H4/$S42,"")</f>
        <v/>
      </c>
      <c r="K45" s="411" t="str">
        <f>IFERROR(K42*'Census 2011_17'!$H4/$S42,"")</f>
        <v/>
      </c>
      <c r="L45" s="411">
        <f>IFERROR(L42*'Census 2011_17'!$H4/$S42,"")</f>
        <v>111029.11829117012</v>
      </c>
      <c r="M45" s="411" t="str">
        <f>IFERROR(M42*'Census 2011_17'!$H4/$S42,"")</f>
        <v/>
      </c>
      <c r="N45" s="411">
        <f>IFERROR(N42*'Census 2011_17'!$H4/$S42,"")</f>
        <v>0</v>
      </c>
      <c r="O45" s="411">
        <f>IFERROR(O42*'Census 2011_17'!$H4/$S42,"")</f>
        <v>35715.497696104692</v>
      </c>
      <c r="P45" s="411" t="str">
        <f>IFERROR(P42*'Census 2011_17'!$H4/$S42,"")</f>
        <v/>
      </c>
      <c r="Q45" s="411"/>
      <c r="R45" s="411"/>
      <c r="S45" s="399">
        <f t="shared" ref="S45:S46" si="7">SUM(F45:P45)</f>
        <v>5573103.0004989337</v>
      </c>
      <c r="T45" s="85"/>
      <c r="U45" s="85"/>
    </row>
    <row r="46" spans="1:21">
      <c r="A46" s="409">
        <v>2017</v>
      </c>
      <c r="B46" s="85" t="s">
        <v>816</v>
      </c>
      <c r="C46" s="412" t="s">
        <v>25</v>
      </c>
      <c r="D46" s="85" t="s">
        <v>450</v>
      </c>
      <c r="E46" s="85"/>
      <c r="F46" s="411">
        <f>IFERROR(F43*'Census 2011_17'!$H5/$S43,"")</f>
        <v>4006070.0953151621</v>
      </c>
      <c r="G46" s="411">
        <f>IFERROR(G43*'Census 2011_17'!$H5/$S43,"")</f>
        <v>15920.344539764039</v>
      </c>
      <c r="H46" s="411">
        <f>IFERROR(H43*'Census 2011_17'!$H5/$S43,"")</f>
        <v>69605.101665427879</v>
      </c>
      <c r="I46" s="411" t="str">
        <f>IFERROR(I43*'Census 2011_17'!$H5/$S43,"")</f>
        <v/>
      </c>
      <c r="J46" s="411" t="str">
        <f>IFERROR(J43*'Census 2011_17'!$H5/$S43,"")</f>
        <v/>
      </c>
      <c r="K46" s="411" t="str">
        <f>IFERROR(K43*'Census 2011_17'!$H5/$S43,"")</f>
        <v/>
      </c>
      <c r="L46" s="411">
        <f>IFERROR(L43*'Census 2011_17'!$H5/$S43,"")</f>
        <v>71569.337938231416</v>
      </c>
      <c r="M46" s="411" t="str">
        <f>IFERROR(M43*'Census 2011_17'!$H5/$S43,"")</f>
        <v/>
      </c>
      <c r="N46" s="411">
        <f>IFERROR(N43*'Census 2011_17'!$H5/$S43,"")</f>
        <v>0</v>
      </c>
      <c r="O46" s="411">
        <f>IFERROR(O43*'Census 2011_17'!$H5/$S43,"")</f>
        <v>12901.137764323084</v>
      </c>
      <c r="P46" s="411" t="str">
        <f>IFERROR(P43*'Census 2011_17'!$H5/$S43,"")</f>
        <v/>
      </c>
      <c r="Q46" s="411"/>
      <c r="R46" s="411"/>
      <c r="S46" s="399">
        <f t="shared" si="7"/>
        <v>4176066.0172229083</v>
      </c>
      <c r="T46" s="85"/>
      <c r="U46" s="85"/>
    </row>
    <row r="47" spans="1:21">
      <c r="A47" s="409">
        <v>2017</v>
      </c>
      <c r="B47" s="85" t="s">
        <v>816</v>
      </c>
      <c r="C47" s="412"/>
      <c r="D47" s="85" t="s">
        <v>450</v>
      </c>
      <c r="E47" s="85"/>
      <c r="F47" s="400">
        <f t="shared" ref="F47:M47" si="8">SUM(F44:F46)/SUM($F$27:$M$29)</f>
        <v>0.85182180477097957</v>
      </c>
      <c r="G47" s="400">
        <f t="shared" si="8"/>
        <v>3.7548524442645149E-3</v>
      </c>
      <c r="H47" s="400">
        <f t="shared" si="8"/>
        <v>5.2155659711512863E-2</v>
      </c>
      <c r="I47" s="400">
        <f t="shared" si="8"/>
        <v>0</v>
      </c>
      <c r="J47" s="400">
        <f t="shared" si="8"/>
        <v>0</v>
      </c>
      <c r="K47" s="400">
        <f t="shared" si="8"/>
        <v>0</v>
      </c>
      <c r="L47" s="400">
        <f t="shared" si="8"/>
        <v>1.2144023551825825E-2</v>
      </c>
      <c r="M47" s="400">
        <f t="shared" si="8"/>
        <v>0</v>
      </c>
      <c r="N47" s="411"/>
      <c r="O47" s="411"/>
      <c r="P47" s="411"/>
      <c r="Q47" s="411"/>
      <c r="R47" s="411"/>
      <c r="S47" s="399"/>
      <c r="T47" s="85"/>
      <c r="U47" s="85"/>
    </row>
    <row r="48" spans="1:21">
      <c r="A48" s="409" t="s">
        <v>830</v>
      </c>
      <c r="B48" s="85" t="s">
        <v>816</v>
      </c>
      <c r="C48" s="412" t="s">
        <v>22</v>
      </c>
      <c r="D48" s="85" t="s">
        <v>11</v>
      </c>
      <c r="E48" s="85"/>
      <c r="F48" s="414">
        <f>IFERROR(F44/SUM($F44:$P44),"")</f>
        <v>0.77484957211901018</v>
      </c>
      <c r="G48" s="414">
        <f t="shared" ref="G48:O48" si="9">IFERROR(G44/SUM($F44:$P44),"")</f>
        <v>2.8061115783667404E-3</v>
      </c>
      <c r="H48" s="414">
        <f t="shared" si="9"/>
        <v>4.3076876593414117E-2</v>
      </c>
      <c r="I48" s="414">
        <f t="shared" si="9"/>
        <v>0</v>
      </c>
      <c r="J48" s="414">
        <f t="shared" si="9"/>
        <v>0</v>
      </c>
      <c r="K48" s="414">
        <f t="shared" si="9"/>
        <v>0</v>
      </c>
      <c r="L48" s="414">
        <f t="shared" si="9"/>
        <v>3.7860879118140718E-3</v>
      </c>
      <c r="M48" s="414">
        <f t="shared" si="9"/>
        <v>0</v>
      </c>
      <c r="N48" s="414">
        <f t="shared" si="9"/>
        <v>0.17096632637732861</v>
      </c>
      <c r="O48" s="414">
        <f t="shared" si="9"/>
        <v>4.5150254200661422E-3</v>
      </c>
      <c r="P48" s="411"/>
      <c r="Q48" s="411"/>
      <c r="R48" s="411"/>
      <c r="S48" s="401">
        <f>SUM(F48:O48)</f>
        <v>0.99999999999999978</v>
      </c>
      <c r="T48" s="85"/>
      <c r="U48" s="401"/>
    </row>
    <row r="49" spans="1:21">
      <c r="A49" s="409" t="s">
        <v>830</v>
      </c>
      <c r="B49" s="85" t="s">
        <v>816</v>
      </c>
      <c r="C49" s="412" t="s">
        <v>24</v>
      </c>
      <c r="D49" s="85" t="s">
        <v>450</v>
      </c>
      <c r="E49" s="85"/>
      <c r="F49" s="414">
        <f t="shared" ref="F49:O50" si="10">IFERROR(F45/SUM($F45:$P45),"")</f>
        <v>0.87738786992840467</v>
      </c>
      <c r="G49" s="414">
        <f t="shared" si="10"/>
        <v>5.0195414291403142E-3</v>
      </c>
      <c r="H49" s="414">
        <f t="shared" si="10"/>
        <v>9.1261724853621801E-2</v>
      </c>
      <c r="I49" s="414">
        <f>IFERROR(I45/SUM($F45:$P45),0)</f>
        <v>0</v>
      </c>
      <c r="J49" s="414">
        <f t="shared" ref="J49:K50" si="11">IFERROR(J45/SUM($F45:$P45),0)</f>
        <v>0</v>
      </c>
      <c r="K49" s="414">
        <f t="shared" si="11"/>
        <v>0</v>
      </c>
      <c r="L49" s="414">
        <f t="shared" si="10"/>
        <v>1.9922315859087873E-2</v>
      </c>
      <c r="M49" s="414">
        <f>IFERROR(M45/SUM($F45:$P45),0)</f>
        <v>0</v>
      </c>
      <c r="N49" s="414">
        <f t="shared" si="10"/>
        <v>0</v>
      </c>
      <c r="O49" s="414">
        <f t="shared" si="10"/>
        <v>6.4085479297452874E-3</v>
      </c>
      <c r="P49" s="411"/>
      <c r="Q49" s="411"/>
      <c r="R49" s="411"/>
      <c r="S49" s="401">
        <f t="shared" ref="S49:S50" si="12">SUM(F48:O48)</f>
        <v>0.99999999999999978</v>
      </c>
      <c r="T49" s="85"/>
      <c r="U49" s="85"/>
    </row>
    <row r="50" spans="1:21">
      <c r="A50" s="409" t="s">
        <v>830</v>
      </c>
      <c r="B50" s="85" t="s">
        <v>816</v>
      </c>
      <c r="C50" s="412" t="s">
        <v>25</v>
      </c>
      <c r="D50" s="85" t="s">
        <v>450</v>
      </c>
      <c r="E50" s="85"/>
      <c r="F50" s="414">
        <f t="shared" si="10"/>
        <v>0.95929280782280502</v>
      </c>
      <c r="G50" s="414">
        <f t="shared" si="10"/>
        <v>3.8122827738128282E-3</v>
      </c>
      <c r="H50" s="414">
        <f t="shared" si="10"/>
        <v>1.6667624835997062E-2</v>
      </c>
      <c r="I50" s="414">
        <f>IFERROR(I46/SUM($F46:$P46),0)</f>
        <v>0</v>
      </c>
      <c r="J50" s="414">
        <f t="shared" si="11"/>
        <v>0</v>
      </c>
      <c r="K50" s="414">
        <f t="shared" si="11"/>
        <v>0</v>
      </c>
      <c r="L50" s="414">
        <f t="shared" si="10"/>
        <v>1.7137980492421708E-2</v>
      </c>
      <c r="M50" s="414">
        <f>IFERROR(M46/SUM($F46:$P46),0)</f>
        <v>0</v>
      </c>
      <c r="N50" s="414">
        <f t="shared" si="10"/>
        <v>0</v>
      </c>
      <c r="O50" s="414">
        <f t="shared" si="10"/>
        <v>3.0893040749634423E-3</v>
      </c>
      <c r="P50" s="411"/>
      <c r="Q50" s="411"/>
      <c r="R50" s="411"/>
      <c r="S50" s="401">
        <f t="shared" si="12"/>
        <v>1</v>
      </c>
      <c r="T50" s="85"/>
      <c r="U50" s="85"/>
    </row>
    <row r="52" spans="1:21">
      <c r="A52" s="409">
        <v>2017</v>
      </c>
      <c r="B52" s="85" t="s">
        <v>818</v>
      </c>
      <c r="C52" s="412" t="s">
        <v>22</v>
      </c>
      <c r="D52" s="85" t="s">
        <v>63</v>
      </c>
      <c r="E52" s="85"/>
      <c r="F52" s="411">
        <f>F27</f>
        <v>5035376.3812507456</v>
      </c>
      <c r="G52" s="411">
        <f>'Census 2011_17'!G76*'Census 2011_17'!$H$3</f>
        <v>133639.96407614683</v>
      </c>
      <c r="H52" s="411">
        <f>'Census 2011_17'!H76*'Census 2011_17'!$H$3</f>
        <v>973575.18208506901</v>
      </c>
      <c r="I52" s="411">
        <f>'Census 2011_17'!I76*'Census 2011_17'!$H$3</f>
        <v>1923968.51086096</v>
      </c>
      <c r="J52" s="411">
        <f>'Census 2011_17'!J76*'Census 2011_17'!$H$3</f>
        <v>215356.52449258204</v>
      </c>
      <c r="K52" s="411">
        <f>'Census 2011_17'!K76*'Census 2011_17'!$H$3</f>
        <v>40620.766993305682</v>
      </c>
      <c r="L52" s="411">
        <f>'Census 2011_17'!L76*'Census 2011_17'!$H$3</f>
        <v>17872.30999348863</v>
      </c>
      <c r="M52" s="411">
        <f>'Census 2011_17'!M76*'Census 2011_17'!$H$3</f>
        <v>1562.6646948008063</v>
      </c>
      <c r="N52" s="411">
        <f>'Census 2011_17'!N76*'Census 2011_17'!$H$3</f>
        <v>0</v>
      </c>
      <c r="O52" s="411">
        <f>'Census 2011_17'!O76*'Census 2011_17'!$H$3</f>
        <v>0</v>
      </c>
      <c r="P52" s="411">
        <f>'Census 2011_17'!P76*'Census 2011_17'!$H$3</f>
        <v>0</v>
      </c>
      <c r="Q52" s="411"/>
      <c r="R52" s="411"/>
      <c r="S52" s="399">
        <f>SUM(F52:P52)</f>
        <v>8341972.3044470986</v>
      </c>
      <c r="T52" s="85"/>
      <c r="U52" s="85"/>
    </row>
    <row r="53" spans="1:21">
      <c r="A53" s="409">
        <v>2017</v>
      </c>
      <c r="B53" s="85" t="s">
        <v>818</v>
      </c>
      <c r="C53" s="412" t="s">
        <v>24</v>
      </c>
      <c r="D53" s="85" t="s">
        <v>63</v>
      </c>
      <c r="E53" s="85"/>
      <c r="F53" s="411">
        <f t="shared" ref="F53:F54" si="13">F28</f>
        <v>4197062.3111257292</v>
      </c>
      <c r="G53" s="411">
        <f>'Census 2011_17'!G77*'Census 2011_17'!$H$4</f>
        <v>101458.4982593412</v>
      </c>
      <c r="H53" s="411">
        <f>'Census 2011_17'!H77*'Census 2011_17'!$H$4</f>
        <v>577412.69077814766</v>
      </c>
      <c r="I53" s="411">
        <f>'Census 2011_17'!I77*'Census 2011_17'!$H$4</f>
        <v>1004833.2308272842</v>
      </c>
      <c r="J53" s="411">
        <f>'Census 2011_17'!J77*'Census 2011_17'!$H$4</f>
        <v>155485.77356781077</v>
      </c>
      <c r="K53" s="411">
        <f>'Census 2011_17'!K77*'Census 2011_17'!$H$4</f>
        <v>21932.708394402176</v>
      </c>
      <c r="L53" s="411">
        <f>'Census 2011_17'!L77*'Census 2011_17'!$H$4</f>
        <v>13934.711785723108</v>
      </c>
      <c r="M53" s="411">
        <f>'Census 2011_17'!M77*'Census 2011_17'!$H$4</f>
        <v>906.9455891279033</v>
      </c>
      <c r="N53" s="411">
        <f>'Census 2011_17'!N77*'Census 2011_17'!$H$4</f>
        <v>0</v>
      </c>
      <c r="O53" s="411">
        <f>'Census 2011_17'!O77*'Census 2011_17'!$H$4</f>
        <v>0</v>
      </c>
      <c r="P53" s="411">
        <f>'Census 2011_17'!P77*'Census 2011_17'!$H$4</f>
        <v>0</v>
      </c>
      <c r="Q53" s="411"/>
      <c r="R53" s="411"/>
      <c r="S53" s="399">
        <f>SUM(F53:P53)</f>
        <v>6073026.8703275668</v>
      </c>
      <c r="T53" s="85"/>
      <c r="U53" s="85"/>
    </row>
    <row r="54" spans="1:21">
      <c r="A54" s="409">
        <v>2017</v>
      </c>
      <c r="B54" s="85" t="s">
        <v>818</v>
      </c>
      <c r="C54" s="412" t="s">
        <v>25</v>
      </c>
      <c r="D54" s="85" t="s">
        <v>63</v>
      </c>
      <c r="E54" s="85"/>
      <c r="F54" s="411">
        <f t="shared" si="13"/>
        <v>3692349.1126473104</v>
      </c>
      <c r="G54" s="411">
        <f>'Census 2011_17'!G78*'Census 2011_17'!$H$5</f>
        <v>246957.99809803721</v>
      </c>
      <c r="H54" s="411">
        <f>'Census 2011_17'!H78*'Census 2011_17'!$H$5</f>
        <v>168382.09205144783</v>
      </c>
      <c r="I54" s="411">
        <f>'Census 2011_17'!I78*'Census 2011_17'!$H$5</f>
        <v>163990.27395824622</v>
      </c>
      <c r="J54" s="411">
        <f>'Census 2011_17'!J78*'Census 2011_17'!$H$5</f>
        <v>39677.170183450886</v>
      </c>
      <c r="K54" s="411">
        <f>'Census 2011_17'!K78*'Census 2011_17'!$H$5</f>
        <v>5041.0256570462334</v>
      </c>
      <c r="L54" s="411">
        <f>'Census 2011_17'!L78*'Census 2011_17'!$H$5</f>
        <v>20492.752721924557</v>
      </c>
      <c r="M54" s="411">
        <f>'Census 2011_17'!M78*'Census 2011_17'!$H$5</f>
        <v>896.84341349608223</v>
      </c>
      <c r="N54" s="411">
        <f>'Census 2011_17'!N78*'Census 2011_17'!$H$5</f>
        <v>0</v>
      </c>
      <c r="O54" s="411">
        <f>'Census 2011_17'!O78*'Census 2011_17'!$H$5</f>
        <v>0</v>
      </c>
      <c r="P54" s="411">
        <f>'Census 2011_17'!P78*'Census 2011_17'!$H$5</f>
        <v>0</v>
      </c>
      <c r="Q54" s="411"/>
      <c r="R54" s="411"/>
      <c r="S54" s="399">
        <f>SUM(F54:P54)</f>
        <v>4337787.2687309599</v>
      </c>
      <c r="T54" s="85"/>
      <c r="U54" s="85"/>
    </row>
    <row r="55" spans="1:21">
      <c r="A55" s="409">
        <v>2017</v>
      </c>
      <c r="B55" s="85" t="s">
        <v>818</v>
      </c>
      <c r="C55" s="412"/>
      <c r="D55" s="85" t="s">
        <v>63</v>
      </c>
      <c r="E55" s="85"/>
      <c r="F55" s="400">
        <f t="shared" ref="F55:M55" si="14">SUM(F52:F54)/SUM($F$20:$M$22)</f>
        <v>0.74148251236093221</v>
      </c>
      <c r="G55" s="400">
        <f t="shared" si="14"/>
        <v>2.7655110534436415E-2</v>
      </c>
      <c r="H55" s="400">
        <f t="shared" si="14"/>
        <v>9.8638583510617814E-2</v>
      </c>
      <c r="I55" s="400">
        <f t="shared" si="14"/>
        <v>0.17743047147590449</v>
      </c>
      <c r="J55" s="400">
        <f t="shared" si="14"/>
        <v>2.355110283266728E-2</v>
      </c>
      <c r="K55" s="400">
        <f t="shared" si="14"/>
        <v>3.8778308172275396E-3</v>
      </c>
      <c r="L55" s="400">
        <f t="shared" si="14"/>
        <v>3.000387223219205E-3</v>
      </c>
      <c r="M55" s="400">
        <f t="shared" si="14"/>
        <v>1.9313017613666657E-4</v>
      </c>
      <c r="N55" s="411"/>
      <c r="O55" s="411"/>
      <c r="P55" s="411"/>
      <c r="Q55" s="411"/>
      <c r="R55" s="411"/>
      <c r="S55" s="399"/>
      <c r="T55" s="85"/>
      <c r="U55" s="85"/>
    </row>
    <row r="56" spans="1:21">
      <c r="A56" s="409">
        <v>2017</v>
      </c>
      <c r="B56" s="85" t="s">
        <v>818</v>
      </c>
      <c r="C56" s="412" t="s">
        <v>22</v>
      </c>
      <c r="D56" s="85" t="s">
        <v>63</v>
      </c>
      <c r="E56" s="85"/>
      <c r="F56" s="413">
        <f>F52*'Census 2011_17'!F$84/F$55</f>
        <v>5017767.9660038464</v>
      </c>
      <c r="G56" s="413">
        <f>G52*'Census 2011_17'!G$84/G$55</f>
        <v>218025.22896802926</v>
      </c>
      <c r="H56" s="413">
        <f>H52*'Census 2011_17'!H$84/H$55</f>
        <v>805961.69015973213</v>
      </c>
      <c r="I56" s="413">
        <f>I52*'Census 2011_17'!I$84/I$55</f>
        <v>1318986.9069511737</v>
      </c>
      <c r="J56" s="413">
        <f>J52*'Census 2011_17'!J$84/J$55</f>
        <v>39908.356894574579</v>
      </c>
      <c r="K56" s="413">
        <f>K52*'Census 2011_17'!K$84/K$55</f>
        <v>7990.1093893517282</v>
      </c>
      <c r="L56" s="413">
        <f>L52*'Census 2011_17'!L$84/L$55</f>
        <v>6442.7922669114414</v>
      </c>
      <c r="M56" s="413">
        <f>M52*'Census 2011_17'!M$84/M$55</f>
        <v>14251.690728596606</v>
      </c>
      <c r="N56" s="411"/>
      <c r="O56" s="411"/>
      <c r="P56" s="411"/>
      <c r="Q56" s="411"/>
      <c r="R56" s="411"/>
      <c r="S56" s="399">
        <f>SUM(F56:P56)</f>
        <v>7429334.741362215</v>
      </c>
      <c r="T56" s="85"/>
      <c r="U56" s="85"/>
    </row>
    <row r="57" spans="1:21">
      <c r="A57" s="409">
        <v>2017</v>
      </c>
      <c r="B57" s="85" t="s">
        <v>818</v>
      </c>
      <c r="C57" s="412" t="s">
        <v>24</v>
      </c>
      <c r="D57" s="85" t="s">
        <v>63</v>
      </c>
      <c r="E57" s="85"/>
      <c r="F57" s="413">
        <f>F53*'Census 2011_17'!F$84/F$55</f>
        <v>4182385.4309094679</v>
      </c>
      <c r="G57" s="413">
        <f>G53*'Census 2011_17'!G$84/G$55</f>
        <v>165523.18362747537</v>
      </c>
      <c r="H57" s="413">
        <f>H53*'Census 2011_17'!H$84/H$55</f>
        <v>478003.66807067132</v>
      </c>
      <c r="I57" s="413">
        <f>I53*'Census 2011_17'!I$84/I$55</f>
        <v>688868.79782535834</v>
      </c>
      <c r="J57" s="413">
        <f>J53*'Census 2011_17'!J$84/J$55</f>
        <v>28813.53029908755</v>
      </c>
      <c r="K57" s="413">
        <f>K53*'Census 2011_17'!K$84/K$55</f>
        <v>4314.1661826549634</v>
      </c>
      <c r="L57" s="413">
        <f>L53*'Census 2011_17'!L$84/L$55</f>
        <v>5023.3267757444501</v>
      </c>
      <c r="M57" s="413">
        <f>M53*'Census 2011_17'!M$84/M$55</f>
        <v>8271.4532982799283</v>
      </c>
      <c r="N57" s="411"/>
      <c r="O57" s="411"/>
      <c r="P57" s="411"/>
      <c r="Q57" s="411"/>
      <c r="R57" s="411"/>
      <c r="S57" s="399">
        <f>SUM(F57:P57)</f>
        <v>5561203.5569887394</v>
      </c>
      <c r="T57" s="85"/>
      <c r="U57" s="85"/>
    </row>
    <row r="58" spans="1:21">
      <c r="A58" s="409">
        <v>2017</v>
      </c>
      <c r="B58" s="85" t="s">
        <v>818</v>
      </c>
      <c r="C58" s="412" t="s">
        <v>25</v>
      </c>
      <c r="D58" s="85" t="s">
        <v>63</v>
      </c>
      <c r="E58" s="85"/>
      <c r="F58" s="413">
        <f>F54*'Census 2011_17'!F$84/F$55</f>
        <v>3679437.1848212001</v>
      </c>
      <c r="G58" s="413">
        <f>G54*'Census 2011_17'!G$84/G$55</f>
        <v>402896.50220297434</v>
      </c>
      <c r="H58" s="413">
        <f>H54*'Census 2011_17'!H$84/H$55</f>
        <v>139392.94879289402</v>
      </c>
      <c r="I58" s="413">
        <f>I54*'Census 2011_17'!I$84/I$55</f>
        <v>112424.40975370741</v>
      </c>
      <c r="J58" s="413">
        <f>J54*'Census 2011_17'!J$84/J$55</f>
        <v>7352.6941985102158</v>
      </c>
      <c r="K58" s="413">
        <f>K54*'Census 2011_17'!K$84/K$55</f>
        <v>991.57030789118187</v>
      </c>
      <c r="L58" s="413">
        <f>L54*'Census 2011_17'!L$84/L$55</f>
        <v>7387.4361407476854</v>
      </c>
      <c r="M58" s="413">
        <f>M54*'Census 2011_17'!M$84/M$55</f>
        <v>8179.3202365490934</v>
      </c>
      <c r="N58" s="411"/>
      <c r="O58" s="411"/>
      <c r="P58" s="411"/>
      <c r="Q58" s="411"/>
      <c r="R58" s="411"/>
      <c r="S58" s="399">
        <f>SUM(F58:P58)</f>
        <v>4358062.0664544739</v>
      </c>
      <c r="T58" s="85"/>
      <c r="U58" s="85"/>
    </row>
    <row r="59" spans="1:21">
      <c r="A59" s="409">
        <v>2017</v>
      </c>
      <c r="B59" s="85" t="s">
        <v>818</v>
      </c>
      <c r="C59" s="412" t="s">
        <v>22</v>
      </c>
      <c r="D59" s="85" t="s">
        <v>63</v>
      </c>
      <c r="E59" s="85"/>
      <c r="F59" s="411">
        <f>F56*'Census 2011_17'!$H3/$S56</f>
        <v>5188309.3523128396</v>
      </c>
      <c r="G59" s="411">
        <f>G56*'Census 2011_17'!$H3/$S56</f>
        <v>225435.36133175343</v>
      </c>
      <c r="H59" s="411">
        <f>H56*'Census 2011_17'!$H3/$S56</f>
        <v>833354.31271283224</v>
      </c>
      <c r="I59" s="411">
        <f>I56*'Census 2011_17'!$H3/$S56</f>
        <v>1363815.9738109568</v>
      </c>
      <c r="J59" s="411">
        <f>J56*'Census 2011_17'!$H3/$S56</f>
        <v>41264.74215515791</v>
      </c>
      <c r="K59" s="411">
        <f>K56*'Census 2011_17'!$H3/$S56</f>
        <v>8261.6732283440197</v>
      </c>
      <c r="L59" s="411">
        <f>L56*'Census 2011_17'!$H3/$S56</f>
        <v>6661.7666659558427</v>
      </c>
      <c r="M59" s="411">
        <f>M56*'Census 2011_17'!$H3/$S56</f>
        <v>14736.07006031719</v>
      </c>
      <c r="N59" s="411"/>
      <c r="O59" s="411"/>
      <c r="P59" s="411"/>
      <c r="Q59" s="411"/>
      <c r="R59" s="411"/>
      <c r="S59" s="399">
        <f>SUM(F59:M59)</f>
        <v>7681839.2522781575</v>
      </c>
      <c r="T59" s="85"/>
      <c r="U59" s="85"/>
    </row>
    <row r="60" spans="1:21">
      <c r="A60" s="409">
        <v>2017</v>
      </c>
      <c r="B60" s="85" t="s">
        <v>818</v>
      </c>
      <c r="C60" s="412" t="s">
        <v>24</v>
      </c>
      <c r="D60" s="85" t="s">
        <v>63</v>
      </c>
      <c r="E60" s="85"/>
      <c r="F60" s="411">
        <f>F57*'Census 2011_17'!$H4/$S57</f>
        <v>4191334.583491812</v>
      </c>
      <c r="G60" s="411">
        <f>G57*'Census 2011_17'!$H4/$S57</f>
        <v>165877.3576390933</v>
      </c>
      <c r="H60" s="411">
        <f>H57*'Census 2011_17'!$H4/$S57</f>
        <v>479026.46423117595</v>
      </c>
      <c r="I60" s="411">
        <f>I57*'Census 2011_17'!$H4/$S57</f>
        <v>690342.78727056703</v>
      </c>
      <c r="J60" s="411">
        <f>J57*'Census 2011_17'!$H4/$S57</f>
        <v>28875.183315850871</v>
      </c>
      <c r="K60" s="411">
        <f>K57*'Census 2011_17'!$H4/$S57</f>
        <v>4323.3973097406779</v>
      </c>
      <c r="L60" s="411">
        <f>L57*'Census 2011_17'!$H4/$S57</f>
        <v>5034.075311126885</v>
      </c>
      <c r="M60" s="411">
        <f>M57*'Census 2011_17'!$H4/$S57</f>
        <v>8289.1519295674661</v>
      </c>
      <c r="N60" s="411"/>
      <c r="O60" s="411"/>
      <c r="P60" s="411"/>
      <c r="Q60" s="411"/>
      <c r="R60" s="411"/>
      <c r="S60" s="399">
        <f>SUM(F60:M60)</f>
        <v>5573103.0004989356</v>
      </c>
      <c r="T60" s="85"/>
      <c r="U60" s="85"/>
    </row>
    <row r="61" spans="1:21">
      <c r="A61" s="409">
        <v>2017</v>
      </c>
      <c r="B61" s="85" t="s">
        <v>818</v>
      </c>
      <c r="C61" s="412" t="s">
        <v>25</v>
      </c>
      <c r="D61" s="85" t="s">
        <v>63</v>
      </c>
      <c r="E61" s="85"/>
      <c r="F61" s="411">
        <f>F58*'Census 2011_17'!$H5/$S58</f>
        <v>3525781.036555748</v>
      </c>
      <c r="G61" s="411">
        <f>G58*'Census 2011_17'!$H5/$S58</f>
        <v>386071.23204113555</v>
      </c>
      <c r="H61" s="411">
        <f>H58*'Census 2011_17'!$H5/$S58</f>
        <v>133571.79122693866</v>
      </c>
      <c r="I61" s="411">
        <f>I58*'Census 2011_17'!$H5/$S58</f>
        <v>107729.47927764575</v>
      </c>
      <c r="J61" s="411">
        <f>J58*'Census 2011_17'!$H5/$S58</f>
        <v>7045.6399907151954</v>
      </c>
      <c r="K61" s="411">
        <f>K58*'Census 2011_17'!$H5/$S58</f>
        <v>950.16156340344276</v>
      </c>
      <c r="L61" s="411">
        <f>L58*'Census 2011_17'!$H5/$S58</f>
        <v>7078.9310825211114</v>
      </c>
      <c r="M61" s="411">
        <f>M58*'Census 2011_17'!$H5/$S58</f>
        <v>7837.7454848010557</v>
      </c>
      <c r="N61" s="411"/>
      <c r="O61" s="411"/>
      <c r="P61" s="411"/>
      <c r="Q61" s="411"/>
      <c r="R61" s="411"/>
      <c r="S61" s="399">
        <f>SUM(F61:M61)</f>
        <v>4176066.0172229088</v>
      </c>
      <c r="T61" s="85"/>
      <c r="U61" s="85"/>
    </row>
    <row r="62" spans="1:21">
      <c r="A62" s="409">
        <v>2017</v>
      </c>
      <c r="B62" s="85" t="s">
        <v>818</v>
      </c>
      <c r="C62" s="412"/>
      <c r="D62" s="85" t="s">
        <v>63</v>
      </c>
      <c r="E62" s="85"/>
      <c r="F62" s="400">
        <f t="shared" ref="F62:M62" si="15">SUM(F59:F61)/SUM($F$27:$M$29)</f>
        <v>0.74037168547338428</v>
      </c>
      <c r="G62" s="400">
        <f t="shared" si="15"/>
        <v>4.4597761585020594E-2</v>
      </c>
      <c r="H62" s="400">
        <f t="shared" si="15"/>
        <v>8.2952893244823578E-2</v>
      </c>
      <c r="I62" s="400">
        <f t="shared" si="15"/>
        <v>0.1240254268067747</v>
      </c>
      <c r="J62" s="400">
        <f t="shared" si="15"/>
        <v>4.428060859483717E-3</v>
      </c>
      <c r="K62" s="400">
        <f t="shared" si="15"/>
        <v>7.7650310824435977E-4</v>
      </c>
      <c r="L62" s="400">
        <f t="shared" si="15"/>
        <v>1.0770904797238008E-3</v>
      </c>
      <c r="M62" s="400">
        <f t="shared" si="15"/>
        <v>1.7705784425450057E-3</v>
      </c>
      <c r="N62" s="411"/>
      <c r="O62" s="411"/>
      <c r="P62" s="411"/>
      <c r="Q62" s="411"/>
      <c r="R62" s="411"/>
      <c r="S62" s="399"/>
      <c r="T62" s="85"/>
      <c r="U62" s="85"/>
    </row>
    <row r="63" spans="1:21">
      <c r="A63" s="409" t="s">
        <v>830</v>
      </c>
      <c r="B63" s="85" t="s">
        <v>818</v>
      </c>
      <c r="C63" s="412" t="s">
        <v>22</v>
      </c>
      <c r="D63" s="85" t="s">
        <v>63</v>
      </c>
      <c r="E63" s="85"/>
      <c r="F63" s="414">
        <f t="shared" ref="F63:M65" si="16">F59/SUM($F59:$M59)</f>
        <v>0.67539936490784724</v>
      </c>
      <c r="G63" s="414">
        <f t="shared" si="16"/>
        <v>2.9346534589993849E-2</v>
      </c>
      <c r="H63" s="414">
        <f t="shared" si="16"/>
        <v>0.1084836958109595</v>
      </c>
      <c r="I63" s="414">
        <f t="shared" si="16"/>
        <v>0.17753768713742585</v>
      </c>
      <c r="J63" s="414">
        <f t="shared" si="16"/>
        <v>5.3717268482180577E-3</v>
      </c>
      <c r="K63" s="414">
        <f t="shared" si="16"/>
        <v>1.0754811389595148E-3</v>
      </c>
      <c r="L63" s="414">
        <f t="shared" si="16"/>
        <v>8.6720985003431331E-4</v>
      </c>
      <c r="M63" s="414">
        <f t="shared" si="16"/>
        <v>1.9182997165616295E-3</v>
      </c>
      <c r="N63" s="411"/>
      <c r="O63" s="411"/>
      <c r="P63" s="411"/>
      <c r="Q63" s="411"/>
      <c r="R63" s="411"/>
      <c r="S63" s="401">
        <f>SUM(F63:O63)</f>
        <v>0.99999999999999989</v>
      </c>
      <c r="T63" s="85"/>
      <c r="U63" s="85"/>
    </row>
    <row r="64" spans="1:21">
      <c r="A64" s="409" t="s">
        <v>830</v>
      </c>
      <c r="B64" s="85" t="s">
        <v>818</v>
      </c>
      <c r="C64" s="412" t="s">
        <v>24</v>
      </c>
      <c r="D64" s="85" t="s">
        <v>63</v>
      </c>
      <c r="E64" s="85"/>
      <c r="F64" s="414">
        <f t="shared" si="16"/>
        <v>0.75206479821323602</v>
      </c>
      <c r="G64" s="414">
        <f t="shared" si="16"/>
        <v>2.9763913859880756E-2</v>
      </c>
      <c r="H64" s="414">
        <f t="shared" si="16"/>
        <v>8.5953276691331709E-2</v>
      </c>
      <c r="I64" s="414">
        <f t="shared" si="16"/>
        <v>0.1238704519203689</v>
      </c>
      <c r="J64" s="414">
        <f t="shared" si="16"/>
        <v>5.1811680697926811E-3</v>
      </c>
      <c r="K64" s="414">
        <f t="shared" si="16"/>
        <v>7.7576124276791994E-4</v>
      </c>
      <c r="L64" s="414">
        <f t="shared" si="16"/>
        <v>9.0328050830501539E-4</v>
      </c>
      <c r="M64" s="414">
        <f t="shared" si="16"/>
        <v>1.487349494316788E-3</v>
      </c>
      <c r="N64" s="411"/>
      <c r="O64" s="411"/>
      <c r="P64" s="411"/>
      <c r="Q64" s="411"/>
      <c r="R64" s="411"/>
      <c r="S64" s="401">
        <f t="shared" ref="S64:S65" si="17">SUM(F63:O63)</f>
        <v>0.99999999999999989</v>
      </c>
      <c r="T64" s="85"/>
      <c r="U64" s="85"/>
    </row>
    <row r="65" spans="1:21">
      <c r="A65" s="409" t="s">
        <v>830</v>
      </c>
      <c r="B65" s="85" t="s">
        <v>818</v>
      </c>
      <c r="C65" s="412" t="s">
        <v>25</v>
      </c>
      <c r="D65" s="85" t="s">
        <v>63</v>
      </c>
      <c r="E65" s="85"/>
      <c r="F65" s="414">
        <f t="shared" si="16"/>
        <v>0.84428287819558911</v>
      </c>
      <c r="G65" s="414">
        <f t="shared" si="16"/>
        <v>9.2448546179323479E-2</v>
      </c>
      <c r="H65" s="414">
        <f t="shared" si="16"/>
        <v>3.198507654717684E-2</v>
      </c>
      <c r="I65" s="414">
        <f t="shared" si="16"/>
        <v>2.5796881283329434E-2</v>
      </c>
      <c r="J65" s="414">
        <f t="shared" si="16"/>
        <v>1.6871476556303481E-3</v>
      </c>
      <c r="K65" s="414">
        <f t="shared" si="16"/>
        <v>2.2752551312282698E-4</v>
      </c>
      <c r="L65" s="414">
        <f t="shared" si="16"/>
        <v>1.69511953434793E-3</v>
      </c>
      <c r="M65" s="414">
        <f t="shared" si="16"/>
        <v>1.8768250914800362E-3</v>
      </c>
      <c r="N65" s="411"/>
      <c r="O65" s="411"/>
      <c r="P65" s="411"/>
      <c r="Q65" s="411"/>
      <c r="R65" s="411"/>
      <c r="S65" s="401">
        <f t="shared" si="17"/>
        <v>0.99999999999999978</v>
      </c>
      <c r="T65" s="85"/>
      <c r="U65" s="85"/>
    </row>
    <row r="67" spans="1:21">
      <c r="A67" s="409">
        <v>2017</v>
      </c>
      <c r="B67" s="85" t="s">
        <v>817</v>
      </c>
      <c r="C67" s="412" t="s">
        <v>22</v>
      </c>
      <c r="D67" s="85" t="s">
        <v>62</v>
      </c>
      <c r="E67" s="85"/>
      <c r="F67" s="411">
        <f>'Census 2011_17'!F76*'Census 2011_17'!$H$3</f>
        <v>4375243.3290818064</v>
      </c>
      <c r="G67" s="411">
        <f>'Census 2011_17'!G76*'Census 2011_17'!$H$3</f>
        <v>133639.96407614683</v>
      </c>
      <c r="H67" s="411">
        <f>'Census 2011_17'!H76*'Census 2011_17'!$H$3</f>
        <v>973575.18208506901</v>
      </c>
      <c r="I67" s="411">
        <f>'Census 2011_17'!I76*'Census 2011_17'!$H$3</f>
        <v>1923968.51086096</v>
      </c>
      <c r="J67" s="411">
        <f>'Census 2011_17'!J76*'Census 2011_17'!$H$3</f>
        <v>215356.52449258204</v>
      </c>
      <c r="K67" s="411">
        <f>'Census 2011_17'!K76*'Census 2011_17'!$H$3</f>
        <v>40620.766993305682</v>
      </c>
      <c r="L67" s="411">
        <f>'Census 2011_17'!L76*'Census 2011_17'!$H$3</f>
        <v>17872.30999348863</v>
      </c>
      <c r="M67" s="411">
        <f>'Census 2011_17'!M76*'Census 2011_17'!$H$3</f>
        <v>1562.6646948008063</v>
      </c>
      <c r="N67" s="411">
        <f>'Census 2011_17'!N76*'Census 2011_17'!$H$3</f>
        <v>0</v>
      </c>
      <c r="O67" s="411">
        <f>'Census 2011_17'!O76*'Census 2011_17'!$H$3</f>
        <v>0</v>
      </c>
      <c r="P67" s="411">
        <f>'Census 2011_17'!P76*'Census 2011_17'!$H$3</f>
        <v>0</v>
      </c>
      <c r="Q67" s="411"/>
      <c r="R67" s="411"/>
      <c r="S67" s="399">
        <f>SUM(F67:P67)</f>
        <v>7681839.2522781594</v>
      </c>
      <c r="T67" s="85"/>
      <c r="U67" s="85"/>
    </row>
    <row r="68" spans="1:21">
      <c r="A68" s="409">
        <v>2017</v>
      </c>
      <c r="B68" s="85" t="s">
        <v>817</v>
      </c>
      <c r="C68" s="412" t="s">
        <v>24</v>
      </c>
      <c r="D68" s="85" t="s">
        <v>62</v>
      </c>
      <c r="E68" s="85"/>
      <c r="F68" s="411">
        <f>'Census 2011_17'!F77*'Census 2011_17'!$H$3</f>
        <v>5096052.0910738474</v>
      </c>
      <c r="G68" s="411">
        <f>'Census 2011_17'!G77*'Census 2011_17'!$H$3</f>
        <v>139848.10155779056</v>
      </c>
      <c r="H68" s="411">
        <f>'Census 2011_17'!H77*'Census 2011_17'!$H$3</f>
        <v>795892.6063964772</v>
      </c>
      <c r="I68" s="411">
        <f>'Census 2011_17'!I77*'Census 2011_17'!$H$3</f>
        <v>1385039.4212831641</v>
      </c>
      <c r="J68" s="411">
        <f>'Census 2011_17'!J77*'Census 2011_17'!$H$3</f>
        <v>214318.07710302714</v>
      </c>
      <c r="K68" s="411">
        <f>'Census 2011_17'!K77*'Census 2011_17'!$H$3</f>
        <v>30231.549683866549</v>
      </c>
      <c r="L68" s="411">
        <f>'Census 2011_17'!L77*'Census 2011_17'!$H$3</f>
        <v>19207.291872259968</v>
      </c>
      <c r="M68" s="411">
        <f>'Census 2011_17'!M77*'Census 2011_17'!$H$3</f>
        <v>1250.1133077245372</v>
      </c>
      <c r="N68" s="411">
        <f>'Census 2011_17'!N77*'Census 2011_17'!$H$3</f>
        <v>0</v>
      </c>
      <c r="O68" s="411">
        <f>'Census 2011_17'!O77*'Census 2011_17'!$H$3</f>
        <v>0</v>
      </c>
      <c r="P68" s="411">
        <f>'Census 2011_17'!P77*'Census 2011_17'!$H$3</f>
        <v>0</v>
      </c>
      <c r="Q68" s="411"/>
      <c r="R68" s="411"/>
      <c r="S68" s="399">
        <f>SUM(F68:P68)</f>
        <v>7681839.2522781575</v>
      </c>
      <c r="T68" s="85"/>
      <c r="U68" s="85"/>
    </row>
    <row r="69" spans="1:21">
      <c r="A69" s="409">
        <v>2017</v>
      </c>
      <c r="B69" s="85" t="s">
        <v>817</v>
      </c>
      <c r="C69" s="412" t="s">
        <v>25</v>
      </c>
      <c r="D69" s="85" t="s">
        <v>62</v>
      </c>
      <c r="E69" s="85"/>
      <c r="F69" s="411">
        <f>'Census 2011_17'!F78*'Census 2011_17'!$H$3</f>
        <v>6494561.0478932103</v>
      </c>
      <c r="G69" s="411">
        <f>'Census 2011_17'!G78*'Census 2011_17'!$H$3</f>
        <v>454277.21583652211</v>
      </c>
      <c r="H69" s="411">
        <f>'Census 2011_17'!H78*'Census 2011_17'!$H$3</f>
        <v>309737.47990739258</v>
      </c>
      <c r="I69" s="411">
        <f>'Census 2011_17'!I78*'Census 2011_17'!$H$3</f>
        <v>301658.76647755632</v>
      </c>
      <c r="J69" s="411">
        <f>'Census 2011_17'!J78*'Census 2011_17'!$H$3</f>
        <v>72985.829744435367</v>
      </c>
      <c r="K69" s="411">
        <f>'Census 2011_17'!K78*'Census 2011_17'!$H$3</f>
        <v>9272.9254289401288</v>
      </c>
      <c r="L69" s="411">
        <f>'Census 2011_17'!L78*'Census 2011_17'!$H$3</f>
        <v>37696.250872776196</v>
      </c>
      <c r="M69" s="411">
        <f>'Census 2011_17'!M78*'Census 2011_17'!$H$3</f>
        <v>1649.7361173238353</v>
      </c>
      <c r="N69" s="411">
        <f>'Census 2011_17'!N78*'Census 2011_17'!$H$3</f>
        <v>0</v>
      </c>
      <c r="O69" s="411">
        <f>'Census 2011_17'!O78*'Census 2011_17'!$H$3</f>
        <v>0</v>
      </c>
      <c r="P69" s="411">
        <f>'Census 2011_17'!P78*'Census 2011_17'!$H$3</f>
        <v>0</v>
      </c>
      <c r="Q69" s="411"/>
      <c r="R69" s="411"/>
      <c r="S69" s="399">
        <f>SUM(F69:P69)</f>
        <v>7681839.2522781556</v>
      </c>
      <c r="T69" s="85"/>
      <c r="U69" s="85"/>
    </row>
    <row r="70" spans="1:21">
      <c r="A70" s="409">
        <v>2017</v>
      </c>
      <c r="B70" s="85" t="s">
        <v>817</v>
      </c>
      <c r="C70" s="412"/>
      <c r="D70" s="85" t="s">
        <v>62</v>
      </c>
      <c r="E70" s="85"/>
      <c r="F70" s="400">
        <f>SUM(F67:F69)/SUM($F$67:$R$69)</f>
        <v>0.69279660524502484</v>
      </c>
      <c r="G70" s="400">
        <f t="shared" ref="G70:M70" si="18">SUM(G67:G69)/SUM($F$20:$M$22)</f>
        <v>4.175118674706816E-2</v>
      </c>
      <c r="H70" s="400">
        <f t="shared" si="18"/>
        <v>0.11928198507985326</v>
      </c>
      <c r="I70" s="400">
        <f t="shared" si="18"/>
        <v>0.20714043861914136</v>
      </c>
      <c r="J70" s="400">
        <f t="shared" si="18"/>
        <v>2.8837140316499008E-2</v>
      </c>
      <c r="K70" s="400">
        <f t="shared" si="18"/>
        <v>4.5967072509519478E-3</v>
      </c>
      <c r="L70" s="400">
        <f t="shared" si="18"/>
        <v>4.2898179830032739E-3</v>
      </c>
      <c r="M70" s="400">
        <f t="shared" si="18"/>
        <v>2.5601009710548309E-4</v>
      </c>
      <c r="N70" s="400">
        <f t="shared" ref="N70:P70" si="19">SUM(N67:N69)/SUM($F$20:$M$22)</f>
        <v>0</v>
      </c>
      <c r="O70" s="400">
        <f t="shared" si="19"/>
        <v>0</v>
      </c>
      <c r="P70" s="400">
        <f t="shared" si="19"/>
        <v>0</v>
      </c>
      <c r="Q70" s="400"/>
      <c r="R70" s="400"/>
      <c r="S70" s="399"/>
      <c r="T70" s="85"/>
      <c r="U70" s="85"/>
    </row>
    <row r="71" spans="1:21">
      <c r="A71" s="409">
        <v>2017</v>
      </c>
      <c r="B71" s="85" t="s">
        <v>817</v>
      </c>
      <c r="C71" s="412" t="s">
        <v>22</v>
      </c>
      <c r="D71" s="85" t="s">
        <v>62</v>
      </c>
      <c r="E71" s="85"/>
      <c r="F71" s="413">
        <f>F67*'Census 2011_17'!F$86/F$70</f>
        <v>3717548.4637392224</v>
      </c>
      <c r="G71" s="413">
        <f>G67*'Census 2011_17'!G$86/G$70</f>
        <v>54419.212649633955</v>
      </c>
      <c r="H71" s="413">
        <f>H67*'Census 2011_17'!H$86/H$70</f>
        <v>561106.58523439371</v>
      </c>
      <c r="I71" s="413">
        <f>I67*'Census 2011_17'!I$86/I$70</f>
        <v>1082991.9000946251</v>
      </c>
      <c r="J71" s="413">
        <f>J67*'Census 2011_17'!J$86/J$70</f>
        <v>90923.646446546758</v>
      </c>
      <c r="K71" s="413">
        <f>K67*'Census 2011_17'!K$86/K$70</f>
        <v>9380.1780474910356</v>
      </c>
      <c r="L71" s="413">
        <f>L67*'Census 2011_17'!L$86/L$70</f>
        <v>6145.3043823193539</v>
      </c>
      <c r="M71" s="413">
        <f>M67*'Census 2011_17'!M$86/M$70</f>
        <v>114009.41142623939</v>
      </c>
      <c r="N71" s="411"/>
      <c r="O71" s="411"/>
      <c r="P71" s="411"/>
      <c r="Q71" s="411"/>
      <c r="R71" s="411"/>
      <c r="S71" s="399">
        <f>SUM(F71:P71)</f>
        <v>5636524.7020204719</v>
      </c>
      <c r="T71" s="85"/>
      <c r="U71" s="85"/>
    </row>
    <row r="72" spans="1:21">
      <c r="A72" s="409">
        <v>2017</v>
      </c>
      <c r="B72" s="85" t="s">
        <v>817</v>
      </c>
      <c r="C72" s="412" t="s">
        <v>24</v>
      </c>
      <c r="D72" s="85" t="s">
        <v>62</v>
      </c>
      <c r="E72" s="85"/>
      <c r="F72" s="413">
        <f>F68*'Census 2011_17'!F$86/F$70</f>
        <v>4330003.8871854963</v>
      </c>
      <c r="G72" s="413">
        <f>G68*'Census 2011_17'!G$86/G$70</f>
        <v>56947.213581894255</v>
      </c>
      <c r="H72" s="413">
        <f>H68*'Census 2011_17'!H$86/H$70</f>
        <v>458701.69125717034</v>
      </c>
      <c r="I72" s="413">
        <f>I68*'Census 2011_17'!I$86/I$70</f>
        <v>779631.50960832636</v>
      </c>
      <c r="J72" s="413">
        <f>J68*'Census 2011_17'!J$86/J$70</f>
        <v>90485.213371330203</v>
      </c>
      <c r="K72" s="413">
        <f>K68*'Census 2011_17'!K$86/K$70</f>
        <v>6981.0921771362237</v>
      </c>
      <c r="L72" s="413">
        <f>L68*'Census 2011_17'!L$86/L$70</f>
        <v>6604.331222885532</v>
      </c>
      <c r="M72" s="413">
        <f>M68*'Census 2011_17'!M$86/M$70</f>
        <v>91206.183197190287</v>
      </c>
      <c r="N72" s="411"/>
      <c r="O72" s="411"/>
      <c r="P72" s="411"/>
      <c r="Q72" s="411"/>
      <c r="R72" s="411"/>
      <c r="S72" s="399">
        <f>SUM(F72:P72)</f>
        <v>5820561.1216014288</v>
      </c>
      <c r="T72" s="85"/>
      <c r="U72" s="85"/>
    </row>
    <row r="73" spans="1:21">
      <c r="A73" s="409">
        <v>2017</v>
      </c>
      <c r="B73" s="85" t="s">
        <v>817</v>
      </c>
      <c r="C73" s="412" t="s">
        <v>25</v>
      </c>
      <c r="D73" s="85" t="s">
        <v>62</v>
      </c>
      <c r="E73" s="85"/>
      <c r="F73" s="413">
        <f>F69*'Census 2011_17'!F$86/F$70</f>
        <v>5518286.3283909857</v>
      </c>
      <c r="G73" s="413">
        <f>G69*'Census 2011_17'!G$86/G$70</f>
        <v>184985.14708074392</v>
      </c>
      <c r="H73" s="413">
        <f>H69*'Census 2011_17'!H$86/H$70</f>
        <v>178512.91083420179</v>
      </c>
      <c r="I73" s="413">
        <f>I69*'Census 2011_17'!I$86/I$70</f>
        <v>169802.15572319145</v>
      </c>
      <c r="J73" s="413">
        <f>J69*'Census 2011_17'!J$86/J$70</f>
        <v>30814.658598929418</v>
      </c>
      <c r="K73" s="413">
        <f>K69*'Census 2011_17'!K$86/K$70</f>
        <v>2141.3109102272792</v>
      </c>
      <c r="L73" s="413">
        <f>L69*'Census 2011_17'!L$86/L$70</f>
        <v>12961.667281391132</v>
      </c>
      <c r="M73" s="413">
        <f>M69*'Census 2011_17'!M$86/M$70</f>
        <v>120361.99727970127</v>
      </c>
      <c r="N73" s="411"/>
      <c r="O73" s="411"/>
      <c r="P73" s="411"/>
      <c r="Q73" s="411"/>
      <c r="R73" s="411"/>
      <c r="S73" s="399">
        <f>SUM(F73:P73)</f>
        <v>6217866.1760993721</v>
      </c>
      <c r="T73" s="85"/>
      <c r="U73" s="85"/>
    </row>
    <row r="74" spans="1:21">
      <c r="A74" s="409">
        <v>2017</v>
      </c>
      <c r="B74" s="85" t="s">
        <v>817</v>
      </c>
      <c r="C74" s="412" t="s">
        <v>22</v>
      </c>
      <c r="D74" s="85" t="s">
        <v>62</v>
      </c>
      <c r="E74" s="85"/>
      <c r="F74" s="411">
        <f>F71*'Census 2011_17'!$H3/$S71</f>
        <v>5066527.908723888</v>
      </c>
      <c r="G74" s="411">
        <f>G71*'Census 2011_17'!$H3/$S71</f>
        <v>74166.204516087615</v>
      </c>
      <c r="H74" s="411">
        <f>H71*'Census 2011_17'!$H3/$S71</f>
        <v>764714.22002643603</v>
      </c>
      <c r="I74" s="411">
        <f>I71*'Census 2011_17'!$H3/$S71</f>
        <v>1475975.0250121371</v>
      </c>
      <c r="J74" s="411">
        <f>J71*'Census 2011_17'!$H3/$S71</f>
        <v>123916.92987400082</v>
      </c>
      <c r="K74" s="411">
        <f>K71*'Census 2011_17'!$H3/$S71</f>
        <v>12783.944669442308</v>
      </c>
      <c r="L74" s="411">
        <f>L71*'Census 2011_17'!$H3/$S71</f>
        <v>8375.2388070570942</v>
      </c>
      <c r="M74" s="411">
        <f>M71*'Census 2011_17'!$H3/$S71</f>
        <v>155379.78064910724</v>
      </c>
      <c r="N74" s="411">
        <f>N71*'Census 2011_17'!$H3/$S71</f>
        <v>0</v>
      </c>
      <c r="O74" s="411">
        <f>O71*'Census 2011_17'!$H3/$S71</f>
        <v>0</v>
      </c>
      <c r="P74" s="411">
        <f>P71*'Census 2011_17'!$H3/$S71</f>
        <v>0</v>
      </c>
      <c r="Q74" s="411"/>
      <c r="R74" s="411"/>
      <c r="S74" s="399">
        <f>SUM(F74:M74)</f>
        <v>7681839.2522781566</v>
      </c>
      <c r="T74" s="85"/>
      <c r="U74" s="85"/>
    </row>
    <row r="75" spans="1:21">
      <c r="A75" s="409">
        <v>2017</v>
      </c>
      <c r="B75" s="85" t="s">
        <v>817</v>
      </c>
      <c r="C75" s="412" t="s">
        <v>24</v>
      </c>
      <c r="D75" s="85" t="s">
        <v>62</v>
      </c>
      <c r="E75" s="85"/>
      <c r="F75" s="411">
        <f>F72*'Census 2011_17'!$H4/$S72</f>
        <v>4145916.0296913343</v>
      </c>
      <c r="G75" s="411">
        <f>G72*'Census 2011_17'!$H4/$S72</f>
        <v>54526.132490124735</v>
      </c>
      <c r="H75" s="411">
        <f>H72*'Census 2011_17'!$H4/$S72</f>
        <v>439200.22803161002</v>
      </c>
      <c r="I75" s="411">
        <f>I72*'Census 2011_17'!$H4/$S72</f>
        <v>746485.88249619352</v>
      </c>
      <c r="J75" s="411">
        <f>J72*'Census 2011_17'!$H4/$S72</f>
        <v>86638.281706043068</v>
      </c>
      <c r="K75" s="411">
        <f>K72*'Census 2011_17'!$H4/$S72</f>
        <v>6684.294683336836</v>
      </c>
      <c r="L75" s="411">
        <f>L72*'Census 2011_17'!$H4/$S72</f>
        <v>6323.5515246037721</v>
      </c>
      <c r="M75" s="411">
        <f>M72*'Census 2011_17'!$H4/$S72</f>
        <v>87328.599875687942</v>
      </c>
      <c r="N75" s="411">
        <f>N72*'Census 2011_17'!$H4/$S72</f>
        <v>0</v>
      </c>
      <c r="O75" s="411">
        <f>O72*'Census 2011_17'!$H4/$S72</f>
        <v>0</v>
      </c>
      <c r="P75" s="411">
        <f>P72*'Census 2011_17'!$H4/$S72</f>
        <v>0</v>
      </c>
      <c r="Q75" s="411"/>
      <c r="R75" s="411"/>
      <c r="S75" s="399">
        <f>SUM(F75:M75)</f>
        <v>5573103.0004989356</v>
      </c>
      <c r="T75" s="85"/>
      <c r="U75" s="85"/>
    </row>
    <row r="76" spans="1:21">
      <c r="A76" s="409">
        <v>2017</v>
      </c>
      <c r="B76" s="85" t="s">
        <v>817</v>
      </c>
      <c r="C76" s="412" t="s">
        <v>25</v>
      </c>
      <c r="D76" s="85" t="s">
        <v>62</v>
      </c>
      <c r="E76" s="85"/>
      <c r="F76" s="411">
        <f>F73*'Census 2011_17'!$H5/$S73</f>
        <v>3706211.6418459048</v>
      </c>
      <c r="G76" s="411">
        <f>G73*'Census 2011_17'!$H5/$S73</f>
        <v>124240.40089256018</v>
      </c>
      <c r="H76" s="411">
        <f>H73*'Census 2011_17'!$H5/$S73</f>
        <v>119893.49391850585</v>
      </c>
      <c r="I76" s="411">
        <f>I73*'Census 2011_17'!$H5/$S73</f>
        <v>114043.14471940792</v>
      </c>
      <c r="J76" s="411">
        <f>J73*'Census 2011_17'!$H5/$S73</f>
        <v>20695.853684011203</v>
      </c>
      <c r="K76" s="411">
        <f>K73*'Census 2011_17'!$H5/$S73</f>
        <v>1438.1550633691031</v>
      </c>
      <c r="L76" s="411">
        <f>L73*'Census 2011_17'!$H5/$S73</f>
        <v>8705.362374705197</v>
      </c>
      <c r="M76" s="411">
        <f>M73*'Census 2011_17'!$H5/$S73</f>
        <v>80837.964724444348</v>
      </c>
      <c r="N76" s="411">
        <f>N73*'Census 2011_17'!$H5/$S73</f>
        <v>0</v>
      </c>
      <c r="O76" s="411">
        <f>O73*'Census 2011_17'!$H5/$S73</f>
        <v>0</v>
      </c>
      <c r="P76" s="411">
        <f>P73*'Census 2011_17'!$H5/$S73</f>
        <v>0</v>
      </c>
      <c r="Q76" s="411"/>
      <c r="R76" s="411"/>
      <c r="S76" s="399">
        <f>SUM(F76:M76)</f>
        <v>4176066.0172229093</v>
      </c>
      <c r="T76" s="85"/>
      <c r="U76" s="85"/>
    </row>
    <row r="77" spans="1:21">
      <c r="A77" s="409">
        <v>2017</v>
      </c>
      <c r="B77" s="85" t="s">
        <v>817</v>
      </c>
      <c r="C77" s="412"/>
      <c r="D77" s="85" t="s">
        <v>62</v>
      </c>
      <c r="E77" s="85"/>
      <c r="F77" s="400">
        <f t="shared" ref="F77:M77" si="20">SUM(F74:F76)/SUM($F$27:$M$29)</f>
        <v>0.74113071258735208</v>
      </c>
      <c r="G77" s="400">
        <f t="shared" si="20"/>
        <v>1.4510505300722489E-2</v>
      </c>
      <c r="H77" s="400">
        <f t="shared" si="20"/>
        <v>7.5945574775207886E-2</v>
      </c>
      <c r="I77" s="400">
        <f t="shared" si="20"/>
        <v>0.13404296619198025</v>
      </c>
      <c r="J77" s="400">
        <f t="shared" si="20"/>
        <v>1.3266648818132602E-2</v>
      </c>
      <c r="K77" s="400">
        <f t="shared" si="20"/>
        <v>1.1993795248281553E-3</v>
      </c>
      <c r="L77" s="400">
        <f t="shared" si="20"/>
        <v>1.3426734899005394E-3</v>
      </c>
      <c r="M77" s="400">
        <f t="shared" si="20"/>
        <v>1.8561539311875937E-2</v>
      </c>
      <c r="N77" s="411"/>
      <c r="O77" s="411"/>
      <c r="P77" s="411"/>
      <c r="Q77" s="411"/>
      <c r="R77" s="411"/>
      <c r="S77" s="399"/>
      <c r="T77" s="85"/>
      <c r="U77" s="85"/>
    </row>
    <row r="78" spans="1:21">
      <c r="A78" s="409" t="s">
        <v>830</v>
      </c>
      <c r="B78" s="85" t="s">
        <v>817</v>
      </c>
      <c r="C78" s="412" t="s">
        <v>22</v>
      </c>
      <c r="D78" s="85" t="s">
        <v>62</v>
      </c>
      <c r="E78" s="85"/>
      <c r="F78" s="414">
        <f t="shared" ref="F78:M80" si="21">F74/SUM($F74:$M74)</f>
        <v>0.65954620271718634</v>
      </c>
      <c r="G78" s="414">
        <f t="shared" si="21"/>
        <v>9.6547457035230967E-3</v>
      </c>
      <c r="H78" s="414">
        <f t="shared" si="21"/>
        <v>9.954832363872354E-2</v>
      </c>
      <c r="I78" s="414">
        <f t="shared" si="21"/>
        <v>0.19213823363648441</v>
      </c>
      <c r="J78" s="414">
        <f t="shared" si="21"/>
        <v>1.6131153725620011E-2</v>
      </c>
      <c r="K78" s="414">
        <f t="shared" si="21"/>
        <v>1.6641775816450533E-3</v>
      </c>
      <c r="L78" s="414">
        <f t="shared" si="21"/>
        <v>1.0902647832123408E-3</v>
      </c>
      <c r="M78" s="414">
        <f t="shared" si="21"/>
        <v>2.0226898213605186E-2</v>
      </c>
      <c r="N78" s="411"/>
      <c r="O78" s="411"/>
      <c r="P78" s="411"/>
      <c r="Q78" s="411"/>
      <c r="R78" s="411"/>
      <c r="S78" s="401">
        <f>SUM(F78:O78)</f>
        <v>1</v>
      </c>
      <c r="T78" s="85"/>
      <c r="U78" s="85"/>
    </row>
    <row r="79" spans="1:21">
      <c r="A79" s="409" t="s">
        <v>830</v>
      </c>
      <c r="B79" s="85" t="s">
        <v>817</v>
      </c>
      <c r="C79" s="412" t="s">
        <v>24</v>
      </c>
      <c r="D79" s="85" t="s">
        <v>62</v>
      </c>
      <c r="E79" s="85"/>
      <c r="F79" s="414">
        <f t="shared" si="21"/>
        <v>0.74391519936383166</v>
      </c>
      <c r="G79" s="414">
        <f t="shared" si="21"/>
        <v>9.7838013195240148E-3</v>
      </c>
      <c r="H79" s="414">
        <f t="shared" si="21"/>
        <v>7.8807125580182227E-2</v>
      </c>
      <c r="I79" s="414">
        <f t="shared" si="21"/>
        <v>0.13394439012330545</v>
      </c>
      <c r="J79" s="414">
        <f t="shared" si="21"/>
        <v>1.5545788710218835E-2</v>
      </c>
      <c r="K79" s="414">
        <f t="shared" si="21"/>
        <v>1.1993847382218523E-3</v>
      </c>
      <c r="L79" s="414">
        <f t="shared" si="21"/>
        <v>1.1346554197971313E-3</v>
      </c>
      <c r="M79" s="414">
        <f t="shared" si="21"/>
        <v>1.5669654744918549E-2</v>
      </c>
      <c r="N79" s="411"/>
      <c r="O79" s="411"/>
      <c r="P79" s="411"/>
      <c r="Q79" s="411"/>
      <c r="R79" s="411"/>
      <c r="S79" s="401">
        <f t="shared" ref="S79:S80" si="22">SUM(F78:O78)</f>
        <v>1</v>
      </c>
      <c r="T79" s="85"/>
      <c r="U79" s="85"/>
    </row>
    <row r="80" spans="1:21">
      <c r="A80" s="409" t="s">
        <v>830</v>
      </c>
      <c r="B80" s="85" t="s">
        <v>817</v>
      </c>
      <c r="C80" s="412" t="s">
        <v>25</v>
      </c>
      <c r="D80" s="85" t="s">
        <v>62</v>
      </c>
      <c r="E80" s="85"/>
      <c r="F80" s="414">
        <f t="shared" si="21"/>
        <v>0.88748875773533431</v>
      </c>
      <c r="G80" s="414">
        <f t="shared" si="21"/>
        <v>2.9750583534879138E-2</v>
      </c>
      <c r="H80" s="414">
        <f t="shared" si="21"/>
        <v>2.8709673990794621E-2</v>
      </c>
      <c r="I80" s="414">
        <f t="shared" si="21"/>
        <v>2.730875044816624E-2</v>
      </c>
      <c r="J80" s="414">
        <f t="shared" si="21"/>
        <v>4.9558253146998812E-3</v>
      </c>
      <c r="K80" s="414">
        <f t="shared" si="21"/>
        <v>3.4438034682351086E-4</v>
      </c>
      <c r="L80" s="414">
        <f t="shared" si="21"/>
        <v>2.0845844722766804E-3</v>
      </c>
      <c r="M80" s="414">
        <f t="shared" si="21"/>
        <v>1.9357444157025498E-2</v>
      </c>
      <c r="N80" s="411"/>
      <c r="O80" s="411"/>
      <c r="P80" s="411"/>
      <c r="Q80" s="411"/>
      <c r="R80" s="411"/>
      <c r="S80" s="401">
        <f t="shared" si="22"/>
        <v>0.99999999999999978</v>
      </c>
      <c r="T80" s="85"/>
      <c r="U80" s="85"/>
    </row>
    <row r="82" spans="8:8">
      <c r="H82" t="s">
        <v>827</v>
      </c>
    </row>
    <row r="83" spans="8:8">
      <c r="H83" t="s">
        <v>828</v>
      </c>
    </row>
  </sheetData>
  <pageMargins left="0.7" right="0.7" top="0.75" bottom="0.75" header="0.3" footer="0.3"/>
  <pageSetup paperSize="0"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4"/>
  <dimension ref="A1:AV197"/>
  <sheetViews>
    <sheetView topLeftCell="A16" zoomScale="130" zoomScaleNormal="130" workbookViewId="0">
      <selection activeCell="H55" sqref="H55"/>
    </sheetView>
  </sheetViews>
  <sheetFormatPr defaultColWidth="8.8203125" defaultRowHeight="12.7" outlineLevelRow="3"/>
  <cols>
    <col min="1" max="1" width="4.46875" customWidth="1"/>
    <col min="2" max="2" width="15.17578125" customWidth="1"/>
    <col min="3" max="3" width="13.3515625" customWidth="1"/>
    <col min="4" max="4" width="8.64453125" customWidth="1"/>
    <col min="5" max="5" width="16.3515625" customWidth="1"/>
    <col min="6" max="6" width="11.8203125" customWidth="1"/>
    <col min="7" max="7" width="13.46875" customWidth="1"/>
    <col min="8" max="8" width="15.46875" customWidth="1"/>
    <col min="9" max="9" width="8.46875" customWidth="1"/>
    <col min="10" max="10" width="10.3515625" customWidth="1"/>
    <col min="11" max="11" width="8.64453125" customWidth="1"/>
    <col min="12" max="12" width="8.17578125" customWidth="1"/>
    <col min="13" max="23" width="11.46875" customWidth="1"/>
    <col min="24" max="24" width="18" customWidth="1"/>
    <col min="25" max="25" width="11.64453125" customWidth="1"/>
    <col min="26" max="26" width="8.8203125" customWidth="1"/>
    <col min="27" max="34" width="13.46875" customWidth="1"/>
    <col min="35" max="35" width="8.3515625" customWidth="1"/>
    <col min="36" max="36" width="26.46875" customWidth="1"/>
    <col min="37" max="37" width="19.46875" customWidth="1"/>
    <col min="38" max="38" width="16.8203125" customWidth="1"/>
    <col min="39" max="39" width="13.46875" customWidth="1"/>
    <col min="40" max="40" width="11.8203125" customWidth="1"/>
    <col min="41" max="41" width="13.64453125" customWidth="1"/>
    <col min="42" max="42" width="14.17578125" customWidth="1"/>
    <col min="43" max="43" width="11.3515625" customWidth="1"/>
    <col min="44" max="44" width="16.3515625" customWidth="1"/>
    <col min="47" max="47" width="6.64453125" customWidth="1"/>
  </cols>
  <sheetData>
    <row r="1" spans="2:40">
      <c r="B1" s="670" t="s">
        <v>469</v>
      </c>
      <c r="C1" s="250"/>
      <c r="D1" s="250" t="s">
        <v>435</v>
      </c>
      <c r="E1" s="298" t="s">
        <v>17</v>
      </c>
      <c r="F1" s="299">
        <v>0.67856555411775232</v>
      </c>
      <c r="G1" s="1" t="s">
        <v>572</v>
      </c>
    </row>
    <row r="2" spans="2:40">
      <c r="B2" s="670"/>
      <c r="C2" s="250"/>
      <c r="D2" s="250"/>
      <c r="E2" s="298" t="s">
        <v>42</v>
      </c>
      <c r="F2" s="299">
        <v>0.8987980685965391</v>
      </c>
      <c r="G2" s="1" t="s">
        <v>11</v>
      </c>
      <c r="O2" s="1" t="s">
        <v>948</v>
      </c>
      <c r="R2">
        <v>2017</v>
      </c>
    </row>
    <row r="3" spans="2:40">
      <c r="B3" s="250"/>
      <c r="C3" s="250"/>
      <c r="D3" s="250"/>
      <c r="E3" s="298" t="s">
        <v>9</v>
      </c>
      <c r="F3" s="299">
        <v>1.2823586786458017</v>
      </c>
      <c r="O3" s="1" t="s">
        <v>938</v>
      </c>
      <c r="P3" s="1" t="s">
        <v>939</v>
      </c>
      <c r="Q3" s="1" t="s">
        <v>940</v>
      </c>
      <c r="R3" s="1" t="s">
        <v>941</v>
      </c>
      <c r="S3" s="1" t="s">
        <v>942</v>
      </c>
      <c r="T3" s="1" t="s">
        <v>943</v>
      </c>
    </row>
    <row r="4" spans="2:40">
      <c r="B4" s="250"/>
      <c r="C4" s="250"/>
      <c r="D4" s="250"/>
      <c r="E4" s="298" t="s">
        <v>21</v>
      </c>
      <c r="F4" s="299">
        <v>0.52953517812284667</v>
      </c>
      <c r="N4" s="279" t="s">
        <v>11</v>
      </c>
      <c r="O4" t="e">
        <f>[11]Sheet1!$D$13</f>
        <v>#REF!</v>
      </c>
      <c r="P4" t="e">
        <f>[11]Sheet1!$D$20</f>
        <v>#REF!</v>
      </c>
      <c r="Q4" t="e">
        <f>[11]Sheet1!$D$27</f>
        <v>#REF!</v>
      </c>
      <c r="R4" s="8" t="e">
        <f>[12]Households!$G4</f>
        <v>#REF!</v>
      </c>
      <c r="S4" t="e">
        <f>R4/SUM(R$4:R$6)</f>
        <v>#REF!</v>
      </c>
      <c r="T4">
        <f>'Census 2011_17'!H6/(SUM('Census 2011_17'!H5:H7))</f>
        <v>0.39420696370024866</v>
      </c>
      <c r="U4" t="e">
        <f>T4*$R$7</f>
        <v>#REF!</v>
      </c>
    </row>
    <row r="5" spans="2:40">
      <c r="B5" s="250"/>
      <c r="C5" s="250"/>
      <c r="D5" s="250"/>
      <c r="E5" s="298" t="s">
        <v>39</v>
      </c>
      <c r="F5" s="299">
        <v>1.0250206502476364</v>
      </c>
      <c r="N5" s="115" t="s">
        <v>12</v>
      </c>
      <c r="O5" t="e">
        <f>[11]Sheet1!$D$8</f>
        <v>#REF!</v>
      </c>
      <c r="P5" t="e">
        <f>[11]Sheet1!$D$15</f>
        <v>#REF!</v>
      </c>
      <c r="Q5" t="e">
        <f>[11]Sheet1!$D$22</f>
        <v>#REF!</v>
      </c>
      <c r="R5" s="8" t="e">
        <f>[12]Households!$G5</f>
        <v>#REF!</v>
      </c>
      <c r="S5" t="e">
        <f t="shared" ref="S5:S6" si="0">R5/SUM(R$4:R$6)</f>
        <v>#REF!</v>
      </c>
      <c r="T5">
        <f>'Census 2011_17'!H7/SUM('Census 2011_17'!H5:H7)</f>
        <v>0.32611655634622533</v>
      </c>
      <c r="U5" t="e">
        <f t="shared" ref="U5:U6" si="1">T5*$R$7</f>
        <v>#REF!</v>
      </c>
    </row>
    <row r="6" spans="2:40">
      <c r="N6" s="240" t="s">
        <v>13</v>
      </c>
      <c r="O6" t="e">
        <f>[11]Sheet1!$D$12</f>
        <v>#REF!</v>
      </c>
      <c r="P6" t="e">
        <f>[11]Sheet1!$D$19</f>
        <v>#REF!</v>
      </c>
      <c r="Q6" t="e">
        <f>[11]Sheet1!$D$26</f>
        <v>#REF!</v>
      </c>
      <c r="R6" s="8" t="e">
        <f>[12]Households!$G6</f>
        <v>#REF!</v>
      </c>
      <c r="S6" t="e">
        <f t="shared" si="0"/>
        <v>#REF!</v>
      </c>
      <c r="T6">
        <f>'Census 2011_17'!H5/SUM('Census 2011_17'!H5:H7)</f>
        <v>0.27967647995352607</v>
      </c>
      <c r="U6" t="e">
        <f t="shared" si="1"/>
        <v>#REF!</v>
      </c>
    </row>
    <row r="7" spans="2:40">
      <c r="N7" s="240" t="s">
        <v>14</v>
      </c>
      <c r="O7" t="e">
        <f>[11]Sheet1!$D$10</f>
        <v>#REF!</v>
      </c>
      <c r="P7" t="e">
        <f>[11]Sheet1!$D$17</f>
        <v>#REF!</v>
      </c>
      <c r="Q7" t="e">
        <f>[11]Sheet1!$D$24</f>
        <v>#REF!</v>
      </c>
      <c r="R7" t="e">
        <f>SUM(R4:R6)</f>
        <v>#REF!</v>
      </c>
      <c r="V7" t="e">
        <f>Q7/SUM(Q4:Q9)</f>
        <v>#REF!</v>
      </c>
    </row>
    <row r="8" spans="2:40">
      <c r="F8" s="1" t="s">
        <v>242</v>
      </c>
      <c r="G8" s="3" t="s">
        <v>244</v>
      </c>
      <c r="H8" s="512" t="s">
        <v>243</v>
      </c>
      <c r="I8" s="3" t="s">
        <v>245</v>
      </c>
      <c r="J8" s="3" t="s">
        <v>246</v>
      </c>
      <c r="K8" s="514" t="s">
        <v>173</v>
      </c>
      <c r="N8" s="1" t="s">
        <v>15</v>
      </c>
      <c r="O8" t="e">
        <f>[11]Sheet1!$D$9</f>
        <v>#REF!</v>
      </c>
      <c r="P8" t="e">
        <f>[11]Sheet1!$D$16</f>
        <v>#REF!</v>
      </c>
      <c r="Q8" t="e">
        <f>[11]Sheet1!$D$23</f>
        <v>#REF!</v>
      </c>
    </row>
    <row r="9" spans="2:40">
      <c r="B9" t="s">
        <v>849</v>
      </c>
      <c r="F9" s="330">
        <v>155.08799999999999</v>
      </c>
      <c r="G9" s="330">
        <v>11.815</v>
      </c>
      <c r="H9" s="513">
        <v>1.1930000000000001</v>
      </c>
      <c r="I9" s="330">
        <v>131.37</v>
      </c>
      <c r="J9" s="330">
        <v>12.473000000000001</v>
      </c>
      <c r="K9" s="515"/>
      <c r="N9" s="240" t="s">
        <v>41</v>
      </c>
      <c r="O9" t="e">
        <f>[11]Sheet1!$D$11</f>
        <v>#REF!</v>
      </c>
      <c r="P9" t="e">
        <f>[11]Sheet1!$D$18</f>
        <v>#REF!</v>
      </c>
      <c r="Q9" t="e">
        <f>[11]Sheet1!$D$25</f>
        <v>#REF!</v>
      </c>
    </row>
    <row r="10" spans="2:40">
      <c r="B10" t="s">
        <v>850</v>
      </c>
      <c r="F10" s="330">
        <v>172.33199999999999</v>
      </c>
      <c r="G10" s="330">
        <v>9.64</v>
      </c>
      <c r="H10" s="513">
        <v>17.97</v>
      </c>
      <c r="I10" s="330">
        <v>83.766999999999996</v>
      </c>
      <c r="J10" s="330">
        <v>15.617000000000001</v>
      </c>
      <c r="K10" s="513">
        <v>0.22</v>
      </c>
      <c r="L10">
        <v>0.22</v>
      </c>
    </row>
    <row r="11" spans="2:40">
      <c r="B11" s="1"/>
    </row>
    <row r="12" spans="2:40">
      <c r="B12" s="1"/>
    </row>
    <row r="13" spans="2:40">
      <c r="C13" s="1"/>
      <c r="F13" s="1" t="s">
        <v>407</v>
      </c>
    </row>
    <row r="14" spans="2:40" s="15" customFormat="1" ht="101.35">
      <c r="B14" s="15">
        <v>2017</v>
      </c>
      <c r="C14" s="507"/>
      <c r="D14" s="507" t="s">
        <v>405</v>
      </c>
      <c r="E14" s="507" t="s">
        <v>406</v>
      </c>
      <c r="F14" s="507" t="s">
        <v>42</v>
      </c>
      <c r="G14" s="507" t="s">
        <v>17</v>
      </c>
      <c r="H14" s="507" t="s">
        <v>43</v>
      </c>
      <c r="I14" s="507" t="s">
        <v>7</v>
      </c>
      <c r="J14" s="507" t="s">
        <v>9</v>
      </c>
      <c r="K14" s="507" t="s">
        <v>171</v>
      </c>
      <c r="N14" s="542"/>
      <c r="O14" s="543"/>
      <c r="P14" s="543"/>
      <c r="Q14" s="543" t="s">
        <v>970</v>
      </c>
      <c r="R14" s="543" t="s">
        <v>878</v>
      </c>
      <c r="S14" s="543" t="s">
        <v>971</v>
      </c>
      <c r="T14" s="544"/>
      <c r="U14" s="544"/>
      <c r="V14" s="543" t="s">
        <v>949</v>
      </c>
    </row>
    <row r="15" spans="2:40">
      <c r="B15" s="1" t="s">
        <v>255</v>
      </c>
      <c r="C15" s="1" t="s">
        <v>11</v>
      </c>
      <c r="D15" t="str">
        <f>RIGHT(LEFT(B15,2),1)</f>
        <v>L</v>
      </c>
      <c r="E15" s="3" t="str">
        <f>RIGHT(B15,1)</f>
        <v>L</v>
      </c>
      <c r="F15" s="3">
        <f t="shared" ref="F15:K24" si="2">SUMIFS($I$55:$I$160,$D$55:$D$160,$B15,$C$55:$C$160,F$8)</f>
        <v>5.1436058464979943</v>
      </c>
      <c r="G15" s="3">
        <f t="shared" si="2"/>
        <v>0</v>
      </c>
      <c r="H15" s="3">
        <f t="shared" si="2"/>
        <v>0</v>
      </c>
      <c r="I15" s="3">
        <f t="shared" si="2"/>
        <v>0</v>
      </c>
      <c r="J15" s="3">
        <f t="shared" si="2"/>
        <v>0</v>
      </c>
      <c r="K15" s="3">
        <f t="shared" si="2"/>
        <v>0</v>
      </c>
      <c r="N15" s="545" t="str">
        <f>Energy_Balance!B55</f>
        <v>Electricity</v>
      </c>
      <c r="O15" s="546" t="str">
        <f>Energy_Balance!E55</f>
        <v>Low Income</v>
      </c>
      <c r="P15" s="546" t="str">
        <f>Energy_Balance!F55</f>
        <v>Lighting</v>
      </c>
      <c r="Q15" s="546">
        <v>5.5647070597880148</v>
      </c>
      <c r="R15" s="547">
        <v>3.6888825388965123</v>
      </c>
      <c r="S15" s="548" t="e">
        <f>O4/$R$4*$U$4</f>
        <v>#REF!</v>
      </c>
      <c r="T15" s="548" t="e">
        <f>Q15/S15</f>
        <v>#REF!</v>
      </c>
      <c r="U15" s="548"/>
      <c r="V15" s="546">
        <v>5.5647070597880148</v>
      </c>
    </row>
    <row r="16" spans="2:40">
      <c r="B16" s="1" t="s">
        <v>272</v>
      </c>
      <c r="C16" s="1" t="s">
        <v>11</v>
      </c>
      <c r="D16" t="s">
        <v>78</v>
      </c>
      <c r="E16" s="3" t="s">
        <v>78</v>
      </c>
      <c r="F16" s="3">
        <f t="shared" si="2"/>
        <v>0</v>
      </c>
      <c r="G16" s="3">
        <f t="shared" si="2"/>
        <v>0.36541482196776115</v>
      </c>
      <c r="H16" s="3">
        <f t="shared" si="2"/>
        <v>0</v>
      </c>
      <c r="I16" s="3">
        <f t="shared" si="2"/>
        <v>0</v>
      </c>
      <c r="J16" s="3">
        <f t="shared" si="2"/>
        <v>0</v>
      </c>
      <c r="K16" s="3">
        <f t="shared" si="2"/>
        <v>0</v>
      </c>
      <c r="N16" s="545" t="str">
        <f t="shared" ref="N16:O19" si="3">N15</f>
        <v>Electricity</v>
      </c>
      <c r="O16" s="546" t="str">
        <f t="shared" si="3"/>
        <v>Low Income</v>
      </c>
      <c r="P16" s="549" t="str">
        <f>Energy_Balance!F59</f>
        <v>Cooking</v>
      </c>
      <c r="Q16" s="549" t="e">
        <f>V16*$T$15</f>
        <v>#REF!</v>
      </c>
      <c r="R16" s="547">
        <v>10.581932621358369</v>
      </c>
      <c r="S16" s="548" t="e">
        <f t="shared" ref="S16:S20" si="4">O5/$R$4*$U$4</f>
        <v>#REF!</v>
      </c>
      <c r="T16" s="548" t="e">
        <f t="shared" ref="T16:T20" si="5">Q16/S16</f>
        <v>#REF!</v>
      </c>
      <c r="U16" s="548"/>
      <c r="V16" s="549">
        <v>10.429552567500799</v>
      </c>
    </row>
    <row r="17" spans="2:22">
      <c r="B17" s="1" t="s">
        <v>256</v>
      </c>
      <c r="C17" s="1" t="s">
        <v>12</v>
      </c>
      <c r="D17" t="str">
        <f t="shared" ref="D17:D37" si="6">RIGHT(LEFT(B17,2),1)</f>
        <v>L</v>
      </c>
      <c r="E17" s="3" t="str">
        <f t="shared" ref="E17:E37" si="7">RIGHT(B17,1)</f>
        <v>K</v>
      </c>
      <c r="F17" s="3">
        <f t="shared" si="2"/>
        <v>9.6403111585533967</v>
      </c>
      <c r="G17" s="3">
        <f t="shared" si="2"/>
        <v>1.4969403216661288</v>
      </c>
      <c r="H17" s="3">
        <f t="shared" si="2"/>
        <v>1.0540082413086083</v>
      </c>
      <c r="I17" s="3">
        <f t="shared" si="2"/>
        <v>33.542202919333945</v>
      </c>
      <c r="J17" s="3">
        <f t="shared" si="2"/>
        <v>2.1940201359108897</v>
      </c>
      <c r="K17" s="3">
        <f t="shared" si="2"/>
        <v>0</v>
      </c>
      <c r="N17" s="545" t="str">
        <f t="shared" si="3"/>
        <v>Electricity</v>
      </c>
      <c r="O17" s="546" t="str">
        <f t="shared" si="3"/>
        <v>Low Income</v>
      </c>
      <c r="P17" s="550" t="str">
        <f>Energy_Balance!F139</f>
        <v>Space heating</v>
      </c>
      <c r="Q17" s="550">
        <v>1.0727313100437019</v>
      </c>
      <c r="R17" s="547">
        <v>3.0599476608572518</v>
      </c>
      <c r="S17" s="548" t="e">
        <f t="shared" si="4"/>
        <v>#REF!</v>
      </c>
      <c r="T17" s="548" t="e">
        <f t="shared" si="5"/>
        <v>#REF!</v>
      </c>
      <c r="U17" s="548"/>
      <c r="V17" s="550">
        <v>1.0727313100437019</v>
      </c>
    </row>
    <row r="18" spans="2:22">
      <c r="B18" s="1" t="s">
        <v>257</v>
      </c>
      <c r="C18" s="1" t="s">
        <v>323</v>
      </c>
      <c r="D18" t="str">
        <f t="shared" si="6"/>
        <v>L</v>
      </c>
      <c r="E18" s="3" t="str">
        <f t="shared" si="7"/>
        <v>H</v>
      </c>
      <c r="F18" s="3">
        <f t="shared" si="2"/>
        <v>0.97440877504504075</v>
      </c>
      <c r="G18" s="3">
        <f t="shared" si="2"/>
        <v>0.32511472040198852</v>
      </c>
      <c r="H18" s="3">
        <f t="shared" si="2"/>
        <v>8.2195005713241232E-2</v>
      </c>
      <c r="I18" s="3">
        <f t="shared" si="2"/>
        <v>10.185203913611241</v>
      </c>
      <c r="J18" s="3">
        <f t="shared" si="2"/>
        <v>3.5807184128955476</v>
      </c>
      <c r="K18" s="3">
        <f t="shared" si="2"/>
        <v>0</v>
      </c>
      <c r="N18" s="545" t="str">
        <f t="shared" si="3"/>
        <v>Electricity</v>
      </c>
      <c r="O18" s="546" t="str">
        <f t="shared" si="3"/>
        <v>Low Income</v>
      </c>
      <c r="P18" s="550" t="str">
        <f>Energy_Balance!F147</f>
        <v>Water heating</v>
      </c>
      <c r="Q18" s="550">
        <v>2.3470935945922231</v>
      </c>
      <c r="R18" s="547">
        <v>4.592932561831029</v>
      </c>
      <c r="S18" s="548" t="e">
        <f t="shared" si="4"/>
        <v>#REF!</v>
      </c>
      <c r="T18" s="548" t="e">
        <f t="shared" si="5"/>
        <v>#REF!</v>
      </c>
      <c r="U18" s="548"/>
      <c r="V18" s="550">
        <v>2.3470935945922231</v>
      </c>
    </row>
    <row r="19" spans="2:22">
      <c r="B19" s="1" t="s">
        <v>258</v>
      </c>
      <c r="C19" s="1" t="s">
        <v>14</v>
      </c>
      <c r="D19" t="str">
        <f t="shared" si="6"/>
        <v>L</v>
      </c>
      <c r="E19" s="3" t="str">
        <f t="shared" si="7"/>
        <v>W</v>
      </c>
      <c r="F19" s="3">
        <f t="shared" si="2"/>
        <v>2.1694806583192268</v>
      </c>
      <c r="G19" s="3">
        <f t="shared" si="2"/>
        <v>2.8371679818600861</v>
      </c>
      <c r="H19" s="3">
        <f t="shared" si="2"/>
        <v>0.58421574773989327</v>
      </c>
      <c r="I19" s="3">
        <f t="shared" si="2"/>
        <v>9.3904034820075051</v>
      </c>
      <c r="J19" s="3">
        <f t="shared" si="2"/>
        <v>0.55466590619951062</v>
      </c>
      <c r="K19" s="3">
        <f t="shared" si="2"/>
        <v>0</v>
      </c>
      <c r="N19" s="545" t="str">
        <f t="shared" si="3"/>
        <v>Electricity</v>
      </c>
      <c r="O19" s="546" t="str">
        <f t="shared" si="3"/>
        <v>Low Income</v>
      </c>
      <c r="P19" s="551" t="s">
        <v>15</v>
      </c>
      <c r="Q19" s="550">
        <v>11.627317653327299</v>
      </c>
      <c r="R19" s="547">
        <v>6.7346715439472549</v>
      </c>
      <c r="S19" s="548" t="e">
        <f t="shared" si="4"/>
        <v>#REF!</v>
      </c>
      <c r="T19" s="548" t="e">
        <f t="shared" si="5"/>
        <v>#REF!</v>
      </c>
      <c r="U19" s="548"/>
      <c r="V19" s="550">
        <v>11.627317653327299</v>
      </c>
    </row>
    <row r="20" spans="2:22">
      <c r="B20" s="1" t="s">
        <v>590</v>
      </c>
      <c r="C20" s="1" t="s">
        <v>14</v>
      </c>
      <c r="D20" t="str">
        <f t="shared" ref="D20" si="8">RIGHT(LEFT(B20,2),1)</f>
        <v>L</v>
      </c>
      <c r="E20" s="3" t="s">
        <v>593</v>
      </c>
      <c r="F20" s="3">
        <f t="shared" si="2"/>
        <v>0</v>
      </c>
      <c r="G20" s="3">
        <f t="shared" si="2"/>
        <v>0</v>
      </c>
      <c r="H20" s="3">
        <f t="shared" si="2"/>
        <v>0</v>
      </c>
      <c r="I20" s="3">
        <f t="shared" si="2"/>
        <v>0</v>
      </c>
      <c r="J20" s="3">
        <f t="shared" si="2"/>
        <v>0</v>
      </c>
      <c r="K20" s="3">
        <f t="shared" si="2"/>
        <v>0</v>
      </c>
      <c r="N20" s="545" t="str">
        <f>N18</f>
        <v>Electricity</v>
      </c>
      <c r="O20" s="546" t="str">
        <f>O18</f>
        <v>Low Income</v>
      </c>
      <c r="P20" s="550" t="str">
        <f>Energy_Balance!F158</f>
        <v>Other</v>
      </c>
      <c r="Q20" s="550">
        <v>7.9061600367087408</v>
      </c>
      <c r="R20" s="547">
        <v>3.4662555015312217</v>
      </c>
      <c r="S20" s="548" t="e">
        <f t="shared" si="4"/>
        <v>#REF!</v>
      </c>
      <c r="T20" s="548" t="e">
        <f t="shared" si="5"/>
        <v>#REF!</v>
      </c>
      <c r="U20" s="548"/>
      <c r="V20" s="550">
        <v>7.9061600367087408</v>
      </c>
    </row>
    <row r="21" spans="2:22">
      <c r="B21" s="1" t="s">
        <v>259</v>
      </c>
      <c r="C21" s="1" t="s">
        <v>15</v>
      </c>
      <c r="D21" t="str">
        <f t="shared" si="6"/>
        <v>L</v>
      </c>
      <c r="E21" s="3" t="str">
        <f t="shared" si="7"/>
        <v>R</v>
      </c>
      <c r="F21" s="3">
        <f t="shared" si="2"/>
        <v>10.747437092047381</v>
      </c>
      <c r="G21" s="3">
        <f t="shared" si="2"/>
        <v>0</v>
      </c>
      <c r="H21" s="3">
        <f t="shared" si="2"/>
        <v>0</v>
      </c>
      <c r="I21" s="3">
        <f t="shared" si="2"/>
        <v>0</v>
      </c>
      <c r="J21" s="3">
        <f t="shared" si="2"/>
        <v>0</v>
      </c>
      <c r="K21" s="3">
        <f t="shared" si="2"/>
        <v>0</v>
      </c>
      <c r="N21" s="545" t="str">
        <f>N20</f>
        <v>Electricity</v>
      </c>
      <c r="O21" s="550" t="str">
        <f>Energy_Balance!E124</f>
        <v>Middle Income</v>
      </c>
      <c r="P21" s="550" t="str">
        <f>P15</f>
        <v>Lighting</v>
      </c>
      <c r="Q21" s="546">
        <v>5.2847603981841891</v>
      </c>
      <c r="R21" s="547">
        <v>4.2095865989599845</v>
      </c>
      <c r="S21" s="548" t="e">
        <f>P4/$R$5*$U$5</f>
        <v>#REF!</v>
      </c>
      <c r="T21" s="548"/>
      <c r="U21" s="548"/>
      <c r="V21" s="546">
        <v>5.2847603981841891</v>
      </c>
    </row>
    <row r="22" spans="2:22">
      <c r="B22" s="1" t="s">
        <v>260</v>
      </c>
      <c r="C22" s="1" t="s">
        <v>41</v>
      </c>
      <c r="D22" t="str">
        <f t="shared" si="6"/>
        <v>L</v>
      </c>
      <c r="E22" s="3" t="str">
        <f t="shared" si="7"/>
        <v>O</v>
      </c>
      <c r="F22" s="3">
        <f t="shared" si="2"/>
        <v>7.3078727327855058</v>
      </c>
      <c r="G22" s="3">
        <f t="shared" si="2"/>
        <v>0</v>
      </c>
      <c r="H22" s="3">
        <f t="shared" si="2"/>
        <v>0</v>
      </c>
      <c r="I22" s="3">
        <f t="shared" si="2"/>
        <v>0</v>
      </c>
      <c r="J22" s="3">
        <f t="shared" si="2"/>
        <v>0</v>
      </c>
      <c r="K22" s="3">
        <f t="shared" si="2"/>
        <v>0</v>
      </c>
      <c r="N22" s="545" t="str">
        <f>N21</f>
        <v>Electricity</v>
      </c>
      <c r="O22" s="550" t="str">
        <f>O21</f>
        <v>Middle Income</v>
      </c>
      <c r="P22" s="550" t="str">
        <f>P16</f>
        <v>Cooking</v>
      </c>
      <c r="Q22" s="549">
        <v>8.6733927981600907</v>
      </c>
      <c r="R22" s="547">
        <v>5.8285673905827577</v>
      </c>
      <c r="S22" s="548" t="e">
        <f t="shared" ref="S22:S26" si="9">P5/$R$5*$U$5</f>
        <v>#REF!</v>
      </c>
      <c r="T22" s="548"/>
      <c r="U22" s="548"/>
      <c r="V22" s="549">
        <v>8.6733927981600907</v>
      </c>
    </row>
    <row r="23" spans="2:22">
      <c r="B23" s="1" t="s">
        <v>261</v>
      </c>
      <c r="C23" s="1" t="s">
        <v>11</v>
      </c>
      <c r="D23" t="str">
        <f t="shared" si="6"/>
        <v>M</v>
      </c>
      <c r="E23" s="3" t="str">
        <f t="shared" si="7"/>
        <v>L</v>
      </c>
      <c r="F23" s="3">
        <f t="shared" si="2"/>
        <v>5.2898644663697052</v>
      </c>
      <c r="G23" s="3">
        <f t="shared" si="2"/>
        <v>0</v>
      </c>
      <c r="H23" s="3">
        <f t="shared" si="2"/>
        <v>0</v>
      </c>
      <c r="I23" s="3">
        <f t="shared" si="2"/>
        <v>0</v>
      </c>
      <c r="J23" s="3">
        <f t="shared" si="2"/>
        <v>0</v>
      </c>
      <c r="K23" s="3">
        <f t="shared" si="2"/>
        <v>0</v>
      </c>
      <c r="N23" s="545" t="str">
        <f>N22</f>
        <v>Electricity</v>
      </c>
      <c r="O23" s="550" t="str">
        <f>O22</f>
        <v>Middle Income</v>
      </c>
      <c r="P23" s="550" t="str">
        <f>P17</f>
        <v>Space heating</v>
      </c>
      <c r="Q23" s="550">
        <v>3.5472479537265706</v>
      </c>
      <c r="R23" s="547">
        <v>6.9065613520311508</v>
      </c>
      <c r="S23" s="548" t="e">
        <f t="shared" si="9"/>
        <v>#REF!</v>
      </c>
      <c r="T23" s="548"/>
      <c r="U23" s="548"/>
      <c r="V23" s="550">
        <v>3.5472479537265706</v>
      </c>
    </row>
    <row r="24" spans="2:22">
      <c r="B24" s="1" t="s">
        <v>284</v>
      </c>
      <c r="C24" s="1" t="s">
        <v>11</v>
      </c>
      <c r="D24" t="str">
        <f t="shared" si="6"/>
        <v>M</v>
      </c>
      <c r="E24" s="3" t="str">
        <f t="shared" si="7"/>
        <v>L</v>
      </c>
      <c r="F24" s="3">
        <f t="shared" si="2"/>
        <v>0</v>
      </c>
      <c r="G24" s="3">
        <f t="shared" si="2"/>
        <v>0.71482186957706251</v>
      </c>
      <c r="H24" s="3">
        <f t="shared" si="2"/>
        <v>0</v>
      </c>
      <c r="I24" s="3">
        <f t="shared" si="2"/>
        <v>0</v>
      </c>
      <c r="J24" s="3">
        <f t="shared" si="2"/>
        <v>0</v>
      </c>
      <c r="K24" s="3">
        <f t="shared" si="2"/>
        <v>0</v>
      </c>
      <c r="N24" s="545" t="str">
        <f>N23</f>
        <v>Electricity</v>
      </c>
      <c r="O24" s="550" t="str">
        <f>O23</f>
        <v>Middle Income</v>
      </c>
      <c r="P24" s="550" t="str">
        <f>P18</f>
        <v>Water heating</v>
      </c>
      <c r="Q24" s="550">
        <v>7.4080340663885371</v>
      </c>
      <c r="R24" s="547">
        <v>18.007339974445149</v>
      </c>
      <c r="S24" s="548" t="e">
        <f t="shared" si="9"/>
        <v>#REF!</v>
      </c>
      <c r="T24" s="548"/>
      <c r="U24" s="548"/>
      <c r="V24" s="550">
        <v>7.4080340663885371</v>
      </c>
    </row>
    <row r="25" spans="2:22">
      <c r="B25" t="s">
        <v>262</v>
      </c>
      <c r="C25" s="1" t="s">
        <v>12</v>
      </c>
      <c r="D25" t="str">
        <f t="shared" si="6"/>
        <v>M</v>
      </c>
      <c r="E25" s="3" t="str">
        <f t="shared" si="7"/>
        <v>K</v>
      </c>
      <c r="F25" s="3">
        <f t="shared" ref="F25:K37" si="10">SUMIFS($I$55:$I$160,$D$55:$D$160,$B25,$C$55:$C$160,F$8)</f>
        <v>8.6817696373932929</v>
      </c>
      <c r="G25" s="3">
        <f t="shared" si="10"/>
        <v>0.20615414115615299</v>
      </c>
      <c r="H25" s="3">
        <f t="shared" si="10"/>
        <v>0.57692644375234903</v>
      </c>
      <c r="I25" s="3">
        <f t="shared" si="10"/>
        <v>16.951093019503173</v>
      </c>
      <c r="J25" s="3">
        <f t="shared" si="10"/>
        <v>1.6572312557292754</v>
      </c>
      <c r="K25" s="3">
        <f t="shared" si="10"/>
        <v>0</v>
      </c>
      <c r="N25" s="545" t="str">
        <f>N24</f>
        <v>Electricity</v>
      </c>
      <c r="O25" s="550" t="str">
        <f>O24</f>
        <v>Middle Income</v>
      </c>
      <c r="P25" s="551" t="s">
        <v>15</v>
      </c>
      <c r="Q25" s="550">
        <v>11.078811330003377</v>
      </c>
      <c r="R25" s="547">
        <v>7.3192909763665144</v>
      </c>
      <c r="S25" s="548" t="e">
        <f t="shared" si="9"/>
        <v>#REF!</v>
      </c>
      <c r="T25" s="548"/>
      <c r="U25" s="548"/>
      <c r="V25" s="550">
        <v>11.078811330003377</v>
      </c>
    </row>
    <row r="26" spans="2:22">
      <c r="B26" t="s">
        <v>263</v>
      </c>
      <c r="C26" s="1" t="s">
        <v>323</v>
      </c>
      <c r="D26" t="str">
        <f t="shared" si="6"/>
        <v>M</v>
      </c>
      <c r="E26" s="3" t="str">
        <f t="shared" si="7"/>
        <v>H</v>
      </c>
      <c r="F26" s="3">
        <f t="shared" si="10"/>
        <v>3.5506739170744979</v>
      </c>
      <c r="G26" s="3">
        <f t="shared" si="10"/>
        <v>0.74689579765915792</v>
      </c>
      <c r="H26" s="3">
        <f t="shared" si="10"/>
        <v>0.72640689006309955</v>
      </c>
      <c r="I26" s="3">
        <f t="shared" si="10"/>
        <v>5.1512463307387257</v>
      </c>
      <c r="J26" s="3">
        <f t="shared" si="10"/>
        <v>5.1822659916246563</v>
      </c>
      <c r="K26" s="3">
        <f t="shared" si="10"/>
        <v>0</v>
      </c>
      <c r="N26" s="545" t="str">
        <f>N24</f>
        <v>Electricity</v>
      </c>
      <c r="O26" s="550" t="str">
        <f>O24</f>
        <v>Middle Income</v>
      </c>
      <c r="P26" s="550" t="str">
        <f>P20</f>
        <v>Other</v>
      </c>
      <c r="Q26" s="550">
        <v>13.197168630893984</v>
      </c>
      <c r="R26" s="547">
        <v>11.049842054668675</v>
      </c>
      <c r="S26" s="548" t="e">
        <f t="shared" si="9"/>
        <v>#REF!</v>
      </c>
      <c r="T26" s="548"/>
      <c r="U26" s="548"/>
      <c r="V26" s="550">
        <v>13.197168630893984</v>
      </c>
    </row>
    <row r="27" spans="2:22">
      <c r="B27" t="s">
        <v>264</v>
      </c>
      <c r="C27" s="1" t="s">
        <v>14</v>
      </c>
      <c r="D27" t="str">
        <f t="shared" si="6"/>
        <v>M</v>
      </c>
      <c r="E27" s="3" t="str">
        <f t="shared" si="7"/>
        <v>W</v>
      </c>
      <c r="F27" s="3">
        <f t="shared" si="10"/>
        <v>1.2137812589445078</v>
      </c>
      <c r="G27" s="3">
        <f t="shared" si="10"/>
        <v>2.0981351412120754</v>
      </c>
      <c r="H27" s="3">
        <f t="shared" si="10"/>
        <v>2.2949532423457586</v>
      </c>
      <c r="I27" s="3">
        <f t="shared" si="10"/>
        <v>6.1152168202815496</v>
      </c>
      <c r="J27" s="3">
        <f t="shared" si="10"/>
        <v>0.97280809955558833</v>
      </c>
      <c r="K27" s="3">
        <f t="shared" si="10"/>
        <v>0</v>
      </c>
      <c r="N27" s="545" t="str">
        <f>N26</f>
        <v>Electricity</v>
      </c>
      <c r="O27" s="550" t="str">
        <f>Energy_Balance!E150</f>
        <v>High Income</v>
      </c>
      <c r="P27" s="550" t="str">
        <f>P21</f>
        <v>Lighting</v>
      </c>
      <c r="Q27" s="546">
        <v>5.8942134825324617</v>
      </c>
      <c r="R27" s="547">
        <v>5.3705442281752562</v>
      </c>
      <c r="S27" s="548" t="e">
        <f>Q4/$R$6*$U$6</f>
        <v>#REF!</v>
      </c>
      <c r="T27" s="548"/>
      <c r="U27" s="548"/>
      <c r="V27" s="546">
        <v>5.8942134825324617</v>
      </c>
    </row>
    <row r="28" spans="2:22">
      <c r="B28" s="1" t="s">
        <v>591</v>
      </c>
      <c r="C28" s="1" t="s">
        <v>14</v>
      </c>
      <c r="D28" t="str">
        <f t="shared" si="6"/>
        <v>M</v>
      </c>
      <c r="E28" s="3" t="s">
        <v>593</v>
      </c>
      <c r="F28" s="3">
        <f t="shared" si="10"/>
        <v>6.1957821991814717</v>
      </c>
      <c r="G28" s="3">
        <f t="shared" si="10"/>
        <v>0</v>
      </c>
      <c r="H28" s="3">
        <f t="shared" si="10"/>
        <v>0</v>
      </c>
      <c r="I28" s="3">
        <f t="shared" si="10"/>
        <v>0</v>
      </c>
      <c r="J28" s="3">
        <f t="shared" si="10"/>
        <v>0</v>
      </c>
      <c r="K28" s="3">
        <f t="shared" si="10"/>
        <v>0</v>
      </c>
      <c r="N28" s="545" t="str">
        <f>N27</f>
        <v>Electricity</v>
      </c>
      <c r="O28" s="550" t="str">
        <f>O27</f>
        <v>High Income</v>
      </c>
      <c r="P28" s="550" t="str">
        <f>P22</f>
        <v>Cooking</v>
      </c>
      <c r="Q28" s="549">
        <v>8.229006728119062</v>
      </c>
      <c r="R28" s="547">
        <v>5.8719127831048485</v>
      </c>
      <c r="S28" s="548" t="e">
        <f t="shared" ref="S28:S32" si="11">Q5/$R$6*$U$6</f>
        <v>#REF!</v>
      </c>
      <c r="T28" s="548"/>
      <c r="U28" s="548"/>
      <c r="V28" s="549">
        <v>8.229006728119062</v>
      </c>
    </row>
    <row r="29" spans="2:22">
      <c r="B29" s="1" t="s">
        <v>265</v>
      </c>
      <c r="C29" s="1" t="s">
        <v>15</v>
      </c>
      <c r="D29" t="str">
        <f t="shared" si="6"/>
        <v>M</v>
      </c>
      <c r="E29" s="3" t="str">
        <f t="shared" si="7"/>
        <v>R</v>
      </c>
      <c r="F29" s="3">
        <f t="shared" si="10"/>
        <v>11.089511343661943</v>
      </c>
      <c r="G29" s="3">
        <f t="shared" si="10"/>
        <v>0</v>
      </c>
      <c r="H29" s="3">
        <f t="shared" si="10"/>
        <v>0</v>
      </c>
      <c r="I29" s="3">
        <f t="shared" si="10"/>
        <v>0</v>
      </c>
      <c r="J29" s="3">
        <f t="shared" si="10"/>
        <v>0</v>
      </c>
      <c r="K29" s="3">
        <f t="shared" si="10"/>
        <v>0</v>
      </c>
      <c r="N29" s="545" t="str">
        <f>N28</f>
        <v>Electricity</v>
      </c>
      <c r="O29" s="550" t="str">
        <f>O28</f>
        <v>High Income</v>
      </c>
      <c r="P29" s="550" t="str">
        <f>P23</f>
        <v>Space heating</v>
      </c>
      <c r="Q29" s="550">
        <v>2.2621322245231945</v>
      </c>
      <c r="R29" s="547">
        <v>6.9583200653008186</v>
      </c>
      <c r="S29" s="548" t="e">
        <f t="shared" si="11"/>
        <v>#REF!</v>
      </c>
      <c r="T29" s="548"/>
      <c r="U29" s="548"/>
      <c r="V29" s="550">
        <v>2.2621322245231945</v>
      </c>
    </row>
    <row r="30" spans="2:22">
      <c r="B30" t="s">
        <v>266</v>
      </c>
      <c r="C30" s="1" t="s">
        <v>41</v>
      </c>
      <c r="D30" t="str">
        <f t="shared" si="6"/>
        <v>M</v>
      </c>
      <c r="E30" s="3" t="str">
        <f t="shared" si="7"/>
        <v>O</v>
      </c>
      <c r="F30" s="3">
        <f t="shared" si="10"/>
        <v>13.209914572710195</v>
      </c>
      <c r="G30" s="3">
        <f t="shared" si="10"/>
        <v>0</v>
      </c>
      <c r="H30" s="3">
        <f t="shared" si="10"/>
        <v>0</v>
      </c>
      <c r="I30" s="3">
        <f t="shared" si="10"/>
        <v>0</v>
      </c>
      <c r="J30" s="3">
        <f t="shared" si="10"/>
        <v>0</v>
      </c>
      <c r="K30" s="3">
        <f t="shared" si="10"/>
        <v>0</v>
      </c>
      <c r="N30" s="545" t="str">
        <f>N29</f>
        <v>Electricity</v>
      </c>
      <c r="O30" s="550" t="str">
        <f>O29</f>
        <v>High Income</v>
      </c>
      <c r="P30" s="550" t="str">
        <f>P24</f>
        <v>Water heating</v>
      </c>
      <c r="Q30" s="550">
        <v>40.014768265495256</v>
      </c>
      <c r="R30" s="547">
        <v>42.777213597513203</v>
      </c>
      <c r="S30" s="548" t="e">
        <f>Q7/$R$6*$U$6</f>
        <v>#REF!</v>
      </c>
      <c r="T30" s="548">
        <f>Q30/SUM(Q27:Q32)</f>
        <v>0.47526287219229146</v>
      </c>
      <c r="U30" s="548" t="e">
        <f>S30/SUM(S27:S32)</f>
        <v>#REF!</v>
      </c>
      <c r="V30" s="550">
        <v>40.014768265495256</v>
      </c>
    </row>
    <row r="31" spans="2:22">
      <c r="B31" t="s">
        <v>267</v>
      </c>
      <c r="C31" s="1" t="s">
        <v>11</v>
      </c>
      <c r="D31" t="str">
        <f t="shared" si="6"/>
        <v>H</v>
      </c>
      <c r="E31" s="3" t="str">
        <f t="shared" si="7"/>
        <v>L</v>
      </c>
      <c r="F31" s="3">
        <f t="shared" si="10"/>
        <v>6.928739896458783</v>
      </c>
      <c r="G31" s="3">
        <f t="shared" si="10"/>
        <v>0</v>
      </c>
      <c r="H31" s="3">
        <f t="shared" si="10"/>
        <v>0</v>
      </c>
      <c r="I31" s="3">
        <f t="shared" si="10"/>
        <v>0</v>
      </c>
      <c r="J31" s="3">
        <f t="shared" si="10"/>
        <v>0</v>
      </c>
      <c r="K31" s="3">
        <f t="shared" si="10"/>
        <v>0</v>
      </c>
      <c r="N31" s="545" t="str">
        <f>N30</f>
        <v>Electricity</v>
      </c>
      <c r="O31" s="550" t="str">
        <f>O30</f>
        <v>High Income</v>
      </c>
      <c r="P31" s="551" t="s">
        <v>15</v>
      </c>
      <c r="Q31" s="550">
        <v>12.088351425410425</v>
      </c>
      <c r="R31" s="547">
        <v>9.2655515179478201</v>
      </c>
      <c r="S31" s="548" t="e">
        <f t="shared" si="11"/>
        <v>#REF!</v>
      </c>
      <c r="T31" s="548"/>
      <c r="U31" s="548"/>
      <c r="V31" s="550">
        <v>12.088351425410425</v>
      </c>
    </row>
    <row r="32" spans="2:22">
      <c r="B32" t="s">
        <v>268</v>
      </c>
      <c r="C32" s="1" t="s">
        <v>12</v>
      </c>
      <c r="D32" t="str">
        <f t="shared" si="6"/>
        <v>H</v>
      </c>
      <c r="E32" s="3" t="str">
        <f t="shared" si="7"/>
        <v>K</v>
      </c>
      <c r="F32" s="3">
        <f t="shared" si="10"/>
        <v>9.6733257786328029</v>
      </c>
      <c r="G32" s="3">
        <f t="shared" si="10"/>
        <v>9.2563833924448141E-2</v>
      </c>
      <c r="H32" s="3">
        <f t="shared" si="10"/>
        <v>2.3995866483591111</v>
      </c>
      <c r="I32" s="3">
        <f t="shared" si="10"/>
        <v>0.99354566271501477</v>
      </c>
      <c r="J32" s="3">
        <f t="shared" si="10"/>
        <v>0</v>
      </c>
      <c r="K32" s="3">
        <f t="shared" si="10"/>
        <v>0</v>
      </c>
      <c r="N32" s="545" t="str">
        <f>N30</f>
        <v>Electricity</v>
      </c>
      <c r="O32" s="550" t="str">
        <f>O30</f>
        <v>High Income</v>
      </c>
      <c r="P32" s="550" t="str">
        <f>P26</f>
        <v>Other</v>
      </c>
      <c r="Q32" s="550">
        <v>15.706550474602096</v>
      </c>
      <c r="R32" s="547">
        <v>16.642647032482181</v>
      </c>
      <c r="S32" s="548" t="e">
        <f t="shared" si="11"/>
        <v>#REF!</v>
      </c>
      <c r="T32" s="548"/>
      <c r="U32" s="548"/>
      <c r="V32" s="550">
        <v>15.706550474602096</v>
      </c>
    </row>
    <row r="33" spans="2:23">
      <c r="B33" t="s">
        <v>252</v>
      </c>
      <c r="C33" s="1" t="s">
        <v>323</v>
      </c>
      <c r="D33" t="str">
        <f t="shared" si="6"/>
        <v>H</v>
      </c>
      <c r="E33" s="3" t="str">
        <f t="shared" si="7"/>
        <v>H</v>
      </c>
      <c r="F33" s="3">
        <f t="shared" si="10"/>
        <v>2.6591717184265713</v>
      </c>
      <c r="G33" s="3">
        <f t="shared" si="10"/>
        <v>2.5486082730346662E-2</v>
      </c>
      <c r="H33" s="3">
        <f t="shared" si="10"/>
        <v>2.206870457913674</v>
      </c>
      <c r="I33" s="3">
        <f t="shared" si="10"/>
        <v>0.24522190197486701</v>
      </c>
      <c r="J33" s="3">
        <f t="shared" si="10"/>
        <v>1.2379218124175966</v>
      </c>
      <c r="K33" s="3">
        <f t="shared" si="10"/>
        <v>0</v>
      </c>
      <c r="N33" s="548"/>
      <c r="O33" s="548"/>
      <c r="P33" s="548"/>
      <c r="Q33" s="547" t="e">
        <f>SUM(Q15:Q32)</f>
        <v>#REF!</v>
      </c>
      <c r="R33" s="548"/>
      <c r="S33" s="553" t="e">
        <f>SUM(S15:S32)</f>
        <v>#REF!</v>
      </c>
      <c r="T33" s="548"/>
      <c r="U33" s="548"/>
      <c r="V33" s="547">
        <f>SUM(V15:V32)</f>
        <v>172.33200000000002</v>
      </c>
    </row>
    <row r="34" spans="2:23">
      <c r="B34" t="s">
        <v>269</v>
      </c>
      <c r="C34" s="1" t="s">
        <v>14</v>
      </c>
      <c r="D34" t="str">
        <f t="shared" si="6"/>
        <v>H</v>
      </c>
      <c r="E34" s="3" t="str">
        <f t="shared" si="7"/>
        <v>W</v>
      </c>
      <c r="F34" s="3">
        <f t="shared" si="10"/>
        <v>0</v>
      </c>
      <c r="G34" s="3">
        <f t="shared" si="10"/>
        <v>0.73130528784479287</v>
      </c>
      <c r="H34" s="3">
        <f t="shared" si="10"/>
        <v>8.0448373228042644</v>
      </c>
      <c r="I34" s="3">
        <f t="shared" si="10"/>
        <v>1.1928659498339771</v>
      </c>
      <c r="J34" s="3">
        <f t="shared" si="10"/>
        <v>0.23736838566694082</v>
      </c>
      <c r="K34" s="3">
        <f t="shared" si="10"/>
        <v>0</v>
      </c>
      <c r="L34" s="3"/>
      <c r="M34" s="3">
        <f>H34/SUM(F34:K35)</f>
        <v>0.16018824917076632</v>
      </c>
      <c r="N34" s="3"/>
      <c r="O34" s="3"/>
      <c r="P34" s="3"/>
      <c r="Q34" s="3"/>
      <c r="R34" s="3"/>
      <c r="S34" s="552"/>
      <c r="T34" s="3"/>
      <c r="U34" s="3"/>
      <c r="V34" s="3"/>
      <c r="W34" s="3"/>
    </row>
    <row r="35" spans="2:23">
      <c r="B35" s="1" t="s">
        <v>594</v>
      </c>
      <c r="C35" s="1" t="s">
        <v>14</v>
      </c>
      <c r="D35" t="str">
        <f t="shared" si="6"/>
        <v>H</v>
      </c>
      <c r="E35" s="3" t="s">
        <v>593</v>
      </c>
      <c r="F35" s="3">
        <f t="shared" si="10"/>
        <v>40.014768265495256</v>
      </c>
      <c r="G35" s="3">
        <f t="shared" si="10"/>
        <v>0</v>
      </c>
      <c r="H35" s="3">
        <f t="shared" si="10"/>
        <v>0</v>
      </c>
      <c r="I35" s="3">
        <f t="shared" si="10"/>
        <v>0</v>
      </c>
      <c r="J35" s="3">
        <f t="shared" si="10"/>
        <v>0</v>
      </c>
      <c r="K35" s="3">
        <f t="shared" si="10"/>
        <v>0</v>
      </c>
    </row>
    <row r="36" spans="2:23">
      <c r="B36" s="1" t="s">
        <v>270</v>
      </c>
      <c r="C36" s="1" t="s">
        <v>15</v>
      </c>
      <c r="D36" t="str">
        <f t="shared" si="6"/>
        <v>H</v>
      </c>
      <c r="E36" s="3" t="str">
        <f t="shared" si="7"/>
        <v>R</v>
      </c>
      <c r="F36" s="3">
        <f t="shared" si="10"/>
        <v>14.210045674774101</v>
      </c>
      <c r="G36" s="3">
        <f t="shared" si="10"/>
        <v>0</v>
      </c>
      <c r="H36" s="3">
        <f t="shared" si="10"/>
        <v>0</v>
      </c>
      <c r="I36" s="3">
        <f t="shared" si="10"/>
        <v>0</v>
      </c>
      <c r="J36" s="3">
        <f t="shared" si="10"/>
        <v>0</v>
      </c>
      <c r="K36" s="3">
        <f t="shared" si="10"/>
        <v>0</v>
      </c>
    </row>
    <row r="37" spans="2:23">
      <c r="B37" t="s">
        <v>271</v>
      </c>
      <c r="C37" s="1" t="s">
        <v>41</v>
      </c>
      <c r="D37" t="str">
        <f t="shared" si="6"/>
        <v>H</v>
      </c>
      <c r="E37" s="3" t="str">
        <f t="shared" si="7"/>
        <v>O</v>
      </c>
      <c r="F37" s="3">
        <f t="shared" si="10"/>
        <v>18.463295099783466</v>
      </c>
      <c r="G37" s="3">
        <f t="shared" si="10"/>
        <v>0</v>
      </c>
      <c r="H37" s="3">
        <f t="shared" si="10"/>
        <v>0</v>
      </c>
      <c r="I37" s="3">
        <f t="shared" si="10"/>
        <v>0</v>
      </c>
      <c r="J37" s="3">
        <f t="shared" si="10"/>
        <v>0</v>
      </c>
      <c r="K37" s="3">
        <f t="shared" si="10"/>
        <v>0</v>
      </c>
    </row>
    <row r="38" spans="2:23">
      <c r="E38" s="3"/>
      <c r="F38" s="278">
        <f>SUM(F15:F37)</f>
        <v>177.16376009215514</v>
      </c>
      <c r="G38" s="278">
        <f t="shared" ref="G38:K38" si="12">SUM(G15:G37)</f>
        <v>9.64</v>
      </c>
      <c r="H38" s="278">
        <f t="shared" si="12"/>
        <v>17.97</v>
      </c>
      <c r="I38" s="278">
        <f t="shared" si="12"/>
        <v>83.76700000000001</v>
      </c>
      <c r="J38" s="278">
        <f t="shared" si="12"/>
        <v>15.617000000000004</v>
      </c>
      <c r="K38" s="278">
        <f t="shared" si="12"/>
        <v>0</v>
      </c>
    </row>
    <row r="39" spans="2:23">
      <c r="E39" s="3"/>
      <c r="F39" s="278"/>
      <c r="G39" s="278"/>
      <c r="H39" s="278"/>
      <c r="I39" s="278"/>
      <c r="J39" s="278"/>
      <c r="K39" s="278"/>
    </row>
    <row r="41" spans="2:23">
      <c r="B41" s="1" t="s">
        <v>841</v>
      </c>
      <c r="F41" s="5" t="s">
        <v>42</v>
      </c>
      <c r="G41" s="5" t="s">
        <v>17</v>
      </c>
      <c r="H41" s="5" t="s">
        <v>43</v>
      </c>
      <c r="I41" s="5" t="s">
        <v>7</v>
      </c>
      <c r="J41" s="5" t="s">
        <v>9</v>
      </c>
      <c r="K41" s="5" t="s">
        <v>171</v>
      </c>
    </row>
    <row r="42" spans="2:23">
      <c r="B42" s="1" t="s">
        <v>27</v>
      </c>
      <c r="C42">
        <v>2017</v>
      </c>
      <c r="F42" s="3">
        <f>SUMIF($B$55:$B$159,F14,$L$55:$L$159)</f>
        <v>177.16376009215514</v>
      </c>
      <c r="G42" s="3">
        <f>SUMIF($B$55:$B$160,G14,$L$55:$L$160)</f>
        <v>21.317975332786382</v>
      </c>
      <c r="H42" s="3">
        <f>SUMIF($B$55:$B$160,H14,$L$55:$L$160)</f>
        <v>9.4763523998810157</v>
      </c>
      <c r="I42" s="3">
        <f>SUMIF($B$55:$B$160,I14,$L$55:$L$160)</f>
        <v>136.15378888066724</v>
      </c>
      <c r="J42" s="3">
        <f>SUMIF($B$55:$B$160,J14,$L$55:$L$160)</f>
        <v>6.674196978732307</v>
      </c>
      <c r="K42">
        <f>SUMIF($B$55:$B$160,K14,$L$55:$L$160)</f>
        <v>0</v>
      </c>
      <c r="M42" s="462" t="s">
        <v>880</v>
      </c>
      <c r="N42" s="462"/>
      <c r="O42" s="462"/>
      <c r="P42" s="462"/>
      <c r="Q42" s="462"/>
      <c r="R42" s="462"/>
      <c r="S42" s="462"/>
      <c r="T42" s="462"/>
      <c r="U42" s="462"/>
      <c r="V42" s="462"/>
      <c r="W42" s="462"/>
    </row>
    <row r="43" spans="2:23">
      <c r="B43" s="1" t="s">
        <v>18</v>
      </c>
      <c r="D43" t="s">
        <v>78</v>
      </c>
      <c r="F43" s="3">
        <f t="shared" ref="F43:K45" si="13">SUMIF($D$15:$D$37,$D43,F$15:F$37)</f>
        <v>35.983116263248547</v>
      </c>
      <c r="G43" s="3">
        <f t="shared" si="13"/>
        <v>5.0246378458959651</v>
      </c>
      <c r="H43" s="3">
        <f t="shared" si="13"/>
        <v>1.7204189947617428</v>
      </c>
      <c r="I43" s="3">
        <f t="shared" si="13"/>
        <v>53.117810314952692</v>
      </c>
      <c r="J43" s="3">
        <f t="shared" si="13"/>
        <v>6.3294044550059487</v>
      </c>
      <c r="K43">
        <f t="shared" si="13"/>
        <v>0</v>
      </c>
    </row>
    <row r="44" spans="2:23">
      <c r="B44" s="1" t="s">
        <v>438</v>
      </c>
      <c r="D44" t="s">
        <v>468</v>
      </c>
      <c r="F44" s="3">
        <f t="shared" si="13"/>
        <v>49.231297395335616</v>
      </c>
      <c r="G44" s="3">
        <f t="shared" si="13"/>
        <v>3.7660069496044488</v>
      </c>
      <c r="H44" s="3">
        <f t="shared" si="13"/>
        <v>3.5982865761612071</v>
      </c>
      <c r="I44" s="3">
        <f t="shared" si="13"/>
        <v>28.217556170523448</v>
      </c>
      <c r="J44" s="3">
        <f t="shared" si="13"/>
        <v>7.8123053469095201</v>
      </c>
      <c r="K44">
        <f t="shared" si="13"/>
        <v>0</v>
      </c>
    </row>
    <row r="45" spans="2:23">
      <c r="B45" s="1" t="s">
        <v>59</v>
      </c>
      <c r="D45" t="s">
        <v>79</v>
      </c>
      <c r="F45" s="3">
        <f t="shared" si="13"/>
        <v>91.94934643357098</v>
      </c>
      <c r="G45" s="3">
        <f t="shared" si="13"/>
        <v>0.84935520449958768</v>
      </c>
      <c r="H45" s="3">
        <f>SUMIF($D$15:$D$37,$D45,H$15:H$37)</f>
        <v>12.651294429077049</v>
      </c>
      <c r="I45" s="3">
        <f t="shared" si="13"/>
        <v>2.4316335145238588</v>
      </c>
      <c r="J45" s="3">
        <f t="shared" si="13"/>
        <v>1.4752901980845374</v>
      </c>
      <c r="K45">
        <f t="shared" si="13"/>
        <v>0</v>
      </c>
    </row>
    <row r="46" spans="2:23">
      <c r="F46" s="3"/>
      <c r="G46" s="3"/>
      <c r="H46" s="3"/>
      <c r="I46" s="3"/>
      <c r="J46" s="3"/>
    </row>
    <row r="47" spans="2:23">
      <c r="F47" s="278" t="s">
        <v>42</v>
      </c>
      <c r="G47" s="278" t="s">
        <v>17</v>
      </c>
      <c r="H47" s="278" t="s">
        <v>43</v>
      </c>
      <c r="I47" s="278" t="s">
        <v>7</v>
      </c>
      <c r="J47" s="278" t="s">
        <v>9</v>
      </c>
      <c r="K47" s="5" t="s">
        <v>171</v>
      </c>
    </row>
    <row r="48" spans="2:23">
      <c r="B48" s="1" t="s">
        <v>851</v>
      </c>
      <c r="C48">
        <v>2017</v>
      </c>
      <c r="F48" s="3">
        <v>1</v>
      </c>
      <c r="G48" s="3">
        <f>G10/G42</f>
        <v>0.45220054200803866</v>
      </c>
      <c r="H48" s="3">
        <f>H10/H42</f>
        <v>1.8962992554208546</v>
      </c>
      <c r="I48" s="3">
        <f>I10/I42</f>
        <v>0.61523811190754352</v>
      </c>
      <c r="J48" s="3">
        <f>J10/J42</f>
        <v>2.3399069655517248</v>
      </c>
    </row>
    <row r="49" spans="1:48">
      <c r="B49" s="1" t="s">
        <v>853</v>
      </c>
      <c r="C49" t="s">
        <v>854</v>
      </c>
      <c r="F49" s="3"/>
      <c r="G49" s="3"/>
      <c r="H49" s="3"/>
      <c r="I49" s="3"/>
      <c r="J49" s="3"/>
    </row>
    <row r="50" spans="1:48">
      <c r="C50">
        <v>2017</v>
      </c>
      <c r="F50" s="3">
        <f>SUMIF($B$55:$B$160,F$14,$I$55:$I$160)</f>
        <v>177.16376009215514</v>
      </c>
      <c r="G50" s="3">
        <f>SUMIF($B$55:$B$160,G$14,$I$55:$I$160)</f>
        <v>9.64</v>
      </c>
      <c r="H50" s="3">
        <f>SUMIF($C$55:$C$160,"RESOLP",$I$55:$I$160)</f>
        <v>17.97</v>
      </c>
      <c r="I50" s="3">
        <f>SUMIF($B$55:$B$160,I$14,$I$55:$I$160)</f>
        <v>83.76700000000001</v>
      </c>
      <c r="J50" s="3">
        <f>SUMIF($B$55:$B$160,J$14,$I$55:$I$160)</f>
        <v>15.617000000000004</v>
      </c>
      <c r="K50" s="528">
        <f>SUMIF($B$55:$B$160,K$14,$I$55:$I$160)</f>
        <v>0</v>
      </c>
      <c r="L50" s="14" t="s">
        <v>932</v>
      </c>
    </row>
    <row r="52" spans="1:48" ht="25.35">
      <c r="G52" s="13" t="s">
        <v>227</v>
      </c>
      <c r="H52" s="5" t="s">
        <v>459</v>
      </c>
      <c r="I52" s="322" t="s">
        <v>852</v>
      </c>
      <c r="J52" s="5"/>
      <c r="Q52" s="437"/>
      <c r="R52" s="437"/>
      <c r="S52" s="437"/>
      <c r="T52" s="437"/>
      <c r="U52" s="437"/>
      <c r="V52" s="437"/>
      <c r="W52" s="437"/>
      <c r="X52" s="5"/>
    </row>
    <row r="53" spans="1:48" s="15" customFormat="1" ht="63.35">
      <c r="B53" s="418" t="s">
        <v>0</v>
      </c>
      <c r="C53" s="507" t="s">
        <v>176</v>
      </c>
      <c r="D53" s="507"/>
      <c r="E53" s="507"/>
      <c r="F53" s="507"/>
      <c r="G53" s="13" t="s">
        <v>933</v>
      </c>
      <c r="H53" s="13" t="s">
        <v>934</v>
      </c>
      <c r="I53" s="508" t="s">
        <v>912</v>
      </c>
      <c r="J53" s="508"/>
      <c r="K53" s="508" t="s">
        <v>879</v>
      </c>
      <c r="L53" s="13" t="s">
        <v>911</v>
      </c>
      <c r="M53"/>
      <c r="N53"/>
      <c r="O53"/>
      <c r="P53"/>
      <c r="Q53" s="418"/>
      <c r="R53" s="418"/>
      <c r="S53" s="418"/>
      <c r="T53" s="418"/>
      <c r="U53" s="418"/>
      <c r="V53" s="418"/>
      <c r="W53" s="418"/>
      <c r="AC53"/>
      <c r="AD53"/>
      <c r="AE53"/>
      <c r="AF53"/>
      <c r="AG53"/>
      <c r="AH53"/>
      <c r="AI53"/>
      <c r="AJ53"/>
      <c r="AK53"/>
      <c r="AL53"/>
      <c r="AM53"/>
      <c r="AN53"/>
      <c r="AO53"/>
      <c r="AP53"/>
      <c r="AQ53"/>
      <c r="AR53"/>
      <c r="AS53"/>
      <c r="AT53"/>
      <c r="AU53"/>
      <c r="AV53"/>
    </row>
    <row r="54" spans="1:48">
      <c r="A54" s="70" t="str">
        <f t="shared" ref="A54:A88" si="14">IF(LEFT(B54,1)="\","*","")</f>
        <v>*</v>
      </c>
      <c r="B54" s="269" t="s">
        <v>114</v>
      </c>
      <c r="C54" s="68"/>
      <c r="D54" s="68"/>
      <c r="E54" s="68"/>
      <c r="F54" s="68"/>
      <c r="G54" s="3"/>
      <c r="I54" s="195"/>
      <c r="J54" s="195"/>
      <c r="K54" s="195"/>
    </row>
    <row r="55" spans="1:48" outlineLevel="2">
      <c r="A55" s="70" t="str">
        <f t="shared" si="14"/>
        <v/>
      </c>
      <c r="B55" s="270" t="s">
        <v>42</v>
      </c>
      <c r="C55" s="1" t="s">
        <v>242</v>
      </c>
      <c r="D55" s="1" t="s">
        <v>255</v>
      </c>
      <c r="E55" s="1" t="str">
        <f>'Census 2011_17'!B$111</f>
        <v>Low Income</v>
      </c>
      <c r="F55" t="s">
        <v>11</v>
      </c>
      <c r="G55" s="509"/>
      <c r="H55" s="115">
        <f>'Census 2011_17'!H6</f>
        <v>5886209.3270581374</v>
      </c>
      <c r="I55" s="458">
        <f>IFERROR(IF(B55="paraffin",L55*G$48,IF(B55="electricity",L55*F$48,IF(B55="coal",L55*J$48,IF(B55="Gas",L55*H$48,IF(B55="wood",L55*I$48,L55))))),"")</f>
        <v>5.1436058464979943</v>
      </c>
      <c r="J55" s="458"/>
      <c r="K55" s="458">
        <v>0.87384011690741403</v>
      </c>
      <c r="L55" s="115">
        <f>IFERROR(K55*H55/10^6,0)</f>
        <v>5.1436058464979943</v>
      </c>
    </row>
    <row r="56" spans="1:48" outlineLevel="2">
      <c r="A56" s="70"/>
      <c r="B56" s="270" t="s">
        <v>17</v>
      </c>
      <c r="C56" s="1" t="s">
        <v>244</v>
      </c>
      <c r="D56" s="1" t="s">
        <v>272</v>
      </c>
      <c r="E56" s="1" t="str">
        <f>'Census 2011_17'!B$111</f>
        <v>Low Income</v>
      </c>
      <c r="F56" t="s">
        <v>11</v>
      </c>
      <c r="G56" s="509">
        <v>2.4420000000000002</v>
      </c>
      <c r="H56" s="115">
        <f>SUMIFS('Census 2011_17'!$O$111:$O$238,'Census 2011_17'!$A$111:$A$238,Energy_Balance!F56,'Census 2011_17'!$B$111:$B$238,Energy_Balance!E56,'Census 2011_17'!$C$111:$C$238,Energy_Balance!B56)</f>
        <v>330909.64148083073</v>
      </c>
      <c r="I56" s="458">
        <f>IFERROR(IF(B56="paraffin",L56*G$48,IF(B56="electricity",L56*F$48,IF(B56="coal",L56*J$48,IF(B56="Gas",L56*H$48,IF(B56="wood",L56*I$48,L56))))),"")</f>
        <v>0.36541482196776115</v>
      </c>
      <c r="J56" s="458"/>
      <c r="K56" s="458"/>
      <c r="L56" s="115">
        <f>IFERROR(G56*H56/10^6,0)</f>
        <v>0.80808134449618874</v>
      </c>
    </row>
    <row r="57" spans="1:48" outlineLevel="2">
      <c r="A57" s="70" t="str">
        <f t="shared" si="14"/>
        <v/>
      </c>
      <c r="B57" s="256"/>
      <c r="E57" s="5" t="s">
        <v>465</v>
      </c>
      <c r="F57" s="5" t="s">
        <v>464</v>
      </c>
      <c r="G57" s="510" t="s">
        <v>57</v>
      </c>
      <c r="H57" s="279">
        <f>SUM(H55:H56)</f>
        <v>6217118.9685389679</v>
      </c>
      <c r="I57" s="457"/>
      <c r="J57" s="457"/>
      <c r="K57" s="457"/>
      <c r="L57" s="279"/>
    </row>
    <row r="58" spans="1:48">
      <c r="A58" s="70" t="str">
        <f t="shared" si="14"/>
        <v>*</v>
      </c>
      <c r="B58" s="269" t="s">
        <v>115</v>
      </c>
      <c r="C58" s="68"/>
      <c r="D58" s="68"/>
      <c r="E58" s="1"/>
      <c r="F58" s="68"/>
      <c r="G58" s="509" t="s">
        <v>57</v>
      </c>
      <c r="H58" s="115"/>
      <c r="I58" s="458"/>
      <c r="J58" s="458"/>
      <c r="K58" s="458"/>
      <c r="L58" s="115"/>
    </row>
    <row r="59" spans="1:48" outlineLevel="1">
      <c r="A59" s="70"/>
      <c r="B59" s="270" t="s">
        <v>42</v>
      </c>
      <c r="C59" s="1" t="s">
        <v>242</v>
      </c>
      <c r="D59" s="1" t="s">
        <v>256</v>
      </c>
      <c r="E59" s="1" t="str">
        <f>'Census 2011_17'!B$111</f>
        <v>Low Income</v>
      </c>
      <c r="F59" s="1" t="str">
        <f>'Census 2011_17'!A$111</f>
        <v>Cooking</v>
      </c>
      <c r="G59" s="509"/>
      <c r="H59" s="115">
        <f>H55</f>
        <v>5886209.3270581374</v>
      </c>
      <c r="I59" s="458">
        <f>IFERROR(IF(B59="paraffin",L59*G$48,IF(B59="electricity",L59*F$48,IF(B59="coal",L59*J$48,IF(B59="Gas",L59*H$48,IF(B59="wood",L59*I$48,L59))))),"")</f>
        <v>9.6403111585533967</v>
      </c>
      <c r="J59" s="458"/>
      <c r="K59" s="458">
        <v>1.6377791924996863</v>
      </c>
      <c r="L59" s="115">
        <f>IFERROR(K59*H59/10^6,0)</f>
        <v>9.6403111585533967</v>
      </c>
    </row>
    <row r="60" spans="1:48" outlineLevel="1">
      <c r="A60" s="70" t="str">
        <f t="shared" si="14"/>
        <v/>
      </c>
      <c r="B60" s="270" t="s">
        <v>17</v>
      </c>
      <c r="C60" t="s">
        <v>244</v>
      </c>
      <c r="D60" s="1" t="s">
        <v>256</v>
      </c>
      <c r="E60" s="1" t="str">
        <f>'Census 2011_17'!B$111</f>
        <v>Low Income</v>
      </c>
      <c r="F60" s="1" t="str">
        <f>'Census 2011_17'!A$111</f>
        <v>Cooking</v>
      </c>
      <c r="G60" s="509">
        <v>3.4651260759493665</v>
      </c>
      <c r="H60" s="115">
        <f>SUMIFS('Census 2011_17'!$O$111:$O$238,'Census 2011_17'!$A$111:$A$238,Energy_Balance!F60,'Census 2011_17'!$B$111:$B$238,Energy_Balance!E60,'Census 2011_17'!$C$111:$C$238,Energy_Balance!B60)</f>
        <v>955332.09294816176</v>
      </c>
      <c r="I60" s="458">
        <f>IFERROR(IF(B60="paraffin",L60*G$48,IF(B60="electricity",L60*F$48,IF(B60="coal",L60*J$48,IF(B60="Gas",L60*H$48,IF(B60="wood",L60*I$48,L60))))),"")</f>
        <v>1.4969403216661288</v>
      </c>
      <c r="J60" s="458"/>
      <c r="K60" s="458"/>
      <c r="L60" s="115">
        <f>IFERROR(G60*H60/10^6,0)</f>
        <v>3.3103461464659589</v>
      </c>
    </row>
    <row r="61" spans="1:48" outlineLevel="1">
      <c r="A61" s="70" t="str">
        <f t="shared" si="14"/>
        <v/>
      </c>
      <c r="B61" s="256" t="s">
        <v>43</v>
      </c>
      <c r="C61" t="s">
        <v>243</v>
      </c>
      <c r="D61" s="1" t="s">
        <v>256</v>
      </c>
      <c r="E61" s="1" t="str">
        <f>'Census 2011_17'!B$111</f>
        <v>Low Income</v>
      </c>
      <c r="F61" s="1" t="str">
        <f>'Census 2011_17'!A$111</f>
        <v>Cooking</v>
      </c>
      <c r="G61" s="509">
        <v>2.2049215049504953</v>
      </c>
      <c r="H61" s="115">
        <f>SUMIFS('Census 2011_17'!$O$111:$O$238,'Census 2011_17'!$A$111:$A$238,Energy_Balance!F61,'Census 2011_17'!$B$111:$B$238,Energy_Balance!E61,'Census 2011_17'!$C$111:$C$238,Energy_Balance!B61)</f>
        <v>252083.25552862149</v>
      </c>
      <c r="I61" s="458">
        <f>IFERROR(IF(B61="paraffin",L61*G$48,IF(B61="electricity",L61*F$48,IF(B61="coal",L61*J$48,IF(B61="Gas",L61*H$48,IF(B61="wood",L61*I$48,L61))))),"")</f>
        <v>1.0540082413086083</v>
      </c>
      <c r="J61" s="458"/>
      <c r="K61" s="458"/>
      <c r="L61" s="115">
        <f>IFERROR(G61*H61/10^6,0)</f>
        <v>0.5558237911529883</v>
      </c>
    </row>
    <row r="62" spans="1:48" outlineLevel="1">
      <c r="A62" s="70" t="str">
        <f t="shared" si="14"/>
        <v/>
      </c>
      <c r="B62" s="270" t="s">
        <v>7</v>
      </c>
      <c r="C62" t="s">
        <v>245</v>
      </c>
      <c r="D62" s="1" t="s">
        <v>256</v>
      </c>
      <c r="E62" s="1" t="str">
        <f>'Census 2011_17'!B$111</f>
        <v>Low Income</v>
      </c>
      <c r="F62" s="1" t="str">
        <f>'Census 2011_17'!A$111</f>
        <v>Cooking</v>
      </c>
      <c r="G62" s="509">
        <v>39.726959999999991</v>
      </c>
      <c r="H62" s="115">
        <f>SUMIFS('Census 2011_17'!$O$111:$O$238,'Census 2011_17'!$A$111:$A$238,Energy_Balance!F62,'Census 2011_17'!$B$111:$B$238,Energy_Balance!E62,'Census 2011_17'!$C$111:$C$238,Energy_Balance!B62)</f>
        <v>1372344.095683275</v>
      </c>
      <c r="I62" s="458">
        <f>IFERROR(IF(B62="paraffin",L62*G$48,IF(B62="electricity",L62*F$48,IF(B62="coal",L62*J$48,IF(B62="Gas",L62*H$48,IF(B62="wood",L62*I$48,L62))))),"")</f>
        <v>33.542202919333945</v>
      </c>
      <c r="J62" s="458"/>
      <c r="K62" s="458"/>
      <c r="L62" s="115">
        <f>IFERROR(G62*H62/10^6,0)</f>
        <v>54.519058995445626</v>
      </c>
    </row>
    <row r="63" spans="1:48" outlineLevel="1">
      <c r="A63" s="70" t="str">
        <f t="shared" si="14"/>
        <v/>
      </c>
      <c r="B63" s="256" t="s">
        <v>9</v>
      </c>
      <c r="C63" t="s">
        <v>246</v>
      </c>
      <c r="D63" s="1" t="s">
        <v>256</v>
      </c>
      <c r="E63" s="1" t="str">
        <f>'Census 2011_17'!B$111</f>
        <v>Low Income</v>
      </c>
      <c r="F63" s="1" t="str">
        <f>'Census 2011_17'!A$111</f>
        <v>Cooking</v>
      </c>
      <c r="G63" s="509">
        <v>23.327999999999999</v>
      </c>
      <c r="H63" s="115">
        <f>SUMIFS('Census 2011_17'!$O$111:$O$238,'Census 2011_17'!$A$111:$A$238,Energy_Balance!F63,'Census 2011_17'!$B$111:$B$238,Energy_Balance!E63,'Census 2011_17'!$C$111:$C$238,Energy_Balance!B63)</f>
        <v>40194.30393457281</v>
      </c>
      <c r="I63" s="458">
        <f>IFERROR(IF(B63="paraffin",L63*G$48,IF(B63="electricity",L63*F$48,IF(B63="coal",L63*J$48,IF(B63="Gas",L63*H$48,IF(B63="wood",L63*I$48,L63))))),"")</f>
        <v>2.1940201359108897</v>
      </c>
      <c r="J63" s="458"/>
      <c r="K63" s="458"/>
      <c r="L63" s="115">
        <f>IFERROR(G63*H63/10^6,0)</f>
        <v>0.93765272218571449</v>
      </c>
    </row>
    <row r="64" spans="1:48" outlineLevel="1">
      <c r="A64" s="70" t="str">
        <f t="shared" si="14"/>
        <v/>
      </c>
      <c r="B64" s="270" t="s">
        <v>171</v>
      </c>
      <c r="C64" t="s">
        <v>173</v>
      </c>
      <c r="D64" s="1" t="s">
        <v>256</v>
      </c>
      <c r="E64" s="1" t="str">
        <f>'Census 2011_17'!B$111</f>
        <v>Low Income</v>
      </c>
      <c r="F64" s="1" t="str">
        <f>'Census 2011_17'!A$111</f>
        <v>Cooking</v>
      </c>
      <c r="G64" s="509" t="s">
        <v>57</v>
      </c>
      <c r="H64" s="115"/>
      <c r="I64" s="458"/>
      <c r="J64" s="458"/>
      <c r="K64" s="458"/>
      <c r="L64" s="115"/>
    </row>
    <row r="65" spans="1:30" outlineLevel="1">
      <c r="A65" s="70" t="str">
        <f t="shared" si="14"/>
        <v/>
      </c>
      <c r="B65" s="256"/>
      <c r="E65" s="5" t="s">
        <v>465</v>
      </c>
      <c r="F65" s="5" t="s">
        <v>460</v>
      </c>
      <c r="G65" s="510">
        <v>9.3661080950465532E-6</v>
      </c>
      <c r="H65" s="511">
        <f>SUM(H59:H64)</f>
        <v>8506163.0751527678</v>
      </c>
      <c r="I65" s="457"/>
      <c r="J65" s="457"/>
      <c r="K65" s="457"/>
      <c r="L65" s="511"/>
    </row>
    <row r="66" spans="1:30">
      <c r="A66" s="70" t="str">
        <f t="shared" si="14"/>
        <v>*</v>
      </c>
      <c r="B66" s="269" t="s">
        <v>116</v>
      </c>
      <c r="C66" s="68"/>
      <c r="D66" s="68"/>
      <c r="E66" s="1"/>
      <c r="F66" s="68"/>
      <c r="G66" s="509" t="s">
        <v>57</v>
      </c>
      <c r="H66" s="115"/>
      <c r="I66" s="458"/>
      <c r="J66" s="458"/>
      <c r="K66" s="458"/>
      <c r="L66" s="115"/>
    </row>
    <row r="67" spans="1:30" outlineLevel="1">
      <c r="A67" s="70" t="str">
        <f t="shared" si="14"/>
        <v/>
      </c>
      <c r="B67" s="270" t="s">
        <v>42</v>
      </c>
      <c r="C67" s="1" t="s">
        <v>242</v>
      </c>
      <c r="D67" s="1" t="s">
        <v>257</v>
      </c>
      <c r="E67" s="1" t="str">
        <f>'Census 2011_17'!B$111</f>
        <v>Low Income</v>
      </c>
      <c r="F67" s="1" t="str">
        <f>'Census 2011_17'!A$142</f>
        <v>Space heating</v>
      </c>
      <c r="G67" s="509"/>
      <c r="H67" s="115">
        <f>SUMIFS('Census 2011_17'!$O$111:$O$238,'Census 2011_17'!$A$111:$A$238,Energy_Balance!F67,'Census 2011_17'!$B$111:$B$238,Energy_Balance!E67,'Census 2011_17'!$C$111:$C$238,Energy_Balance!B67)</f>
        <v>4291349.1386891333</v>
      </c>
      <c r="I67" s="458">
        <f t="shared" ref="I67:I72" si="15">IFERROR(IF(B67="paraffin",L67*G$48,IF(B67="electricity",L67*F$48,IF(B67="coal",L67*J$48,IF(B67="Gas",L67*H$48,IF(B67="wood",L67*I$48,L67))))),"")</f>
        <v>0.97440877504504075</v>
      </c>
      <c r="J67" s="458"/>
      <c r="K67" s="458">
        <v>0.22706350463544217</v>
      </c>
      <c r="L67" s="115">
        <f>IFERROR(K67*H67/10^6,0)</f>
        <v>0.97440877504504075</v>
      </c>
    </row>
    <row r="68" spans="1:30" outlineLevel="1">
      <c r="A68" s="70" t="str">
        <f t="shared" si="14"/>
        <v/>
      </c>
      <c r="B68" s="270" t="s">
        <v>17</v>
      </c>
      <c r="C68" s="1" t="s">
        <v>244</v>
      </c>
      <c r="D68" s="1" t="s">
        <v>257</v>
      </c>
      <c r="E68" s="1" t="str">
        <f>'Census 2011_17'!B$111</f>
        <v>Low Income</v>
      </c>
      <c r="F68" s="1" t="str">
        <f>'Census 2011_17'!A$142</f>
        <v>Space heating</v>
      </c>
      <c r="G68" s="509">
        <v>1.1100000000000001</v>
      </c>
      <c r="H68" s="115">
        <f>SUMIFS('Census 2011_17'!$O$111:$O$238,'Census 2011_17'!$A$111:$A$238,Energy_Balance!F68,'Census 2011_17'!$B$111:$B$238,Energy_Balance!E68,'Census 2011_17'!$C$111:$C$238,Energy_Balance!B68)</f>
        <v>647712.94436239137</v>
      </c>
      <c r="I68" s="458">
        <f t="shared" si="15"/>
        <v>0.32511472040198852</v>
      </c>
      <c r="J68" s="458"/>
      <c r="K68" s="458"/>
      <c r="L68" s="115">
        <f>IFERROR(G68*H68/10^6,0)</f>
        <v>0.71896136824225443</v>
      </c>
    </row>
    <row r="69" spans="1:30" outlineLevel="1">
      <c r="A69" s="70" t="str">
        <f t="shared" si="14"/>
        <v/>
      </c>
      <c r="B69" s="256" t="s">
        <v>43</v>
      </c>
      <c r="C69" s="1" t="s">
        <v>243</v>
      </c>
      <c r="D69" s="1" t="s">
        <v>257</v>
      </c>
      <c r="E69" s="1" t="str">
        <f>'Census 2011_17'!B$111</f>
        <v>Low Income</v>
      </c>
      <c r="F69" s="1" t="str">
        <f>'Census 2011_17'!A$142</f>
        <v>Space heating</v>
      </c>
      <c r="G69" s="509">
        <v>0.69</v>
      </c>
      <c r="H69" s="115">
        <f>SUMIFS('Census 2011_17'!$O$111:$O$238,'Census 2011_17'!$A$111:$A$238,Energy_Balance!F69,'Census 2011_17'!$B$111:$B$238,Energy_Balance!E69,'Census 2011_17'!$C$111:$C$238,Energy_Balance!B69)</f>
        <v>62818.775225126206</v>
      </c>
      <c r="I69" s="458">
        <f t="shared" si="15"/>
        <v>8.2195005713241232E-2</v>
      </c>
      <c r="J69" s="458"/>
      <c r="K69" s="458"/>
      <c r="L69" s="115">
        <f>IFERROR(G69*H69/10^6,0)</f>
        <v>4.3344954905337081E-2</v>
      </c>
    </row>
    <row r="70" spans="1:30" outlineLevel="1">
      <c r="A70" s="70" t="str">
        <f t="shared" si="14"/>
        <v/>
      </c>
      <c r="B70" s="270" t="s">
        <v>7</v>
      </c>
      <c r="C70" s="1" t="s">
        <v>245</v>
      </c>
      <c r="D70" s="1" t="s">
        <v>257</v>
      </c>
      <c r="E70" s="1" t="str">
        <f>'Census 2011_17'!B$111</f>
        <v>Low Income</v>
      </c>
      <c r="F70" s="1" t="str">
        <f>'Census 2011_17'!A$142</f>
        <v>Space heating</v>
      </c>
      <c r="G70" s="509">
        <v>13.242320000000001</v>
      </c>
      <c r="H70" s="115">
        <f>SUMIFS('Census 2011_17'!$O$111:$O$238,'Census 2011_17'!$A$111:$A$238,Energy_Balance!F70,'Census 2011_17'!$B$111:$B$238,Energy_Balance!E70,'Census 2011_17'!$C$111:$C$238,Energy_Balance!B70)</f>
        <v>1250150.8461852802</v>
      </c>
      <c r="I70" s="458">
        <f t="shared" si="15"/>
        <v>10.185203913611241</v>
      </c>
      <c r="J70" s="458"/>
      <c r="K70" s="458"/>
      <c r="L70" s="115">
        <f>IFERROR(G70*H70/10^6,0)</f>
        <v>16.554897553456261</v>
      </c>
    </row>
    <row r="71" spans="1:30" outlineLevel="1">
      <c r="A71" s="70" t="str">
        <f t="shared" si="14"/>
        <v/>
      </c>
      <c r="B71" s="256" t="s">
        <v>9</v>
      </c>
      <c r="C71" s="1" t="s">
        <v>246</v>
      </c>
      <c r="D71" s="1" t="s">
        <v>257</v>
      </c>
      <c r="E71" s="1" t="str">
        <f>'Census 2011_17'!B$111</f>
        <v>Low Income</v>
      </c>
      <c r="F71" s="1" t="str">
        <f>'Census 2011_17'!A$142</f>
        <v>Space heating</v>
      </c>
      <c r="G71" s="509">
        <v>14.58</v>
      </c>
      <c r="H71" s="115">
        <f>SUMIFS('Census 2011_17'!$O$111:$O$238,'Census 2011_17'!$A$111:$A$238,Energy_Balance!F71,'Census 2011_17'!$B$111:$B$238,Energy_Balance!E71,'Census 2011_17'!$C$111:$C$238,Energy_Balance!B71)</f>
        <v>104957.6396032787</v>
      </c>
      <c r="I71" s="458">
        <f t="shared" si="15"/>
        <v>3.5807184128955476</v>
      </c>
      <c r="J71" s="458"/>
      <c r="K71" s="458"/>
      <c r="L71" s="115">
        <f>IFERROR(G71*H71/10^6,0)</f>
        <v>1.5302823854158034</v>
      </c>
    </row>
    <row r="72" spans="1:30" outlineLevel="1">
      <c r="A72" s="70" t="str">
        <f t="shared" si="14"/>
        <v/>
      </c>
      <c r="B72" s="270" t="s">
        <v>171</v>
      </c>
      <c r="C72" s="1" t="s">
        <v>173</v>
      </c>
      <c r="D72" s="1" t="s">
        <v>257</v>
      </c>
      <c r="E72" s="1" t="str">
        <f>'Census 2011_17'!B$111</f>
        <v>Low Income</v>
      </c>
      <c r="F72" s="1" t="str">
        <f>'Census 2011_17'!A$142</f>
        <v>Space heating</v>
      </c>
      <c r="G72" s="509" t="s">
        <v>57</v>
      </c>
      <c r="H72" s="115">
        <f>SUMIFS('Census 2011_17'!$O$111:$O$238,'Census 2011_17'!$A$111:$A$238,Energy_Balance!F72,'Census 2011_17'!$B$111:$B$238,Energy_Balance!E72,'Census 2011_17'!$C$111:$C$238,Energy_Balance!B72)</f>
        <v>0</v>
      </c>
      <c r="I72" s="458">
        <f t="shared" si="15"/>
        <v>0</v>
      </c>
      <c r="J72" s="458"/>
      <c r="K72" s="458"/>
      <c r="L72" s="115">
        <f>IFERROR(G72*H72/10^6,0)</f>
        <v>0</v>
      </c>
      <c r="AD72" s="2"/>
    </row>
    <row r="73" spans="1:30" outlineLevel="1">
      <c r="A73" s="70" t="str">
        <f t="shared" si="14"/>
        <v/>
      </c>
      <c r="B73" s="256"/>
      <c r="E73" s="5" t="s">
        <v>465</v>
      </c>
      <c r="F73" s="5" t="s">
        <v>461</v>
      </c>
      <c r="G73" s="510" t="s">
        <v>57</v>
      </c>
      <c r="H73" s="279"/>
      <c r="I73" s="457"/>
      <c r="J73" s="457"/>
      <c r="K73" s="457"/>
      <c r="L73" s="279"/>
    </row>
    <row r="74" spans="1:30">
      <c r="A74" s="70" t="str">
        <f t="shared" si="14"/>
        <v>*</v>
      </c>
      <c r="B74" s="271" t="s">
        <v>117</v>
      </c>
      <c r="C74" s="69"/>
      <c r="D74" s="69"/>
      <c r="E74" s="1"/>
      <c r="F74" s="69"/>
      <c r="G74" s="509" t="s">
        <v>57</v>
      </c>
      <c r="H74" s="115"/>
      <c r="I74" s="458"/>
      <c r="J74" s="458"/>
      <c r="K74" s="458"/>
      <c r="L74" s="115"/>
    </row>
    <row r="75" spans="1:30" outlineLevel="1">
      <c r="A75" s="70" t="str">
        <f t="shared" si="14"/>
        <v/>
      </c>
      <c r="B75" s="270" t="s">
        <v>42</v>
      </c>
      <c r="C75" s="1" t="s">
        <v>242</v>
      </c>
      <c r="D75" t="s">
        <v>258</v>
      </c>
      <c r="E75" s="1" t="str">
        <f>'Census 2011_17'!B$111</f>
        <v>Low Income</v>
      </c>
      <c r="F75" t="s">
        <v>14</v>
      </c>
      <c r="G75" s="509"/>
      <c r="H75" s="115">
        <v>0</v>
      </c>
      <c r="I75" s="458">
        <f t="shared" ref="I75:I80" si="16">IFERROR(IF(B75="paraffin",L75*G$48,IF(B75="electricity",L75*F$48,IF(B75="coal",L75*J$48,IF(B75="Gas",L75*H$48,IF(B75="wood",L75*I$48,L75))))),"")</f>
        <v>0</v>
      </c>
      <c r="J75" s="458"/>
      <c r="K75" s="458">
        <v>0</v>
      </c>
      <c r="L75" s="115">
        <f>IFERROR(G75*H75/10^6,0)</f>
        <v>0</v>
      </c>
    </row>
    <row r="76" spans="1:30" outlineLevel="1">
      <c r="A76" s="70"/>
      <c r="B76" s="270" t="s">
        <v>42</v>
      </c>
      <c r="C76" s="1" t="s">
        <v>242</v>
      </c>
      <c r="D76" t="s">
        <v>258</v>
      </c>
      <c r="E76" s="1" t="str">
        <f>'Census 2011_17'!B$111</f>
        <v>Low Income</v>
      </c>
      <c r="F76" t="s">
        <v>14</v>
      </c>
      <c r="G76" s="509">
        <v>0.88502825012617625</v>
      </c>
      <c r="H76" s="115">
        <f>H59</f>
        <v>5886209.3270581374</v>
      </c>
      <c r="I76" s="458">
        <f t="shared" si="16"/>
        <v>2.1694806583192268</v>
      </c>
      <c r="J76" s="458"/>
      <c r="K76" s="458">
        <v>0.36857008267551866</v>
      </c>
      <c r="L76" s="115">
        <f>IFERROR(K76*H76/10^6,0)</f>
        <v>2.1694806583192268</v>
      </c>
    </row>
    <row r="77" spans="1:30" outlineLevel="1">
      <c r="A77" s="70" t="str">
        <f t="shared" si="14"/>
        <v/>
      </c>
      <c r="B77" s="270" t="s">
        <v>17</v>
      </c>
      <c r="C77" s="1" t="s">
        <v>244</v>
      </c>
      <c r="D77" s="1" t="s">
        <v>258</v>
      </c>
      <c r="E77" s="1" t="str">
        <f>'Census 2011_17'!B$111</f>
        <v>Low Income</v>
      </c>
      <c r="F77" t="s">
        <v>14</v>
      </c>
      <c r="G77" s="509">
        <v>7.6434257965442498</v>
      </c>
      <c r="H77" s="115">
        <f>SUMIFS('Census 2011_17'!$O$111:$O$238,'Census 2011_17'!$A$111:$A$238,Energy_Balance!F77,'Census 2011_17'!$B$111:$B$238,Energy_Balance!E77,'Census 2011_17'!$C$111:$C$238,Energy_Balance!B77)</f>
        <v>820853.99802213954</v>
      </c>
      <c r="I77" s="458">
        <f t="shared" si="16"/>
        <v>2.8371679818600861</v>
      </c>
      <c r="J77" s="458"/>
      <c r="K77" s="458"/>
      <c r="L77" s="115">
        <f>IFERROR(G77*H77/10^6,0)</f>
        <v>6.2741366236789045</v>
      </c>
    </row>
    <row r="78" spans="1:30" outlineLevel="1">
      <c r="A78" s="70" t="str">
        <f t="shared" si="14"/>
        <v/>
      </c>
      <c r="B78" s="256" t="s">
        <v>43</v>
      </c>
      <c r="C78" s="1" t="s">
        <v>243</v>
      </c>
      <c r="D78" s="1" t="s">
        <v>258</v>
      </c>
      <c r="E78" s="1" t="str">
        <f>'Census 2011_17'!B$111</f>
        <v>Low Income</v>
      </c>
      <c r="F78" t="s">
        <v>14</v>
      </c>
      <c r="G78" s="509">
        <v>1.3874205241251938</v>
      </c>
      <c r="H78" s="115">
        <f>SUMIFS('Census 2011_17'!$O$111:$O$238,'Census 2011_17'!$A$111:$A$238,Energy_Balance!F78,'Census 2011_17'!$B$111:$B$238,Energy_Balance!E78,'Census 2011_17'!$C$111:$C$238,Energy_Balance!B78)</f>
        <v>222053.8309117771</v>
      </c>
      <c r="I78" s="458">
        <f t="shared" si="16"/>
        <v>0.58421574773989327</v>
      </c>
      <c r="J78" s="458"/>
      <c r="K78" s="458"/>
      <c r="L78" s="115">
        <f>IFERROR(G78*H78/10^6,0)</f>
        <v>0.30808204246762494</v>
      </c>
    </row>
    <row r="79" spans="1:30" outlineLevel="1">
      <c r="A79" s="70" t="str">
        <f t="shared" si="14"/>
        <v/>
      </c>
      <c r="B79" s="270" t="s">
        <v>7</v>
      </c>
      <c r="C79" s="1" t="s">
        <v>245</v>
      </c>
      <c r="D79" s="1" t="s">
        <v>258</v>
      </c>
      <c r="E79" s="1" t="str">
        <f>'Census 2011_17'!B$111</f>
        <v>Low Income</v>
      </c>
      <c r="F79" t="s">
        <v>14</v>
      </c>
      <c r="G79" s="509">
        <v>11.361849157025235</v>
      </c>
      <c r="H79" s="115">
        <f>SUMIFS('Census 2011_17'!$O$111:$O$238,'Census 2011_17'!$A$111:$A$238,Energy_Balance!F79,'Census 2011_17'!$B$111:$B$238,Energy_Balance!E79,'Census 2011_17'!$C$111:$C$238,Energy_Balance!B79)</f>
        <v>1343358.7342037922</v>
      </c>
      <c r="I79" s="458">
        <f t="shared" si="16"/>
        <v>9.3904034820075051</v>
      </c>
      <c r="J79" s="458"/>
      <c r="K79" s="458"/>
      <c r="L79" s="115">
        <f>IFERROR(G79*H79/10^6,0)</f>
        <v>15.263039301795843</v>
      </c>
    </row>
    <row r="80" spans="1:30" outlineLevel="1">
      <c r="A80" s="70" t="str">
        <f t="shared" si="14"/>
        <v/>
      </c>
      <c r="B80" s="256" t="s">
        <v>9</v>
      </c>
      <c r="C80" s="1" t="s">
        <v>246</v>
      </c>
      <c r="D80" s="1" t="s">
        <v>258</v>
      </c>
      <c r="E80" s="1" t="str">
        <f>'Census 2011_17'!B$111</f>
        <v>Low Income</v>
      </c>
      <c r="F80" t="s">
        <v>14</v>
      </c>
      <c r="G80" s="509">
        <v>5.8319999999999999</v>
      </c>
      <c r="H80" s="115">
        <f>SUMIFS('Census 2011_17'!$O$111:$O$238,'Census 2011_17'!$A$111:$A$238,Energy_Balance!F80,'Census 2011_17'!$B$111:$B$238,Energy_Balance!E80,'Census 2011_17'!$C$111:$C$238,Energy_Balance!B80)</f>
        <v>40645.77102283053</v>
      </c>
      <c r="I80" s="458">
        <f t="shared" si="16"/>
        <v>0.55466590619951062</v>
      </c>
      <c r="J80" s="458"/>
      <c r="K80" s="458"/>
      <c r="L80" s="115">
        <f>IFERROR(G80*H80/10^6,0)</f>
        <v>0.23704613660514764</v>
      </c>
    </row>
    <row r="81" spans="1:33" outlineLevel="1">
      <c r="A81" s="70" t="str">
        <f t="shared" si="14"/>
        <v/>
      </c>
      <c r="B81" s="270" t="s">
        <v>171</v>
      </c>
      <c r="C81" s="1" t="s">
        <v>173</v>
      </c>
      <c r="D81" s="1" t="s">
        <v>258</v>
      </c>
      <c r="E81" s="1" t="str">
        <f>'Census 2011_17'!B$111</f>
        <v>Low Income</v>
      </c>
      <c r="F81" t="s">
        <v>14</v>
      </c>
      <c r="G81" s="509" t="s">
        <v>57</v>
      </c>
      <c r="H81" s="115">
        <f>SUMIFS('Census 2011_17'!$O$111:$O$238,'Census 2011_17'!$A$111:$A$238,Energy_Balance!F81,'Census 2011_17'!$B$111:$B$238,Energy_Balance!E81,'Census 2011_17'!$C$111:$C$238,Energy_Balance!B81)</f>
        <v>0</v>
      </c>
      <c r="I81" s="458"/>
      <c r="J81" s="458"/>
      <c r="K81" s="458"/>
      <c r="L81" s="115">
        <f>IFERROR(G81*H81/10^6,0)</f>
        <v>0</v>
      </c>
    </row>
    <row r="82" spans="1:33" outlineLevel="1">
      <c r="A82" s="70" t="str">
        <f t="shared" si="14"/>
        <v/>
      </c>
      <c r="B82" s="256"/>
      <c r="E82" s="5" t="s">
        <v>465</v>
      </c>
      <c r="F82" s="5" t="s">
        <v>462</v>
      </c>
      <c r="G82" s="510" t="s">
        <v>57</v>
      </c>
      <c r="H82" s="279">
        <f>SUM(H75:H81)</f>
        <v>8313121.6612186767</v>
      </c>
      <c r="I82" s="457"/>
      <c r="J82" s="457"/>
      <c r="K82" s="457"/>
      <c r="L82" s="279"/>
    </row>
    <row r="83" spans="1:33">
      <c r="A83" s="70" t="str">
        <f t="shared" si="14"/>
        <v>*</v>
      </c>
      <c r="B83" s="271" t="s">
        <v>118</v>
      </c>
      <c r="C83" s="69"/>
      <c r="G83" s="509" t="s">
        <v>57</v>
      </c>
      <c r="H83" s="115"/>
      <c r="I83" s="458"/>
      <c r="J83" s="458"/>
      <c r="K83" s="458"/>
      <c r="L83" s="115"/>
    </row>
    <row r="84" spans="1:33" outlineLevel="1">
      <c r="A84" s="70" t="str">
        <f t="shared" si="14"/>
        <v/>
      </c>
      <c r="B84" s="270" t="s">
        <v>42</v>
      </c>
      <c r="C84" s="1" t="s">
        <v>242</v>
      </c>
      <c r="D84" s="1" t="s">
        <v>259</v>
      </c>
      <c r="E84" s="1" t="str">
        <f>'Census 2011_17'!B$111</f>
        <v>Low Income</v>
      </c>
      <c r="F84" t="s">
        <v>15</v>
      </c>
      <c r="G84" s="509"/>
      <c r="H84" s="115">
        <f>'Census 2011_17'!H6</f>
        <v>5886209.3270581374</v>
      </c>
      <c r="I84" s="458">
        <f>IFERROR(IF(B84="paraffin",L84*G$48,IF(B84="electricity",L84*F$48,IF(B84="coal",L84*J$48,IF(B84="Gas",L84*H$48,IF(B84="wood",L84*I$48,L84))))),"")</f>
        <v>10.747437092047381</v>
      </c>
      <c r="J84" s="458"/>
      <c r="K84" s="458">
        <v>1.8258672933432407</v>
      </c>
      <c r="L84" s="115">
        <f>IFERROR(K84*H84/10^6,0)</f>
        <v>10.747437092047381</v>
      </c>
      <c r="AG84" t="s">
        <v>57</v>
      </c>
    </row>
    <row r="85" spans="1:33" outlineLevel="1">
      <c r="A85" s="70"/>
      <c r="B85" s="270"/>
      <c r="C85" s="1"/>
      <c r="D85" s="1"/>
      <c r="E85" s="1"/>
      <c r="G85" s="509"/>
      <c r="H85" s="115"/>
      <c r="I85" s="458"/>
      <c r="J85" s="458"/>
      <c r="K85" s="458"/>
      <c r="L85" s="115"/>
    </row>
    <row r="86" spans="1:33" outlineLevel="1">
      <c r="A86" s="70" t="str">
        <f t="shared" si="14"/>
        <v/>
      </c>
      <c r="B86" s="256"/>
      <c r="E86" s="1" t="str">
        <f>'Census 2011_17'!B$111</f>
        <v>Low Income</v>
      </c>
      <c r="G86" s="509" t="s">
        <v>57</v>
      </c>
      <c r="H86" s="115"/>
      <c r="I86" s="458"/>
      <c r="J86" s="458"/>
      <c r="K86" s="458"/>
      <c r="L86" s="115"/>
    </row>
    <row r="87" spans="1:33">
      <c r="A87" s="70" t="str">
        <f t="shared" si="14"/>
        <v>*</v>
      </c>
      <c r="B87" s="271" t="s">
        <v>119</v>
      </c>
      <c r="C87" s="69"/>
      <c r="D87" s="69"/>
      <c r="E87" s="1" t="str">
        <f>'Census 2011_17'!B$111</f>
        <v>Low Income</v>
      </c>
      <c r="F87" s="69"/>
      <c r="G87" s="509" t="s">
        <v>57</v>
      </c>
      <c r="H87" s="115"/>
      <c r="I87" s="458"/>
      <c r="J87" s="458"/>
      <c r="K87" s="458"/>
      <c r="L87" s="115"/>
    </row>
    <row r="88" spans="1:33" outlineLevel="1">
      <c r="A88" s="70" t="str">
        <f t="shared" si="14"/>
        <v/>
      </c>
      <c r="B88" s="270" t="s">
        <v>42</v>
      </c>
      <c r="C88" s="1" t="s">
        <v>242</v>
      </c>
      <c r="D88" s="1" t="s">
        <v>260</v>
      </c>
      <c r="E88" s="1" t="str">
        <f>'Census 2011_17'!B$111</f>
        <v>Low Income</v>
      </c>
      <c r="F88" t="s">
        <v>41</v>
      </c>
      <c r="G88" s="509">
        <v>0.58087621647837218</v>
      </c>
      <c r="H88" s="115">
        <f>'Census 2011_17'!H6</f>
        <v>5886209.3270581374</v>
      </c>
      <c r="I88" s="458">
        <f>IFERROR(IF(B88="paraffin",L88*G$48,IF(B88="electricity",L88*F$48,IF(B88="coal",L88*J$48,IF(B88="Gas",L88*H$48,IF(B88="wood",L88*I$48,L88))))),"")</f>
        <v>7.3078727327855058</v>
      </c>
      <c r="J88" s="458"/>
      <c r="K88" s="458">
        <v>1.2415244390294051</v>
      </c>
      <c r="L88" s="115">
        <f>IFERROR(K88*H88/10^6,0)</f>
        <v>7.3078727327855058</v>
      </c>
      <c r="AD88" s="1"/>
    </row>
    <row r="89" spans="1:33" outlineLevel="1">
      <c r="A89" s="70" t="str">
        <f t="shared" ref="A89:A122" si="17">IF(LEFT(B89,1)="\","*","")</f>
        <v/>
      </c>
      <c r="B89" s="270" t="s">
        <v>17</v>
      </c>
      <c r="C89" s="1" t="s">
        <v>244</v>
      </c>
      <c r="D89" s="1" t="s">
        <v>300</v>
      </c>
      <c r="E89" s="1" t="str">
        <f>'Census 2011_17'!B$111</f>
        <v>Low Income</v>
      </c>
      <c r="F89" t="s">
        <v>41</v>
      </c>
      <c r="G89" s="509"/>
      <c r="H89" s="115"/>
      <c r="I89" s="458"/>
      <c r="J89" s="458"/>
      <c r="K89" s="458"/>
      <c r="L89" s="115"/>
    </row>
    <row r="90" spans="1:33" outlineLevel="1">
      <c r="A90" s="70" t="str">
        <f t="shared" si="17"/>
        <v/>
      </c>
      <c r="E90" s="5" t="s">
        <v>465</v>
      </c>
      <c r="F90" s="5" t="s">
        <v>463</v>
      </c>
      <c r="G90" s="510" t="s">
        <v>57</v>
      </c>
      <c r="H90" s="279"/>
      <c r="I90" s="457"/>
      <c r="J90" s="457"/>
      <c r="K90" s="457"/>
      <c r="L90" s="279"/>
    </row>
    <row r="91" spans="1:33">
      <c r="A91" s="70" t="str">
        <f t="shared" si="17"/>
        <v>*</v>
      </c>
      <c r="B91" s="69" t="s">
        <v>453</v>
      </c>
      <c r="C91" s="69"/>
      <c r="D91" s="69"/>
      <c r="E91" s="69"/>
      <c r="F91" s="69"/>
      <c r="G91" s="510" t="s">
        <v>57</v>
      </c>
      <c r="H91" s="279"/>
      <c r="I91" s="457"/>
      <c r="J91" s="457"/>
      <c r="K91" s="457"/>
      <c r="L91" s="279"/>
    </row>
    <row r="92" spans="1:33" outlineLevel="1">
      <c r="A92" s="70" t="str">
        <f t="shared" si="17"/>
        <v/>
      </c>
      <c r="B92" s="1" t="s">
        <v>42</v>
      </c>
      <c r="C92" s="1" t="s">
        <v>242</v>
      </c>
      <c r="D92" s="1" t="s">
        <v>261</v>
      </c>
      <c r="E92" s="1" t="str">
        <f>'Census 2011_17'!B$121</f>
        <v>Middle Income</v>
      </c>
      <c r="F92" t="s">
        <v>11</v>
      </c>
      <c r="G92" s="509">
        <v>2.1509514043776004</v>
      </c>
      <c r="H92" s="115">
        <f>'Census 2011_17'!H7</f>
        <v>4869498.7466859436</v>
      </c>
      <c r="I92" s="458">
        <f>IFERROR(IF(B92="paraffin",L92*G$48,IF(B92="electricity",L92*F$48,IF(B92="coal",L92*J$48,IF(B92="Gas",L92*H$48,IF(B92="wood",L92*I$48,L92))))),"")</f>
        <v>5.2898644663697052</v>
      </c>
      <c r="J92" s="458"/>
      <c r="K92" s="458">
        <v>1.0863262815232988</v>
      </c>
      <c r="L92" s="115">
        <f>IFERROR(K92*H92/10^6,0)</f>
        <v>5.2898644663697052</v>
      </c>
    </row>
    <row r="93" spans="1:33" outlineLevel="1">
      <c r="A93" s="70"/>
      <c r="B93" s="1" t="s">
        <v>17</v>
      </c>
      <c r="C93" s="1" t="s">
        <v>244</v>
      </c>
      <c r="D93" s="1" t="s">
        <v>284</v>
      </c>
      <c r="E93" s="1" t="str">
        <f>'Census 2011_17'!B$121</f>
        <v>Middle Income</v>
      </c>
      <c r="F93" t="s">
        <v>11</v>
      </c>
      <c r="G93" s="509">
        <v>3.1080000000000001</v>
      </c>
      <c r="H93" s="115">
        <f>SUMIFS('Census 2011_17'!$O$111:$O$238,'Census 2011_17'!$A$111:$A$238,Energy_Balance!F93,'Census 2011_17'!$B$111:$B$238,Energy_Balance!E93,'Census 2011_17'!$C$111:$C$238,Energy_Balance!B93)</f>
        <v>508610.99261242774</v>
      </c>
      <c r="I93" s="458">
        <f>IFERROR(IF(B93="paraffin",L93*G$48,IF(B93="electricity",L93*F$48,IF(B93="coal",L93*J$48,IF(B93="Gas",L93*H$48,IF(B93="wood",L93*I$48,L93))))),"")</f>
        <v>0.71482186957706251</v>
      </c>
      <c r="J93" s="458"/>
      <c r="K93" s="458"/>
      <c r="L93" s="115">
        <f>IFERROR(G93*H93/10^6,0)</f>
        <v>1.5807629650394255</v>
      </c>
    </row>
    <row r="94" spans="1:33" outlineLevel="1">
      <c r="A94" s="70" t="str">
        <f t="shared" si="17"/>
        <v/>
      </c>
      <c r="E94" s="5" t="s">
        <v>437</v>
      </c>
      <c r="F94" s="5" t="s">
        <v>464</v>
      </c>
      <c r="G94" s="510" t="s">
        <v>57</v>
      </c>
      <c r="H94" s="279">
        <f>H92</f>
        <v>4869498.7466859436</v>
      </c>
      <c r="I94" s="457"/>
      <c r="J94" s="457"/>
      <c r="K94" s="457"/>
      <c r="L94" s="279"/>
    </row>
    <row r="95" spans="1:33">
      <c r="A95" s="70" t="str">
        <f t="shared" si="17"/>
        <v>*</v>
      </c>
      <c r="B95" s="69" t="s">
        <v>452</v>
      </c>
      <c r="C95" s="69"/>
      <c r="D95" s="69"/>
      <c r="E95" s="1"/>
      <c r="F95" s="69"/>
      <c r="G95" s="509" t="s">
        <v>57</v>
      </c>
      <c r="H95" s="115"/>
      <c r="I95" s="458"/>
      <c r="J95" s="458"/>
      <c r="K95" s="458"/>
      <c r="L95" s="115"/>
    </row>
    <row r="96" spans="1:33" outlineLevel="1">
      <c r="A96" s="70" t="str">
        <f t="shared" si="17"/>
        <v/>
      </c>
      <c r="B96" t="s">
        <v>42</v>
      </c>
      <c r="C96" s="1" t="s">
        <v>242</v>
      </c>
      <c r="D96" s="1" t="s">
        <v>262</v>
      </c>
      <c r="E96" s="1" t="str">
        <f>'Census 2011_17'!B$121</f>
        <v>Middle Income</v>
      </c>
      <c r="F96" s="1" t="str">
        <f>'Census 2011_17'!A$111</f>
        <v>Cooking</v>
      </c>
      <c r="G96" s="509"/>
      <c r="H96" s="115">
        <f>H92</f>
        <v>4869498.7466859436</v>
      </c>
      <c r="I96" s="458">
        <f>IFERROR(IF(B96="paraffin",L96*G$48,IF(B96="electricity",L96*F$48,IF(B96="coal",L96*J$48,IF(B96="Gas",L96*H$48,IF(B96="wood",L96*I$48,L96))))),"")</f>
        <v>8.6817696373932929</v>
      </c>
      <c r="J96" s="458"/>
      <c r="K96" s="458">
        <v>1.7828877445141316</v>
      </c>
      <c r="L96" s="115">
        <f>IFERROR(K96*H96/10^6,0)</f>
        <v>8.6817696373932929</v>
      </c>
    </row>
    <row r="97" spans="1:23" outlineLevel="1">
      <c r="A97" s="70" t="str">
        <f t="shared" si="17"/>
        <v/>
      </c>
      <c r="B97" t="s">
        <v>17</v>
      </c>
      <c r="C97" s="1" t="s">
        <v>244</v>
      </c>
      <c r="D97" s="1" t="s">
        <v>262</v>
      </c>
      <c r="E97" s="1" t="str">
        <f>'Census 2011_17'!B$121</f>
        <v>Middle Income</v>
      </c>
      <c r="F97" s="1" t="str">
        <f>'Census 2011_17'!A$111</f>
        <v>Cooking</v>
      </c>
      <c r="G97" s="509">
        <v>1.0618559999999999</v>
      </c>
      <c r="H97" s="115">
        <f>SUMIFS('Census 2011_17'!$O$111:$O$238,'Census 2011_17'!$A$111:$A$238,Energy_Balance!F97,'Census 2011_17'!$B$111:$B$238,Energy_Balance!E97,'Census 2011_17'!$C$111:$C$238,Energy_Balance!B97)</f>
        <v>429334.07571922371</v>
      </c>
      <c r="I97" s="458">
        <f>IFERROR(IF(B97="paraffin",L97*G$48,IF(B97="electricity",L97*F$48,IF(B97="coal",L97*J$48,IF(B97="Gas",L97*H$48,IF(B97="wood",L97*I$48,L97))))),"")</f>
        <v>0.20615414115615299</v>
      </c>
      <c r="J97" s="458"/>
      <c r="K97" s="458"/>
      <c r="L97" s="115">
        <f>IFERROR(G97*H97/10^6,0)</f>
        <v>0.45589096430691195</v>
      </c>
    </row>
    <row r="98" spans="1:23" outlineLevel="1">
      <c r="A98" s="70" t="str">
        <f t="shared" si="17"/>
        <v/>
      </c>
      <c r="B98" t="s">
        <v>43</v>
      </c>
      <c r="C98" s="1" t="s">
        <v>243</v>
      </c>
      <c r="D98" s="1" t="s">
        <v>262</v>
      </c>
      <c r="E98" s="1" t="str">
        <f>'Census 2011_17'!B$121</f>
        <v>Middle Income</v>
      </c>
      <c r="F98" s="1" t="str">
        <f>'Census 2011_17'!A$111</f>
        <v>Cooking</v>
      </c>
      <c r="G98" s="509">
        <v>1.480896</v>
      </c>
      <c r="H98" s="115">
        <f>SUMIFS('Census 2011_17'!$O$111:$O$238,'Census 2011_17'!$A$111:$A$238,Energy_Balance!F98,'Census 2011_17'!$B$111:$B$238,Energy_Balance!E98,'Census 2011_17'!$C$111:$C$238,Energy_Balance!B98)</f>
        <v>205441.89434393408</v>
      </c>
      <c r="I98" s="458">
        <f>IFERROR(IF(B98="paraffin",L98*G$48,IF(B98="electricity",L98*F$48,IF(B98="coal",L98*J$48,IF(B98="Gas",L98*H$48,IF(B98="wood",L98*I$48,L98))))),"")</f>
        <v>0.57692644375234903</v>
      </c>
      <c r="J98" s="458"/>
      <c r="K98" s="458">
        <f>G98</f>
        <v>1.480896</v>
      </c>
      <c r="L98" s="115">
        <f>IFERROR(K98*H98/10^6,0)</f>
        <v>0.30423807956635462</v>
      </c>
    </row>
    <row r="99" spans="1:23" outlineLevel="1">
      <c r="A99" s="70" t="str">
        <f t="shared" si="17"/>
        <v/>
      </c>
      <c r="B99" s="1" t="s">
        <v>7</v>
      </c>
      <c r="C99" s="1" t="s">
        <v>245</v>
      </c>
      <c r="D99" s="1" t="s">
        <v>262</v>
      </c>
      <c r="E99" s="1" t="str">
        <f>'Census 2011_17'!B$121</f>
        <v>Middle Income</v>
      </c>
      <c r="F99" s="1" t="str">
        <f>'Census 2011_17'!A$111</f>
        <v>Cooking</v>
      </c>
      <c r="G99" s="509">
        <v>39.726959999999991</v>
      </c>
      <c r="H99" s="115">
        <f>SUMIFS('Census 2011_17'!$O$111:$O$238,'Census 2011_17'!$A$111:$A$238,Energy_Balance!F99,'Census 2011_17'!$B$111:$B$238,Energy_Balance!E99,'Census 2011_17'!$C$111:$C$238,Energy_Balance!B99)</f>
        <v>693536.2139641809</v>
      </c>
      <c r="I99" s="458">
        <f>IFERROR(IF(B99="paraffin",L99*G$48,IF(B99="electricity",L99*F$48,IF(B99="coal",L99*J$48,IF(B99="Gas",L99*H$48,IF(B99="wood",L99*I$48,L99))))),"")</f>
        <v>16.951093019503173</v>
      </c>
      <c r="J99" s="458"/>
      <c r="K99" s="458"/>
      <c r="L99" s="115">
        <f>IFERROR(G99*H99/10^6,0)</f>
        <v>27.552085430706448</v>
      </c>
    </row>
    <row r="100" spans="1:23" outlineLevel="1">
      <c r="A100" s="70" t="str">
        <f t="shared" si="17"/>
        <v/>
      </c>
      <c r="B100" s="1" t="s">
        <v>9</v>
      </c>
      <c r="C100" s="1" t="s">
        <v>246</v>
      </c>
      <c r="D100" s="1" t="s">
        <v>262</v>
      </c>
      <c r="E100" s="1" t="str">
        <f>'Census 2011_17'!B$121</f>
        <v>Middle Income</v>
      </c>
      <c r="F100" s="1" t="str">
        <f>'Census 2011_17'!A$111</f>
        <v>Cooking</v>
      </c>
      <c r="G100" s="509">
        <v>23.327999999999999</v>
      </c>
      <c r="H100" s="115">
        <f>SUMIFS('Census 2011_17'!$O$111:$O$238,'Census 2011_17'!$A$111:$A$238,Energy_Balance!F100,'Census 2011_17'!$B$111:$B$238,Energy_Balance!E100,'Census 2011_17'!$C$111:$C$238,Energy_Balance!B100)</f>
        <v>30360.367114407229</v>
      </c>
      <c r="I100" s="458">
        <f>IFERROR(IF(B100="paraffin",L100*G$48,IF(B100="electricity",L100*F$48,IF(B100="coal",L100*J$48,IF(B100="Gas",L100*H$48,IF(B100="wood",L100*I$48,L100))))),"")</f>
        <v>1.6572312557292754</v>
      </c>
      <c r="J100" s="458"/>
      <c r="K100" s="458"/>
      <c r="L100" s="115">
        <f>IFERROR(G100*H100/10^6,0)</f>
        <v>0.70824664404489179</v>
      </c>
    </row>
    <row r="101" spans="1:23" outlineLevel="1">
      <c r="A101" s="70" t="str">
        <f t="shared" si="17"/>
        <v/>
      </c>
      <c r="B101" t="s">
        <v>171</v>
      </c>
      <c r="C101" s="1" t="s">
        <v>173</v>
      </c>
      <c r="D101" s="1" t="s">
        <v>262</v>
      </c>
      <c r="E101" s="1" t="str">
        <f>'Census 2011_17'!B$121</f>
        <v>Middle Income</v>
      </c>
      <c r="F101" s="1" t="str">
        <f>'Census 2011_17'!A$111</f>
        <v>Cooking</v>
      </c>
      <c r="G101" s="509" t="s">
        <v>57</v>
      </c>
      <c r="H101" s="115">
        <f>SUMIFS('Census 2011_17'!$O$111:$O$238,'Census 2011_17'!$A$111:$A$238,Energy_Balance!F101,'Census 2011_17'!$B$111:$B$238,Energy_Balance!E101,'Census 2011_17'!$C$111:$C$238,Energy_Balance!B101)</f>
        <v>0</v>
      </c>
      <c r="I101" s="458"/>
      <c r="J101" s="458"/>
      <c r="K101" s="458"/>
      <c r="L101" s="115">
        <f>IFERROR(G101*H101/10^6,0)</f>
        <v>0</v>
      </c>
    </row>
    <row r="102" spans="1:23" outlineLevel="1">
      <c r="A102" s="70" t="str">
        <f t="shared" si="17"/>
        <v/>
      </c>
      <c r="E102" s="5" t="s">
        <v>437</v>
      </c>
      <c r="F102" s="5" t="s">
        <v>460</v>
      </c>
      <c r="G102" s="510" t="s">
        <v>57</v>
      </c>
      <c r="H102" s="279">
        <f>SUM(H96:H101)</f>
        <v>6228171.297827689</v>
      </c>
      <c r="I102" s="457"/>
      <c r="J102" s="457"/>
      <c r="K102" s="457"/>
      <c r="L102" s="511"/>
    </row>
    <row r="103" spans="1:23">
      <c r="A103" s="70" t="str">
        <f t="shared" si="17"/>
        <v>*</v>
      </c>
      <c r="B103" s="69" t="s">
        <v>454</v>
      </c>
      <c r="C103" s="69"/>
      <c r="D103" s="69"/>
      <c r="G103" s="509" t="s">
        <v>57</v>
      </c>
      <c r="H103" s="115"/>
      <c r="I103" s="458"/>
      <c r="J103" s="458"/>
      <c r="K103" s="458"/>
      <c r="L103" s="115"/>
    </row>
    <row r="104" spans="1:23" outlineLevel="1">
      <c r="A104" s="70" t="str">
        <f t="shared" si="17"/>
        <v/>
      </c>
      <c r="B104" s="1" t="s">
        <v>42</v>
      </c>
      <c r="C104" s="1" t="s">
        <v>242</v>
      </c>
      <c r="D104" s="1" t="s">
        <v>263</v>
      </c>
      <c r="E104" s="1" t="str">
        <f>'Census 2011_17'!B$121</f>
        <v>Middle Income</v>
      </c>
      <c r="F104" s="1" t="str">
        <f>'Census 2011_17'!A$142</f>
        <v>Space heating</v>
      </c>
      <c r="G104" s="509">
        <v>2.0735999999999999</v>
      </c>
      <c r="H104" s="115">
        <f>H96</f>
        <v>4869498.7466859436</v>
      </c>
      <c r="I104" s="458">
        <f t="shared" ref="I104:I109" si="18">IFERROR(IF(B104="paraffin",L104*G$48,IF(B104="electricity",L104*F$48,IF(B104="coal",L104*J$48,IF(B104="Gas",L104*H$48,IF(B104="wood",L104*I$48,L104))))),"")</f>
        <v>3.5506739170744979</v>
      </c>
      <c r="J104" s="458"/>
      <c r="K104" s="458">
        <v>0.72916620411720934</v>
      </c>
      <c r="L104" s="115">
        <f>IFERROR(K104*H104/10^6,0)</f>
        <v>3.5506739170744979</v>
      </c>
    </row>
    <row r="105" spans="1:23" outlineLevel="1">
      <c r="A105" s="70" t="str">
        <f t="shared" si="17"/>
        <v/>
      </c>
      <c r="B105" s="1" t="s">
        <v>17</v>
      </c>
      <c r="C105" s="1" t="s">
        <v>244</v>
      </c>
      <c r="D105" s="1" t="s">
        <v>263</v>
      </c>
      <c r="E105" s="1" t="str">
        <f>'Census 2011_17'!B$121</f>
        <v>Middle Income</v>
      </c>
      <c r="F105" s="1" t="str">
        <f>'Census 2011_17'!A$142</f>
        <v>Space heating</v>
      </c>
      <c r="G105" s="509">
        <v>4.4400000000000004</v>
      </c>
      <c r="H105" s="115">
        <f>SUMIFS('Census 2011_17'!$O$111:$O$238,'Census 2011_17'!$A$111:$A$238,Energy_Balance!F105,'Census 2011_17'!$B$111:$B$238,Energy_Balance!E105,'Census 2011_17'!$C$111:$C$238,Energy_Balance!B105)</f>
        <v>372002.59314277355</v>
      </c>
      <c r="I105" s="458">
        <f t="shared" si="18"/>
        <v>0.74689579765915792</v>
      </c>
      <c r="J105" s="458"/>
      <c r="K105" s="458"/>
      <c r="L105" s="115">
        <f>IFERROR(G105*H105/10^6,0)</f>
        <v>1.6516915135539145</v>
      </c>
    </row>
    <row r="106" spans="1:23" outlineLevel="1">
      <c r="A106" s="70" t="str">
        <f t="shared" si="17"/>
        <v/>
      </c>
      <c r="B106" s="1" t="s">
        <v>43</v>
      </c>
      <c r="C106" s="1" t="s">
        <v>243</v>
      </c>
      <c r="D106" s="1" t="s">
        <v>263</v>
      </c>
      <c r="E106" s="1" t="str">
        <f>'Census 2011_17'!B$121</f>
        <v>Middle Income</v>
      </c>
      <c r="F106" s="1" t="str">
        <f>'Census 2011_17'!A$142</f>
        <v>Space heating</v>
      </c>
      <c r="G106" s="509">
        <v>1.38</v>
      </c>
      <c r="H106" s="115">
        <f>SUMIFS('Census 2011_17'!$O$111:$O$238,'Census 2011_17'!$A$111:$A$238,Energy_Balance!F106,'Census 2011_17'!$B$111:$B$238,Energy_Balance!E106,'Census 2011_17'!$C$111:$C$238,Energy_Balance!B106)</f>
        <v>46183.634219135638</v>
      </c>
      <c r="I106" s="458">
        <f t="shared" si="18"/>
        <v>0.72640689006309955</v>
      </c>
      <c r="J106" s="458"/>
      <c r="K106" s="458">
        <f>G104*4</f>
        <v>8.2943999999999996</v>
      </c>
      <c r="L106" s="115">
        <f>IFERROR(K106*H106/10^6,0)</f>
        <v>0.38306553566719859</v>
      </c>
    </row>
    <row r="107" spans="1:23" outlineLevel="1">
      <c r="A107" s="70" t="str">
        <f t="shared" si="17"/>
        <v/>
      </c>
      <c r="B107" s="1" t="s">
        <v>7</v>
      </c>
      <c r="C107" s="1" t="s">
        <v>245</v>
      </c>
      <c r="D107" s="1" t="s">
        <v>263</v>
      </c>
      <c r="E107" s="1" t="str">
        <f>'Census 2011_17'!B$121</f>
        <v>Middle Income</v>
      </c>
      <c r="F107" s="1" t="str">
        <f>'Census 2011_17'!A$142</f>
        <v>Space heating</v>
      </c>
      <c r="G107" s="509">
        <v>13.242320000000001</v>
      </c>
      <c r="H107" s="115">
        <f>SUMIFS('Census 2011_17'!$O$111:$O$238,'Census 2011_17'!$A$111:$A$238,Energy_Balance!F107,'Census 2011_17'!$B$111:$B$238,Energy_Balance!E107,'Census 2011_17'!$C$111:$C$238,Energy_Balance!B107)</f>
        <v>632273.5424742758</v>
      </c>
      <c r="I107" s="458">
        <f t="shared" si="18"/>
        <v>5.1512463307387257</v>
      </c>
      <c r="J107" s="458"/>
      <c r="K107" s="458"/>
      <c r="L107" s="115">
        <f>IFERROR(G107*H107/10^6,0)</f>
        <v>8.3727685769779523</v>
      </c>
    </row>
    <row r="108" spans="1:23" outlineLevel="1">
      <c r="A108" s="70" t="str">
        <f t="shared" si="17"/>
        <v/>
      </c>
      <c r="B108" t="s">
        <v>9</v>
      </c>
      <c r="C108" s="1" t="s">
        <v>246</v>
      </c>
      <c r="D108" s="1" t="s">
        <v>263</v>
      </c>
      <c r="E108" s="1" t="str">
        <f>'Census 2011_17'!B$121</f>
        <v>Middle Income</v>
      </c>
      <c r="F108" s="1" t="str">
        <f>'Census 2011_17'!A$142</f>
        <v>Space heating</v>
      </c>
      <c r="G108" s="509">
        <v>30.180600000000002</v>
      </c>
      <c r="H108" s="115">
        <f>SUMIFS('Census 2011_17'!$O$111:$O$238,'Census 2011_17'!$A$111:$A$238,Energy_Balance!F108,'Census 2011_17'!$B$111:$B$238,Energy_Balance!E108,'Census 2011_17'!$C$111:$C$238,Energy_Balance!B108)</f>
        <v>73382.624605018456</v>
      </c>
      <c r="I108" s="458">
        <f t="shared" si="18"/>
        <v>5.1822659916246563</v>
      </c>
      <c r="J108" s="458"/>
      <c r="K108" s="458"/>
      <c r="L108" s="115">
        <f>IFERROR(G108*H108/10^6,0)</f>
        <v>2.2147316401542203</v>
      </c>
    </row>
    <row r="109" spans="1:23" outlineLevel="1">
      <c r="A109" s="70" t="str">
        <f t="shared" si="17"/>
        <v/>
      </c>
      <c r="B109" s="1" t="s">
        <v>171</v>
      </c>
      <c r="C109" s="1" t="s">
        <v>173</v>
      </c>
      <c r="D109" s="1" t="s">
        <v>263</v>
      </c>
      <c r="E109" s="1" t="str">
        <f>'Census 2011_17'!B$121</f>
        <v>Middle Income</v>
      </c>
      <c r="F109" s="1" t="str">
        <f>'Census 2011_17'!A$142</f>
        <v>Space heating</v>
      </c>
      <c r="G109" s="509" t="s">
        <v>57</v>
      </c>
      <c r="H109" s="115">
        <f>SUMIFS('Census 2011_17'!$O$111:$O$238,'Census 2011_17'!$A$111:$A$238,Energy_Balance!F109,'Census 2011_17'!$B$111:$B$238,Energy_Balance!E109,'Census 2011_17'!$C$111:$C$238,Energy_Balance!B109)</f>
        <v>0</v>
      </c>
      <c r="I109" s="458">
        <f t="shared" si="18"/>
        <v>0</v>
      </c>
      <c r="J109" s="458"/>
      <c r="K109" s="458"/>
      <c r="L109" s="115">
        <f>IFERROR(G109*H109/10^6,0)</f>
        <v>0</v>
      </c>
    </row>
    <row r="110" spans="1:23" outlineLevel="1">
      <c r="A110" s="70" t="str">
        <f t="shared" si="17"/>
        <v/>
      </c>
      <c r="E110" s="5" t="s">
        <v>437</v>
      </c>
      <c r="F110" s="5" t="s">
        <v>461</v>
      </c>
      <c r="G110" s="509" t="s">
        <v>57</v>
      </c>
      <c r="H110" s="279">
        <f>SUM(H104:H109)</f>
        <v>5993341.1411271477</v>
      </c>
      <c r="I110" s="457"/>
      <c r="J110" s="457"/>
      <c r="K110" s="457"/>
      <c r="L110" s="279"/>
    </row>
    <row r="111" spans="1:23">
      <c r="A111" s="70" t="str">
        <f t="shared" si="17"/>
        <v>*</v>
      </c>
      <c r="B111" s="69" t="s">
        <v>455</v>
      </c>
      <c r="C111" s="69"/>
      <c r="D111" s="69"/>
      <c r="G111" s="509" t="s">
        <v>57</v>
      </c>
      <c r="H111" s="115"/>
      <c r="I111" s="458"/>
      <c r="J111" s="458"/>
      <c r="K111" s="458"/>
      <c r="L111" s="115"/>
    </row>
    <row r="112" spans="1:23" outlineLevel="1">
      <c r="A112" s="70" t="str">
        <f t="shared" si="17"/>
        <v/>
      </c>
      <c r="B112" s="1" t="s">
        <v>42</v>
      </c>
      <c r="C112" s="1" t="s">
        <v>242</v>
      </c>
      <c r="D112" t="s">
        <v>591</v>
      </c>
      <c r="E112" s="1" t="str">
        <f>'Census 2011_17'!B$121</f>
        <v>Middle Income</v>
      </c>
      <c r="F112" t="s">
        <v>14</v>
      </c>
      <c r="G112" s="509">
        <v>7.4070218873126263</v>
      </c>
      <c r="H112" s="115">
        <v>579576.20598266833</v>
      </c>
      <c r="I112" s="458">
        <f t="shared" ref="I112:I117" si="19">IFERROR(IF(B112="paraffin",L112*G$48,IF(B112="electricity",L112*F$48,IF(B112="coal",L112*J$48,IF(B112="Gas",L112*H$48,IF(B112="wood",L112*I$48,L112))))),"")</f>
        <v>6.1957821991814717</v>
      </c>
      <c r="J112" s="458"/>
      <c r="K112" s="458">
        <v>10.690194206086423</v>
      </c>
      <c r="L112" s="115">
        <f>IFERROR(K112*H112/10^6,0)</f>
        <v>6.1957821991814717</v>
      </c>
      <c r="M112" s="7">
        <f>L112+L113</f>
        <v>7.4095634581259793</v>
      </c>
      <c r="N112" s="7"/>
      <c r="O112" s="7"/>
      <c r="P112" s="7"/>
      <c r="Q112" s="7"/>
      <c r="R112" s="7"/>
      <c r="S112" s="7"/>
      <c r="T112" s="7"/>
      <c r="U112" s="7"/>
      <c r="V112" s="7"/>
      <c r="W112" s="7"/>
    </row>
    <row r="113" spans="1:40" outlineLevel="1">
      <c r="A113" s="70"/>
      <c r="B113" s="1" t="s">
        <v>42</v>
      </c>
      <c r="C113" s="1" t="s">
        <v>242</v>
      </c>
      <c r="D113" t="s">
        <v>264</v>
      </c>
      <c r="E113" s="1" t="str">
        <f>'Census 2011_17'!B$121</f>
        <v>Middle Income</v>
      </c>
      <c r="F113" t="s">
        <v>14</v>
      </c>
      <c r="G113" s="509">
        <v>1.1386119079905366</v>
      </c>
      <c r="H113" s="115">
        <f>SUMIFS('Census 2011_17'!$O$111:$O$238,'Census 2011_17'!$A$111:$A$238,Energy_Balance!F113,'Census 2011_17'!$B$111:$B$238,Energy_Balance!E113,'Census 2011_17'!$C$111:$C$238,Energy_Balance!B113)-H112</f>
        <v>3548888.3587567653</v>
      </c>
      <c r="I113" s="458">
        <f t="shared" si="19"/>
        <v>1.2137812589445078</v>
      </c>
      <c r="J113" s="458"/>
      <c r="K113" s="458">
        <v>0.34201731253380868</v>
      </c>
      <c r="L113" s="115">
        <f>IFERROR(K113*H113/10^6,0)</f>
        <v>1.2137812589445078</v>
      </c>
    </row>
    <row r="114" spans="1:40" outlineLevel="1">
      <c r="A114" s="70" t="str">
        <f t="shared" si="17"/>
        <v/>
      </c>
      <c r="B114" s="1" t="s">
        <v>17</v>
      </c>
      <c r="C114" s="1" t="s">
        <v>244</v>
      </c>
      <c r="D114" s="1" t="s">
        <v>264</v>
      </c>
      <c r="E114" s="1" t="str">
        <f>'Census 2011_17'!B$121</f>
        <v>Middle Income</v>
      </c>
      <c r="F114" t="s">
        <v>14</v>
      </c>
      <c r="G114" s="509">
        <v>9.8334664781000871</v>
      </c>
      <c r="H114" s="115">
        <f>SUMIFS('Census 2011_17'!$O$111:$O$238,'Census 2011_17'!$A$111:$A$238,Energy_Balance!F114,'Census 2011_17'!$B$111:$B$238,Energy_Balance!E114,'Census 2011_17'!$C$111:$C$238,Energy_Balance!B114)</f>
        <v>471841.06726770819</v>
      </c>
      <c r="I114" s="458">
        <f t="shared" si="19"/>
        <v>2.0981351412120754</v>
      </c>
      <c r="J114" s="458"/>
      <c r="K114" s="458"/>
      <c r="L114" s="115">
        <f>IFERROR(G114*H114/10^6,0)</f>
        <v>4.6398333179679767</v>
      </c>
    </row>
    <row r="115" spans="1:40" outlineLevel="1">
      <c r="A115" s="70" t="str">
        <f t="shared" si="17"/>
        <v/>
      </c>
      <c r="B115" s="1" t="s">
        <v>43</v>
      </c>
      <c r="C115" s="1" t="s">
        <v>243</v>
      </c>
      <c r="D115" s="1" t="s">
        <v>264</v>
      </c>
      <c r="E115" s="1" t="str">
        <f>'Census 2011_17'!B$121</f>
        <v>Middle Income</v>
      </c>
      <c r="F115" t="s">
        <v>14</v>
      </c>
      <c r="G115" s="509">
        <v>1.78495266104127</v>
      </c>
      <c r="H115" s="115">
        <f>SUMIFS('Census 2011_17'!$O$111:$O$238,'Census 2011_17'!$A$111:$A$238,Energy_Balance!F115,'Census 2011_17'!$B$111:$B$238,Energy_Balance!E115,'Census 2011_17'!$C$111:$C$238,Energy_Balance!B115)</f>
        <v>163389.19727450685</v>
      </c>
      <c r="I115" s="458">
        <f t="shared" si="19"/>
        <v>2.2949532423457586</v>
      </c>
      <c r="J115" s="458"/>
      <c r="K115" s="458">
        <f>G112</f>
        <v>7.4070218873126263</v>
      </c>
      <c r="L115" s="115">
        <f>IFERROR(K115*H115/10^6,0)</f>
        <v>1.2102273603627127</v>
      </c>
    </row>
    <row r="116" spans="1:40" outlineLevel="1">
      <c r="A116" s="70" t="str">
        <f t="shared" si="17"/>
        <v/>
      </c>
      <c r="B116" s="1" t="s">
        <v>7</v>
      </c>
      <c r="C116" s="1" t="s">
        <v>245</v>
      </c>
      <c r="D116" s="1" t="s">
        <v>264</v>
      </c>
      <c r="E116" s="1" t="str">
        <f>'Census 2011_17'!B$121</f>
        <v>Middle Income</v>
      </c>
      <c r="F116" t="s">
        <v>14</v>
      </c>
      <c r="G116" s="509">
        <v>14.617315035013641</v>
      </c>
      <c r="H116" s="115">
        <f>SUMIFS('Census 2011_17'!$O$111:$O$238,'Census 2011_17'!$A$111:$A$238,Energy_Balance!F116,'Census 2011_17'!$B$111:$B$238,Energy_Balance!E116,'Census 2011_17'!$C$111:$C$238,Energy_Balance!B116)</f>
        <v>679987.64546150831</v>
      </c>
      <c r="I116" s="458">
        <f t="shared" si="19"/>
        <v>6.1152168202815496</v>
      </c>
      <c r="J116" s="458"/>
      <c r="K116" s="458"/>
      <c r="L116" s="115">
        <f>IFERROR(G116*H116/10^6,0)</f>
        <v>9.9395936336280304</v>
      </c>
    </row>
    <row r="117" spans="1:40" outlineLevel="1">
      <c r="A117" s="70" t="str">
        <f t="shared" si="17"/>
        <v/>
      </c>
      <c r="B117" t="s">
        <v>9</v>
      </c>
      <c r="C117" s="1" t="s">
        <v>246</v>
      </c>
      <c r="D117" s="1" t="s">
        <v>264</v>
      </c>
      <c r="E117" s="1" t="str">
        <f>'Census 2011_17'!B$121</f>
        <v>Middle Income</v>
      </c>
      <c r="F117" t="s">
        <v>14</v>
      </c>
      <c r="G117" s="509">
        <v>14.617315035013641</v>
      </c>
      <c r="H117" s="115">
        <f>SUMIFS('Census 2011_17'!$O$111:$O$238,'Census 2011_17'!$A$111:$A$238,Energy_Balance!F117,'Census 2011_17'!$B$111:$B$238,Energy_Balance!E117,'Census 2011_17'!$C$111:$C$238,Energy_Balance!B117)</f>
        <v>28442.055566113097</v>
      </c>
      <c r="I117" s="458">
        <f t="shared" si="19"/>
        <v>0.97280809955558833</v>
      </c>
      <c r="J117" s="458"/>
      <c r="K117" s="458"/>
      <c r="L117" s="115">
        <f>IFERROR(G117*H117/10^6,0)</f>
        <v>0.41574648645323842</v>
      </c>
      <c r="AH117" s="3"/>
      <c r="AI117" s="3"/>
      <c r="AJ117" s="3"/>
      <c r="AK117" s="3"/>
      <c r="AL117" s="3"/>
      <c r="AM117" s="3"/>
      <c r="AN117" s="3"/>
    </row>
    <row r="118" spans="1:40" outlineLevel="1">
      <c r="A118" s="70" t="str">
        <f t="shared" si="17"/>
        <v/>
      </c>
      <c r="B118" s="1" t="s">
        <v>171</v>
      </c>
      <c r="C118" s="1" t="s">
        <v>173</v>
      </c>
      <c r="D118" s="1" t="s">
        <v>264</v>
      </c>
      <c r="E118" s="1" t="str">
        <f>'Census 2011_17'!B$121</f>
        <v>Middle Income</v>
      </c>
      <c r="F118" t="s">
        <v>14</v>
      </c>
      <c r="G118" s="509" t="s">
        <v>57</v>
      </c>
      <c r="H118" s="115">
        <f>SUMIFS('Census 2011_17'!$O$111:$O$238,'Census 2011_17'!$A$111:$A$238,Energy_Balance!F118,'Census 2011_17'!$B$111:$B$238,Energy_Balance!E118,'Census 2011_17'!$C$111:$C$238,Energy_Balance!B118)</f>
        <v>0</v>
      </c>
      <c r="I118" s="458"/>
      <c r="J118" s="458"/>
      <c r="K118" s="458"/>
      <c r="L118" s="115">
        <f>IFERROR(G118*H118/10^6,0)</f>
        <v>0</v>
      </c>
      <c r="AH118" s="3"/>
      <c r="AI118" s="3"/>
      <c r="AJ118" s="3"/>
      <c r="AK118" s="3"/>
      <c r="AL118" s="3"/>
      <c r="AM118" s="3"/>
      <c r="AN118" s="3"/>
    </row>
    <row r="119" spans="1:40" outlineLevel="1">
      <c r="A119" s="70" t="str">
        <f t="shared" si="17"/>
        <v/>
      </c>
      <c r="B119" s="1"/>
      <c r="C119" s="1"/>
      <c r="D119" s="1"/>
      <c r="E119" s="5" t="s">
        <v>437</v>
      </c>
      <c r="F119" s="5" t="s">
        <v>462</v>
      </c>
      <c r="G119" s="509" t="s">
        <v>57</v>
      </c>
      <c r="H119" s="279">
        <f>SUM(H112:H118)</f>
        <v>5472124.5303092701</v>
      </c>
      <c r="I119" s="457"/>
      <c r="J119" s="457"/>
      <c r="K119" s="457"/>
      <c r="L119" s="279"/>
      <c r="AH119" s="3"/>
      <c r="AI119" s="3"/>
      <c r="AJ119" s="3"/>
      <c r="AK119" s="3"/>
      <c r="AL119" s="3"/>
      <c r="AM119" s="3"/>
      <c r="AN119" s="3"/>
    </row>
    <row r="120" spans="1:40">
      <c r="A120" s="70" t="str">
        <f t="shared" si="17"/>
        <v>*</v>
      </c>
      <c r="B120" s="69" t="s">
        <v>456</v>
      </c>
      <c r="C120" s="69"/>
      <c r="D120" s="69"/>
      <c r="G120" s="509" t="s">
        <v>57</v>
      </c>
      <c r="H120" s="115"/>
      <c r="I120" s="458"/>
      <c r="J120" s="458"/>
      <c r="K120" s="458"/>
      <c r="L120" s="115"/>
      <c r="AH120" s="3"/>
      <c r="AI120" s="3"/>
      <c r="AJ120" s="3"/>
      <c r="AK120" s="3"/>
      <c r="AL120" s="3"/>
      <c r="AM120" s="3"/>
      <c r="AN120" s="3"/>
    </row>
    <row r="121" spans="1:40" outlineLevel="2">
      <c r="A121" s="70" t="str">
        <f t="shared" si="17"/>
        <v/>
      </c>
      <c r="B121" s="1" t="s">
        <v>42</v>
      </c>
      <c r="C121" s="1" t="s">
        <v>242</v>
      </c>
      <c r="D121" s="1" t="s">
        <v>265</v>
      </c>
      <c r="E121" s="1" t="str">
        <f>'Census 2011_17'!B$121</f>
        <v>Middle Income</v>
      </c>
      <c r="F121" t="s">
        <v>15</v>
      </c>
      <c r="G121" s="509"/>
      <c r="H121" s="115">
        <f>'Census 2011_17'!H7</f>
        <v>4869498.7466859436</v>
      </c>
      <c r="I121" s="458">
        <f>IFERROR(IF(B121="paraffin",L121*G$48,IF(B121="electricity",L121*F$48,IF(B121="coal",L121*J$48,IF(B121="Gas",L121*H$48,IF(B121="wood",L121*I$48,L121))))),"")</f>
        <v>11.089511343661943</v>
      </c>
      <c r="J121" s="458"/>
      <c r="K121" s="458">
        <v>2.2773414514603134</v>
      </c>
      <c r="L121" s="115">
        <f>IFERROR(K121*H121/10^6,0)</f>
        <v>11.089511343661943</v>
      </c>
      <c r="AH121" s="3"/>
      <c r="AI121" s="3"/>
      <c r="AJ121" s="3"/>
      <c r="AK121" s="3"/>
      <c r="AL121" s="3"/>
      <c r="AM121" s="3"/>
      <c r="AN121" s="3"/>
    </row>
    <row r="122" spans="1:40" outlineLevel="2">
      <c r="A122" s="70" t="str">
        <f t="shared" si="17"/>
        <v/>
      </c>
      <c r="C122" s="1"/>
      <c r="D122" s="1"/>
      <c r="E122" s="1"/>
      <c r="F122" s="1"/>
      <c r="G122" s="509" t="s">
        <v>57</v>
      </c>
      <c r="H122" s="115"/>
      <c r="I122" s="458"/>
      <c r="J122" s="458"/>
      <c r="K122" s="458"/>
      <c r="L122" s="115"/>
      <c r="AH122" s="3"/>
      <c r="AI122" s="3"/>
      <c r="AJ122" s="3"/>
      <c r="AK122" s="3"/>
      <c r="AL122" s="3"/>
      <c r="AM122" s="3"/>
      <c r="AN122" s="3"/>
    </row>
    <row r="123" spans="1:40">
      <c r="A123" s="70" t="str">
        <f t="shared" ref="A123:A154" si="20">IF(LEFT(B123,1)="\","*","")</f>
        <v>*</v>
      </c>
      <c r="B123" s="69" t="s">
        <v>457</v>
      </c>
      <c r="C123" s="69"/>
      <c r="D123" s="69"/>
      <c r="E123" s="1"/>
      <c r="F123" s="69"/>
      <c r="G123" s="509" t="s">
        <v>57</v>
      </c>
      <c r="H123" s="115"/>
      <c r="I123" s="458"/>
      <c r="J123" s="458"/>
      <c r="K123" s="458"/>
      <c r="L123" s="115"/>
      <c r="AH123" s="3"/>
      <c r="AI123" s="3"/>
      <c r="AJ123" s="3"/>
      <c r="AK123" s="3"/>
      <c r="AL123" s="3"/>
      <c r="AM123" s="3"/>
      <c r="AN123" s="3"/>
    </row>
    <row r="124" spans="1:40" outlineLevel="2">
      <c r="A124" s="70" t="str">
        <f t="shared" si="20"/>
        <v/>
      </c>
      <c r="B124" s="1" t="s">
        <v>42</v>
      </c>
      <c r="C124" s="1" t="s">
        <v>242</v>
      </c>
      <c r="D124" s="1" t="s">
        <v>266</v>
      </c>
      <c r="E124" s="1" t="str">
        <f>'Census 2011_17'!B$121</f>
        <v>Middle Income</v>
      </c>
      <c r="F124" t="s">
        <v>41</v>
      </c>
      <c r="G124" s="509"/>
      <c r="H124" s="115">
        <f>'Census 2011_17'!H7</f>
        <v>4869498.7466859436</v>
      </c>
      <c r="I124" s="458">
        <f>IFERROR(IF(B124="paraffin",L124*G$48,IF(B124="electricity",L124*F$48,IF(B124="coal",L124*J$48,IF(B124="Gas",L124*H$48,IF(B124="wood",L124*I$48,L124))))),"")</f>
        <v>13.209914572710195</v>
      </c>
      <c r="J124" s="458"/>
      <c r="K124" s="458">
        <v>2.7127873442211121</v>
      </c>
      <c r="L124" s="115">
        <f>IFERROR(K124*H124/10^6,0)</f>
        <v>13.209914572710195</v>
      </c>
      <c r="AD124" s="1"/>
      <c r="AH124" s="3"/>
      <c r="AI124" s="3"/>
      <c r="AJ124" s="3"/>
      <c r="AK124" s="3"/>
      <c r="AL124" s="3"/>
      <c r="AM124" s="3"/>
      <c r="AN124" s="3"/>
    </row>
    <row r="125" spans="1:40" outlineLevel="2">
      <c r="A125" s="70" t="str">
        <f t="shared" si="20"/>
        <v/>
      </c>
      <c r="B125" s="1" t="s">
        <v>17</v>
      </c>
      <c r="C125" s="1" t="s">
        <v>244</v>
      </c>
      <c r="D125" s="1" t="s">
        <v>301</v>
      </c>
      <c r="E125" s="1" t="str">
        <f>'Census 2011_17'!B$121</f>
        <v>Middle Income</v>
      </c>
      <c r="F125" t="s">
        <v>41</v>
      </c>
      <c r="G125" s="509" t="s">
        <v>57</v>
      </c>
      <c r="H125" s="115">
        <v>0</v>
      </c>
      <c r="I125" s="458"/>
      <c r="J125" s="458"/>
      <c r="K125" s="458"/>
      <c r="L125" s="115"/>
      <c r="AH125" s="3"/>
      <c r="AI125" s="3"/>
      <c r="AJ125" s="3"/>
      <c r="AK125" s="3"/>
      <c r="AL125" s="3"/>
      <c r="AM125" s="3"/>
      <c r="AN125" s="3"/>
    </row>
    <row r="126" spans="1:40" outlineLevel="2">
      <c r="A126" s="70" t="str">
        <f t="shared" si="20"/>
        <v/>
      </c>
      <c r="C126" s="1"/>
      <c r="D126" s="1"/>
      <c r="E126" s="5" t="s">
        <v>437</v>
      </c>
      <c r="F126" s="5" t="s">
        <v>463</v>
      </c>
      <c r="G126" s="509" t="s">
        <v>57</v>
      </c>
      <c r="H126" s="279"/>
      <c r="I126" s="457"/>
      <c r="J126" s="457"/>
      <c r="K126" s="457"/>
      <c r="L126" s="279"/>
    </row>
    <row r="127" spans="1:40">
      <c r="A127" s="70" t="str">
        <f t="shared" si="20"/>
        <v>*</v>
      </c>
      <c r="B127" s="265" t="s">
        <v>121</v>
      </c>
      <c r="C127" s="69"/>
      <c r="D127" s="69"/>
      <c r="G127" s="509" t="s">
        <v>57</v>
      </c>
      <c r="H127" s="115"/>
      <c r="I127" s="458"/>
      <c r="J127" s="458"/>
      <c r="K127" s="458"/>
      <c r="L127" s="115"/>
    </row>
    <row r="128" spans="1:40" outlineLevel="1">
      <c r="A128" s="70" t="str">
        <f t="shared" si="20"/>
        <v/>
      </c>
      <c r="B128" s="266" t="s">
        <v>42</v>
      </c>
      <c r="C128" s="1" t="s">
        <v>242</v>
      </c>
      <c r="D128" s="1" t="s">
        <v>267</v>
      </c>
      <c r="E128" s="1" t="str">
        <f>'Census 2011_17'!B$131</f>
        <v>High Income</v>
      </c>
      <c r="F128" t="s">
        <v>11</v>
      </c>
      <c r="G128" s="509"/>
      <c r="H128" s="115">
        <f>'Census 2011_17'!H5</f>
        <v>4176066.0172229088</v>
      </c>
      <c r="I128" s="458">
        <f>IFERROR(IF(B128="paraffin",L128*G$48,IF(B128="electricity",L128*F$48,IF(B128="coal",L128*J$48,IF(B128="Gas",L128*H$48,IF(B128="wood",L128*I$48,L128))))),"")</f>
        <v>6.928739896458783</v>
      </c>
      <c r="J128" s="458"/>
      <c r="K128" s="458">
        <v>1.6591547805717897</v>
      </c>
      <c r="L128" s="115">
        <f>IFERROR(K128*H128/10^6,0)</f>
        <v>6.928739896458783</v>
      </c>
    </row>
    <row r="129" spans="1:12" outlineLevel="1">
      <c r="A129" s="70" t="str">
        <f t="shared" si="20"/>
        <v/>
      </c>
      <c r="B129" s="267"/>
      <c r="E129" s="5" t="s">
        <v>25</v>
      </c>
      <c r="F129" s="5" t="s">
        <v>464</v>
      </c>
      <c r="G129" s="510" t="s">
        <v>57</v>
      </c>
      <c r="H129" s="279">
        <f>H128</f>
        <v>4176066.0172229088</v>
      </c>
      <c r="I129" s="457"/>
      <c r="J129" s="457"/>
      <c r="K129" s="457"/>
      <c r="L129" s="279"/>
    </row>
    <row r="130" spans="1:12">
      <c r="A130" s="70" t="str">
        <f t="shared" si="20"/>
        <v>*</v>
      </c>
      <c r="B130" s="265" t="s">
        <v>451</v>
      </c>
      <c r="C130" s="69"/>
      <c r="D130" s="69"/>
      <c r="E130" s="1"/>
      <c r="F130" s="69"/>
      <c r="G130" s="509" t="s">
        <v>57</v>
      </c>
      <c r="H130" s="115"/>
      <c r="I130" s="458"/>
      <c r="J130" s="458"/>
      <c r="K130" s="458"/>
      <c r="L130" s="115"/>
    </row>
    <row r="131" spans="1:12" outlineLevel="1">
      <c r="A131" s="70" t="str">
        <f t="shared" si="20"/>
        <v/>
      </c>
      <c r="B131" s="267" t="s">
        <v>42</v>
      </c>
      <c r="C131" s="1" t="s">
        <v>242</v>
      </c>
      <c r="D131" s="1" t="s">
        <v>268</v>
      </c>
      <c r="E131" s="1" t="str">
        <f>'Census 2011_17'!B$131</f>
        <v>High Income</v>
      </c>
      <c r="F131" s="1" t="str">
        <f>'Census 2011_17'!A$111</f>
        <v>Cooking</v>
      </c>
      <c r="G131" s="509"/>
      <c r="H131" s="115">
        <f>H128</f>
        <v>4176066.0172229088</v>
      </c>
      <c r="I131" s="458">
        <f t="shared" ref="I131:I136" si="21">IFERROR(IF(B131="paraffin",L131*G$48,IF(B131="electricity",L131*F$48,IF(B131="coal",L131*J$48,IF(B131="Gas",L131*H$48,IF(B131="wood",L131*I$48,L131))))),"")</f>
        <v>9.6733257786328029</v>
      </c>
      <c r="J131" s="458"/>
      <c r="K131" s="458">
        <v>2.3163728108555097</v>
      </c>
      <c r="L131" s="115">
        <f>IFERROR(K131*H131/10^6,0)</f>
        <v>9.6733257786328029</v>
      </c>
    </row>
    <row r="132" spans="1:12" outlineLevel="1">
      <c r="A132" s="70" t="str">
        <f t="shared" si="20"/>
        <v/>
      </c>
      <c r="B132" s="267" t="s">
        <v>17</v>
      </c>
      <c r="C132" s="1" t="s">
        <v>244</v>
      </c>
      <c r="D132" s="1" t="s">
        <v>268</v>
      </c>
      <c r="E132" s="1" t="str">
        <f>'Census 2011_17'!B$131</f>
        <v>High Income</v>
      </c>
      <c r="F132" s="1" t="str">
        <f>'Census 2011_17'!A$111</f>
        <v>Cooking</v>
      </c>
      <c r="G132" s="509">
        <v>3.8435040000000011</v>
      </c>
      <c r="H132" s="115">
        <f>SUMIFS('Census 2011_17'!$O$111:$O$238,'Census 2011_17'!$A$111:$A$238,Energy_Balance!F132,'Census 2011_17'!$B$111:$B$238,Energy_Balance!E132,'Census 2011_17'!$C$111:$C$238,Energy_Balance!B132)</f>
        <v>53257.762733822565</v>
      </c>
      <c r="I132" s="458">
        <f t="shared" si="21"/>
        <v>9.2563833924448141E-2</v>
      </c>
      <c r="J132" s="458"/>
      <c r="K132" s="458"/>
      <c r="L132" s="115">
        <f>IFERROR(G132*H132/10^6,0)</f>
        <v>0.204696424098498</v>
      </c>
    </row>
    <row r="133" spans="1:12" outlineLevel="1">
      <c r="A133" s="70" t="str">
        <f t="shared" si="20"/>
        <v/>
      </c>
      <c r="B133" s="266" t="s">
        <v>43</v>
      </c>
      <c r="C133" s="1" t="s">
        <v>243</v>
      </c>
      <c r="D133" s="1" t="s">
        <v>268</v>
      </c>
      <c r="E133" s="1" t="str">
        <f>'Census 2011_17'!B$131</f>
        <v>High Income</v>
      </c>
      <c r="F133" s="1" t="str">
        <f>'Census 2011_17'!A$111</f>
        <v>Cooking</v>
      </c>
      <c r="G133" s="509">
        <v>3.214512</v>
      </c>
      <c r="H133" s="115">
        <f>SUMIFS('Census 2011_17'!$O$111:$O$238,'Census 2011_17'!$A$111:$A$238,Energy_Balance!F133,'Census 2011_17'!$B$111:$B$238,Energy_Balance!E133,'Census 2011_17'!$C$111:$C$238,Energy_Balance!B133)</f>
        <v>329232.13998518517</v>
      </c>
      <c r="I133" s="458">
        <f t="shared" si="21"/>
        <v>2.3995866483591111</v>
      </c>
      <c r="J133" s="458"/>
      <c r="K133" s="458">
        <f>G132</f>
        <v>3.8435040000000011</v>
      </c>
      <c r="L133" s="115">
        <f>IFERROR(K133*H133/10^6,0)</f>
        <v>1.2654050469616196</v>
      </c>
    </row>
    <row r="134" spans="1:12" outlineLevel="1">
      <c r="A134" s="70" t="str">
        <f t="shared" si="20"/>
        <v/>
      </c>
      <c r="B134" s="267" t="s">
        <v>7</v>
      </c>
      <c r="C134" s="1" t="s">
        <v>245</v>
      </c>
      <c r="D134" s="1" t="s">
        <v>268</v>
      </c>
      <c r="E134" s="1" t="str">
        <f>'Census 2011_17'!B$131</f>
        <v>High Income</v>
      </c>
      <c r="F134" s="1" t="str">
        <f>'Census 2011_17'!A$111</f>
        <v>Cooking</v>
      </c>
      <c r="G134" s="509">
        <v>21.283149999999999</v>
      </c>
      <c r="H134" s="115">
        <f>SUMIFS('Census 2011_17'!$O$111:$O$238,'Census 2011_17'!$A$111:$A$238,Energy_Balance!F134,'Census 2011_17'!$B$111:$B$238,Energy_Balance!E134,'Census 2011_17'!$C$111:$C$238,Energy_Balance!B134)</f>
        <v>75876.745559416202</v>
      </c>
      <c r="I134" s="458">
        <f t="shared" si="21"/>
        <v>0.99354566271501477</v>
      </c>
      <c r="J134" s="458"/>
      <c r="K134" s="458"/>
      <c r="L134" s="115">
        <f>IFERROR(G134*H134/10^6,0)</f>
        <v>1.6148961572528888</v>
      </c>
    </row>
    <row r="135" spans="1:12" outlineLevel="1">
      <c r="A135" s="70" t="str">
        <f t="shared" si="20"/>
        <v/>
      </c>
      <c r="B135" s="267" t="s">
        <v>9</v>
      </c>
      <c r="C135" s="1" t="s">
        <v>246</v>
      </c>
      <c r="D135" s="1" t="s">
        <v>268</v>
      </c>
      <c r="E135" s="1" t="str">
        <f>'Census 2011_17'!B$131</f>
        <v>High Income</v>
      </c>
      <c r="F135" s="1" t="str">
        <f>'Census 2011_17'!A$111</f>
        <v>Cooking</v>
      </c>
      <c r="G135" s="509" t="s">
        <v>57</v>
      </c>
      <c r="H135" s="115">
        <f>SUMIFS('Census 2011_17'!$O$111:$O$238,'Census 2011_17'!$A$111:$A$238,Energy_Balance!F135,'Census 2011_17'!$B$111:$B$238,Energy_Balance!E135,'Census 2011_17'!$C$111:$C$238,Energy_Balance!B135)</f>
        <v>6167.8527309642832</v>
      </c>
      <c r="I135" s="458">
        <f t="shared" si="21"/>
        <v>0</v>
      </c>
      <c r="J135" s="458"/>
      <c r="K135" s="458"/>
      <c r="L135" s="115">
        <f>IFERROR(G135*H135/10^6,0)</f>
        <v>0</v>
      </c>
    </row>
    <row r="136" spans="1:12" outlineLevel="1">
      <c r="A136" s="70" t="str">
        <f t="shared" si="20"/>
        <v/>
      </c>
      <c r="B136" s="267" t="s">
        <v>171</v>
      </c>
      <c r="C136" s="1" t="s">
        <v>173</v>
      </c>
      <c r="D136" s="1" t="s">
        <v>268</v>
      </c>
      <c r="E136" s="1" t="str">
        <f>'Census 2011_17'!B$131</f>
        <v>High Income</v>
      </c>
      <c r="F136" s="1" t="str">
        <f>'Census 2011_17'!A$111</f>
        <v>Cooking</v>
      </c>
      <c r="G136" s="509" t="s">
        <v>57</v>
      </c>
      <c r="H136" s="115">
        <f>SUMIFS('Census 2011_17'!$O$111:$O$238,'Census 2011_17'!$A$111:$A$238,Energy_Balance!F136,'Census 2011_17'!$B$111:$B$238,Energy_Balance!E136,'Census 2011_17'!$C$111:$C$238,Energy_Balance!B136)</f>
        <v>0</v>
      </c>
      <c r="I136" s="458">
        <f t="shared" si="21"/>
        <v>0</v>
      </c>
      <c r="J136" s="458"/>
      <c r="K136" s="458"/>
      <c r="L136" s="115">
        <f>IFERROR(G136*H136/10^6,0)</f>
        <v>0</v>
      </c>
    </row>
    <row r="137" spans="1:12" outlineLevel="1">
      <c r="A137" s="70" t="str">
        <f t="shared" si="20"/>
        <v/>
      </c>
      <c r="B137" s="267"/>
      <c r="E137" s="5" t="s">
        <v>25</v>
      </c>
      <c r="F137" s="5" t="s">
        <v>460</v>
      </c>
      <c r="G137" s="510" t="s">
        <v>57</v>
      </c>
      <c r="H137" s="279">
        <f>SUM(H131:H136)</f>
        <v>4640600.5182322962</v>
      </c>
      <c r="I137" s="457"/>
      <c r="J137" s="457"/>
      <c r="K137" s="457"/>
      <c r="L137" s="279"/>
    </row>
    <row r="138" spans="1:12">
      <c r="A138" s="70" t="str">
        <f t="shared" si="20"/>
        <v>*</v>
      </c>
      <c r="B138" s="265" t="s">
        <v>122</v>
      </c>
      <c r="C138" s="69"/>
      <c r="D138" s="69"/>
      <c r="G138" s="509" t="s">
        <v>57</v>
      </c>
      <c r="H138" s="115"/>
      <c r="I138" s="458"/>
      <c r="J138" s="458"/>
      <c r="K138" s="458"/>
      <c r="L138" s="115"/>
    </row>
    <row r="139" spans="1:12" outlineLevel="1">
      <c r="A139" s="70" t="str">
        <f t="shared" si="20"/>
        <v/>
      </c>
      <c r="B139" s="266" t="s">
        <v>42</v>
      </c>
      <c r="C139" s="1" t="s">
        <v>242</v>
      </c>
      <c r="D139" s="1" t="s">
        <v>252</v>
      </c>
      <c r="E139" s="1" t="str">
        <f>'Census 2011_17'!B$131</f>
        <v>High Income</v>
      </c>
      <c r="F139" s="1" t="str">
        <f>'Census 2011_17'!A$142</f>
        <v>Space heating</v>
      </c>
      <c r="G139" s="509">
        <v>2.7648000000000001</v>
      </c>
      <c r="H139" s="115">
        <f>H131</f>
        <v>4176066.0172229088</v>
      </c>
      <c r="I139" s="458">
        <f t="shared" ref="I139:I144" si="22">IFERROR(IF(B139="paraffin",L139*G$48,IF(B139="electricity",L139*F$48,IF(B139="coal",L139*J$48,IF(B139="Gas",L139*H$48,IF(B139="wood",L139*I$48,L139))))),"")</f>
        <v>2.6591717184265713</v>
      </c>
      <c r="J139" s="458"/>
      <c r="K139" s="458">
        <v>0.63676477035076307</v>
      </c>
      <c r="L139" s="115">
        <f>IFERROR(K139*H139/10^6,0)</f>
        <v>2.6591717184265713</v>
      </c>
    </row>
    <row r="140" spans="1:12" outlineLevel="1">
      <c r="A140" s="70" t="str">
        <f t="shared" si="20"/>
        <v/>
      </c>
      <c r="B140" s="266" t="s">
        <v>17</v>
      </c>
      <c r="C140" s="1" t="s">
        <v>244</v>
      </c>
      <c r="D140" s="1" t="s">
        <v>252</v>
      </c>
      <c r="E140" s="1" t="str">
        <f>'Census 2011_17'!B$131</f>
        <v>High Income</v>
      </c>
      <c r="F140" s="1" t="str">
        <f>'Census 2011_17'!A$142</f>
        <v>Space heating</v>
      </c>
      <c r="G140" s="509">
        <v>0.55500000000000005</v>
      </c>
      <c r="H140" s="115">
        <f>SUMIFS('Census 2011_17'!$O$111:$O$238,'Census 2011_17'!$A$111:$A$238,Energy_Balance!F140,'Census 2011_17'!$B$111:$B$238,Energy_Balance!E140,'Census 2011_17'!$C$111:$C$238,Energy_Balance!B140)</f>
        <v>101549.78934897445</v>
      </c>
      <c r="I140" s="458">
        <f t="shared" si="22"/>
        <v>2.5486082730346662E-2</v>
      </c>
      <c r="J140" s="458"/>
      <c r="K140" s="458"/>
      <c r="L140" s="115">
        <f>IFERROR(G140*H140/10^6,0)</f>
        <v>5.6360133088680819E-2</v>
      </c>
    </row>
    <row r="141" spans="1:12" outlineLevel="1">
      <c r="A141" s="70" t="str">
        <f t="shared" si="20"/>
        <v/>
      </c>
      <c r="B141" s="266" t="s">
        <v>43</v>
      </c>
      <c r="C141" s="1" t="s">
        <v>243</v>
      </c>
      <c r="D141" s="1" t="s">
        <v>252</v>
      </c>
      <c r="E141" s="1" t="str">
        <f>'Census 2011_17'!B$131</f>
        <v>High Income</v>
      </c>
      <c r="F141" s="1" t="str">
        <f>'Census 2011_17'!A$142</f>
        <v>Space heating</v>
      </c>
      <c r="G141" s="509">
        <v>2.0699999999999998</v>
      </c>
      <c r="H141" s="115">
        <f>SUMIFS('Census 2011_17'!$O$111:$O$238,'Census 2011_17'!$A$111:$A$238,Energy_Balance!F141,'Census 2011_17'!$B$111:$B$238,Energy_Balance!E141,'Census 2011_17'!$C$111:$C$238,Energy_Balance!B141)</f>
        <v>105231.61955599848</v>
      </c>
      <c r="I141" s="458">
        <f t="shared" si="22"/>
        <v>2.206870457913674</v>
      </c>
      <c r="J141" s="458"/>
      <c r="K141" s="458">
        <f>G139*4</f>
        <v>11.059200000000001</v>
      </c>
      <c r="L141" s="115">
        <f>IFERROR(K141*H141/10^6,0)</f>
        <v>1.1637775269936985</v>
      </c>
    </row>
    <row r="142" spans="1:12" outlineLevel="1">
      <c r="A142" s="70" t="str">
        <f t="shared" si="20"/>
        <v/>
      </c>
      <c r="B142" s="266" t="s">
        <v>7</v>
      </c>
      <c r="C142" s="1" t="s">
        <v>245</v>
      </c>
      <c r="D142" s="1" t="s">
        <v>252</v>
      </c>
      <c r="E142" s="1" t="str">
        <f>'Census 2011_17'!B$131</f>
        <v>High Income</v>
      </c>
      <c r="F142" s="1" t="str">
        <f>'Census 2011_17'!A$142</f>
        <v>Space heating</v>
      </c>
      <c r="G142" s="509">
        <v>4.1263249999999996</v>
      </c>
      <c r="H142" s="115">
        <f>SUMIFS('Census 2011_17'!$O$111:$O$238,'Census 2011_17'!$A$111:$A$238,Energy_Balance!F142,'Census 2011_17'!$B$111:$B$238,Energy_Balance!E142,'Census 2011_17'!$C$111:$C$238,Energy_Balance!B142)</f>
        <v>96594.543577338511</v>
      </c>
      <c r="I142" s="458">
        <f t="shared" si="22"/>
        <v>0.24522190197486701</v>
      </c>
      <c r="J142" s="458"/>
      <c r="K142" s="458"/>
      <c r="L142" s="115">
        <f>IFERROR(G142*H142/10^6,0)</f>
        <v>0.39858048002676133</v>
      </c>
    </row>
    <row r="143" spans="1:12" outlineLevel="1">
      <c r="A143" s="70" t="str">
        <f t="shared" si="20"/>
        <v/>
      </c>
      <c r="B143" s="267" t="s">
        <v>9</v>
      </c>
      <c r="C143" s="1" t="s">
        <v>246</v>
      </c>
      <c r="D143" s="1" t="s">
        <v>252</v>
      </c>
      <c r="E143" s="1" t="str">
        <f>'Census 2011_17'!B$131</f>
        <v>High Income</v>
      </c>
      <c r="F143" s="1" t="str">
        <f>'Census 2011_17'!A$142</f>
        <v>Space heating</v>
      </c>
      <c r="G143" s="509">
        <v>30.180600000000002</v>
      </c>
      <c r="H143" s="115">
        <f>SUMIFS('Census 2011_17'!$O$111:$O$238,'Census 2011_17'!$A$111:$A$238,Energy_Balance!F143,'Census 2011_17'!$B$111:$B$238,Energy_Balance!E143,'Census 2011_17'!$C$111:$C$238,Energy_Balance!B143)</f>
        <v>17529.388070357491</v>
      </c>
      <c r="I143" s="458">
        <f t="shared" si="22"/>
        <v>1.2379218124175966</v>
      </c>
      <c r="J143" s="458"/>
      <c r="K143" s="458"/>
      <c r="L143" s="115">
        <f>IFERROR(G143*H143/10^6,0)</f>
        <v>0.52904744959623129</v>
      </c>
    </row>
    <row r="144" spans="1:12" outlineLevel="1">
      <c r="A144" s="70" t="str">
        <f t="shared" si="20"/>
        <v/>
      </c>
      <c r="B144" s="266" t="s">
        <v>171</v>
      </c>
      <c r="C144" s="1" t="s">
        <v>173</v>
      </c>
      <c r="D144" s="1" t="s">
        <v>252</v>
      </c>
      <c r="E144" s="1" t="str">
        <f>'Census 2011_17'!B$131</f>
        <v>High Income</v>
      </c>
      <c r="F144" s="1" t="str">
        <f>'Census 2011_17'!A$142</f>
        <v>Space heating</v>
      </c>
      <c r="G144" s="509" t="s">
        <v>57</v>
      </c>
      <c r="H144" s="115">
        <f>SUMIFS('Census 2011_17'!$O$111:$O$238,'Census 2011_17'!$A$111:$A$238,Energy_Balance!F144,'Census 2011_17'!$B$111:$B$238,Energy_Balance!E144,'Census 2011_17'!$C$111:$C$238,Energy_Balance!B144)</f>
        <v>0</v>
      </c>
      <c r="I144" s="458">
        <f t="shared" si="22"/>
        <v>0</v>
      </c>
      <c r="J144" s="458"/>
      <c r="K144" s="458"/>
      <c r="L144" s="115">
        <f>IFERROR(G144*H144/10^6,0)</f>
        <v>0</v>
      </c>
    </row>
    <row r="145" spans="1:30" outlineLevel="1">
      <c r="A145" s="70" t="str">
        <f t="shared" si="20"/>
        <v/>
      </c>
      <c r="B145" s="267"/>
      <c r="E145" s="5" t="s">
        <v>25</v>
      </c>
      <c r="F145" s="5" t="s">
        <v>461</v>
      </c>
      <c r="G145" s="510" t="s">
        <v>57</v>
      </c>
      <c r="H145" s="279">
        <f>SUM(H139:H144)</f>
        <v>4496971.3577755773</v>
      </c>
      <c r="I145" s="457"/>
      <c r="J145" s="457"/>
      <c r="K145" s="457"/>
      <c r="L145" s="279"/>
    </row>
    <row r="146" spans="1:30">
      <c r="A146" s="70" t="str">
        <f t="shared" si="20"/>
        <v>*</v>
      </c>
      <c r="B146" s="265" t="s">
        <v>421</v>
      </c>
      <c r="C146" s="69"/>
      <c r="D146" s="69"/>
      <c r="G146" s="509" t="s">
        <v>57</v>
      </c>
      <c r="H146" s="115"/>
      <c r="I146" s="458"/>
      <c r="J146" s="458"/>
      <c r="K146" s="458"/>
      <c r="L146" s="115"/>
    </row>
    <row r="147" spans="1:30" outlineLevel="2">
      <c r="A147" s="70" t="str">
        <f t="shared" si="20"/>
        <v/>
      </c>
      <c r="B147" s="266" t="s">
        <v>42</v>
      </c>
      <c r="C147" s="1" t="s">
        <v>242</v>
      </c>
      <c r="D147" t="s">
        <v>594</v>
      </c>
      <c r="E147" s="1" t="str">
        <f>'Census 2011_17'!B$131</f>
        <v>High Income</v>
      </c>
      <c r="F147" t="s">
        <v>14</v>
      </c>
      <c r="G147" s="509"/>
      <c r="H147" s="115">
        <v>3477936.5174180027</v>
      </c>
      <c r="I147" s="458">
        <f t="shared" ref="I147:I152" si="23">IFERROR(IF(B147="paraffin",L147*G$48,IF(B147="electricity",L147*F$48,IF(B147="coal",L147*J$48,IF(B147="Gas",L147*H$48,IF(B147="wood",L147*I$48,L147))))),"")</f>
        <v>40.014768265495256</v>
      </c>
      <c r="J147" s="458"/>
      <c r="K147" s="458">
        <v>11.50531876159774</v>
      </c>
      <c r="L147" s="115">
        <f>IFERROR(K147*H147/10^6,0)</f>
        <v>40.014768265495256</v>
      </c>
    </row>
    <row r="148" spans="1:30" outlineLevel="2">
      <c r="A148" s="70" t="str">
        <f t="shared" si="20"/>
        <v/>
      </c>
      <c r="B148" s="266" t="s">
        <v>17</v>
      </c>
      <c r="C148" s="1" t="s">
        <v>244</v>
      </c>
      <c r="D148" s="1" t="s">
        <v>269</v>
      </c>
      <c r="E148" s="1" t="str">
        <f>'Census 2011_17'!B$131</f>
        <v>High Income</v>
      </c>
      <c r="F148" t="s">
        <v>14</v>
      </c>
      <c r="G148" s="509">
        <v>12.291833097625108</v>
      </c>
      <c r="H148" s="115">
        <f>SUMIFS('Census 2011_17'!$O$111:$O$238,'Census 2011_17'!$A$111:$A$238,Energy_Balance!F148,'Census 2011_17'!$B$111:$B$238,Energy_Balance!E148,'Census 2011_17'!$C$111:$C$238,Energy_Balance!B148)</f>
        <v>131568.21435853455</v>
      </c>
      <c r="I148" s="458">
        <f t="shared" si="23"/>
        <v>0.73130528784479287</v>
      </c>
      <c r="J148" s="458"/>
      <c r="K148" s="458"/>
      <c r="L148" s="115">
        <f>IFERROR(G148*H148/10^6,0)</f>
        <v>1.6172145318476701</v>
      </c>
    </row>
    <row r="149" spans="1:30" outlineLevel="2">
      <c r="A149" s="70" t="str">
        <f t="shared" si="20"/>
        <v/>
      </c>
      <c r="B149" s="266" t="s">
        <v>43</v>
      </c>
      <c r="C149" s="1" t="s">
        <v>243</v>
      </c>
      <c r="D149" s="1" t="s">
        <v>269</v>
      </c>
      <c r="E149" s="1" t="str">
        <f>'Census 2011_17'!B$131</f>
        <v>High Income</v>
      </c>
      <c r="F149" t="s">
        <v>14</v>
      </c>
      <c r="G149" s="509">
        <v>11.15595413150794</v>
      </c>
      <c r="H149" s="115">
        <f>SUMIFS('Census 2011_17'!$O$111:$O$238,'Census 2011_17'!$A$111:$A$238,Energy_Balance!F149,'Census 2011_17'!$B$111:$B$238,Energy_Balance!E149,'Census 2011_17'!$C$111:$C$238,Energy_Balance!B149)</f>
        <v>380280.16356051847</v>
      </c>
      <c r="I149" s="458">
        <f t="shared" si="23"/>
        <v>8.0448373228042644</v>
      </c>
      <c r="J149" s="458"/>
      <c r="K149" s="458">
        <f>G149</f>
        <v>11.15595413150794</v>
      </c>
      <c r="L149" s="115">
        <f>IFERROR(K149*H149/10^6,0)</f>
        <v>4.2423880618034815</v>
      </c>
    </row>
    <row r="150" spans="1:30" outlineLevel="2">
      <c r="A150" s="70" t="str">
        <f t="shared" si="20"/>
        <v/>
      </c>
      <c r="B150" s="266" t="s">
        <v>7</v>
      </c>
      <c r="C150" s="1" t="s">
        <v>245</v>
      </c>
      <c r="D150" s="1" t="s">
        <v>269</v>
      </c>
      <c r="E150" s="1" t="str">
        <f>'Census 2011_17'!B$131</f>
        <v>High Income</v>
      </c>
      <c r="F150" t="s">
        <v>14</v>
      </c>
      <c r="G150" s="509">
        <v>18.271643793767051</v>
      </c>
      <c r="H150" s="115">
        <f>SUMIFS('Census 2011_17'!$O$111:$O$238,'Census 2011_17'!$A$111:$A$238,Energy_Balance!F150,'Census 2011_17'!$B$111:$B$238,Energy_Balance!E150,'Census 2011_17'!$C$111:$C$238,Energy_Balance!B150)</f>
        <v>106113.53708848105</v>
      </c>
      <c r="I150" s="458">
        <f t="shared" si="23"/>
        <v>1.1928659498339771</v>
      </c>
      <c r="J150" s="458"/>
      <c r="K150" s="458"/>
      <c r="L150" s="115">
        <f>IFERROR(G150*H150/10^6,0)</f>
        <v>1.9388687513774148</v>
      </c>
    </row>
    <row r="151" spans="1:30" outlineLevel="2">
      <c r="A151" s="70" t="str">
        <f t="shared" si="20"/>
        <v/>
      </c>
      <c r="B151" s="267" t="s">
        <v>9</v>
      </c>
      <c r="C151" s="1" t="s">
        <v>246</v>
      </c>
      <c r="D151" s="1" t="s">
        <v>269</v>
      </c>
      <c r="E151" s="1" t="str">
        <f>'Census 2011_17'!B$131</f>
        <v>High Income</v>
      </c>
      <c r="F151" t="s">
        <v>14</v>
      </c>
      <c r="G151" s="509">
        <v>14.617315035013641</v>
      </c>
      <c r="H151" s="115">
        <f>SUMIFS('Census 2011_17'!$O$111:$O$238,'Census 2011_17'!$A$111:$A$238,Energy_Balance!F151,'Census 2011_17'!$B$111:$B$238,Energy_Balance!E151,'Census 2011_17'!$C$111:$C$238,Energy_Balance!B151)</f>
        <v>6939.9553908544667</v>
      </c>
      <c r="I151" s="458">
        <f t="shared" si="23"/>
        <v>0.23736838566694082</v>
      </c>
      <c r="J151" s="458"/>
      <c r="K151" s="458"/>
      <c r="L151" s="115">
        <f>IFERROR(G151*H151/10^6,0)</f>
        <v>0.10144351427706097</v>
      </c>
    </row>
    <row r="152" spans="1:30" outlineLevel="2">
      <c r="A152" s="70" t="str">
        <f t="shared" si="20"/>
        <v/>
      </c>
      <c r="B152" s="266" t="s">
        <v>171</v>
      </c>
      <c r="C152" s="1" t="s">
        <v>173</v>
      </c>
      <c r="D152" s="1" t="s">
        <v>269</v>
      </c>
      <c r="E152" s="1" t="str">
        <f>'Census 2011_17'!B$131</f>
        <v>High Income</v>
      </c>
      <c r="F152" t="s">
        <v>14</v>
      </c>
      <c r="G152" s="509" t="s">
        <v>57</v>
      </c>
      <c r="H152" s="115">
        <f>SUMIFS('Census 2011_17'!$O$111:$O$238,'Census 2011_17'!$A$111:$A$238,Energy_Balance!F152,'Census 2011_17'!$B$111:$B$238,Energy_Balance!E152,'Census 2011_17'!$C$111:$C$238,Energy_Balance!B152)</f>
        <v>0</v>
      </c>
      <c r="I152" s="458">
        <f t="shared" si="23"/>
        <v>0</v>
      </c>
      <c r="J152" s="458"/>
      <c r="K152" s="458"/>
      <c r="L152" s="115">
        <f>IFERROR(G152*H152/10^6,0)</f>
        <v>0</v>
      </c>
    </row>
    <row r="153" spans="1:30" outlineLevel="2">
      <c r="A153" s="70" t="str">
        <f t="shared" si="20"/>
        <v/>
      </c>
      <c r="B153" s="266"/>
      <c r="C153" s="1"/>
      <c r="D153" s="1"/>
      <c r="E153" s="5" t="s">
        <v>25</v>
      </c>
      <c r="F153" s="5" t="s">
        <v>462</v>
      </c>
      <c r="G153" s="510" t="s">
        <v>57</v>
      </c>
      <c r="H153" s="279">
        <f>SUM(H147:H152)</f>
        <v>4102838.3878163914</v>
      </c>
      <c r="I153" s="457"/>
      <c r="J153" s="457"/>
      <c r="K153" s="457"/>
      <c r="L153" s="279"/>
    </row>
    <row r="154" spans="1:30">
      <c r="A154" s="70" t="str">
        <f t="shared" si="20"/>
        <v>*</v>
      </c>
      <c r="B154" s="265" t="s">
        <v>422</v>
      </c>
      <c r="C154" s="69"/>
      <c r="D154" s="69"/>
      <c r="G154" s="509" t="s">
        <v>57</v>
      </c>
      <c r="H154" s="115"/>
      <c r="I154" s="458"/>
      <c r="J154" s="458"/>
      <c r="K154" s="458"/>
      <c r="L154" s="115"/>
    </row>
    <row r="155" spans="1:30" outlineLevel="3">
      <c r="A155" s="70" t="str">
        <f t="shared" ref="A155:A160" si="24">IF(LEFT(B155,1)="\","*","")</f>
        <v/>
      </c>
      <c r="B155" s="266" t="s">
        <v>42</v>
      </c>
      <c r="C155" s="1" t="s">
        <v>242</v>
      </c>
      <c r="D155" s="1" t="s">
        <v>270</v>
      </c>
      <c r="E155" s="1" t="str">
        <f>'Census 2011_17'!B$131</f>
        <v>High Income</v>
      </c>
      <c r="F155" t="s">
        <v>15</v>
      </c>
      <c r="G155" s="509"/>
      <c r="H155" s="115">
        <f>'Census 2011_17'!H5</f>
        <v>4176066.0172229088</v>
      </c>
      <c r="I155" s="458">
        <f>IFERROR(IF(B155="paraffin",L155*G$48,IF(B155="electricity",L155*F$48,IF(B155="coal",L155*J$48,IF(B155="Gas",L155*H$48,IF(B155="wood",L155*I$48,L155))))),"")</f>
        <v>14.210045674774101</v>
      </c>
      <c r="J155" s="458"/>
      <c r="K155" s="458">
        <v>3.4027349223333894</v>
      </c>
      <c r="L155" s="115">
        <f>IFERROR(K155*H155/10^6,0)</f>
        <v>14.210045674774101</v>
      </c>
    </row>
    <row r="156" spans="1:30" outlineLevel="3">
      <c r="A156" s="70" t="str">
        <f t="shared" si="24"/>
        <v/>
      </c>
      <c r="B156" s="267"/>
      <c r="C156" s="1"/>
      <c r="D156" s="1"/>
      <c r="E156" s="1"/>
      <c r="F156" s="1"/>
      <c r="G156" s="509" t="s">
        <v>57</v>
      </c>
      <c r="H156" s="115"/>
      <c r="I156" s="458"/>
      <c r="J156" s="458"/>
      <c r="K156" s="458"/>
      <c r="L156" s="115"/>
    </row>
    <row r="157" spans="1:30">
      <c r="A157" s="70" t="str">
        <f t="shared" si="24"/>
        <v>*</v>
      </c>
      <c r="B157" s="265" t="s">
        <v>123</v>
      </c>
      <c r="C157" s="69"/>
      <c r="D157" s="69"/>
      <c r="E157" s="1"/>
      <c r="F157" s="69"/>
      <c r="G157" s="509" t="s">
        <v>57</v>
      </c>
      <c r="H157" s="115"/>
      <c r="I157" s="458"/>
      <c r="J157" s="458"/>
      <c r="K157" s="458"/>
      <c r="L157" s="115"/>
    </row>
    <row r="158" spans="1:30" outlineLevel="3">
      <c r="A158" s="70" t="str">
        <f t="shared" si="24"/>
        <v/>
      </c>
      <c r="B158" s="266" t="s">
        <v>42</v>
      </c>
      <c r="C158" s="1" t="s">
        <v>242</v>
      </c>
      <c r="D158" s="1" t="s">
        <v>271</v>
      </c>
      <c r="E158" s="1" t="str">
        <f>'Census 2011_17'!B$131</f>
        <v>High Income</v>
      </c>
      <c r="F158" t="s">
        <v>41</v>
      </c>
      <c r="G158" s="509"/>
      <c r="H158" s="143">
        <f>H155</f>
        <v>4176066.0172229088</v>
      </c>
      <c r="I158" s="458">
        <f>IFERROR(IF(B158="paraffin",L158*G$48,IF(B158="electricity",L158*F$48,IF(B158="coal",L158*J$48,IF(B158="Gas",L158*H$48,IF(B158="wood",L158*I$48,L158))))),"")</f>
        <v>18.463295099783466</v>
      </c>
      <c r="J158" s="458"/>
      <c r="K158" s="458">
        <v>4.4212172469585598</v>
      </c>
      <c r="L158" s="115">
        <f>IFERROR(K158*H158/10^6,0)</f>
        <v>18.463295099783466</v>
      </c>
      <c r="AD158" s="1"/>
    </row>
    <row r="159" spans="1:30" outlineLevel="3">
      <c r="A159" s="70" t="str">
        <f t="shared" si="24"/>
        <v/>
      </c>
      <c r="B159" s="266" t="s">
        <v>17</v>
      </c>
      <c r="C159" s="1" t="s">
        <v>244</v>
      </c>
      <c r="D159" s="1" t="s">
        <v>302</v>
      </c>
      <c r="E159" s="1" t="str">
        <f>'Census 2011_17'!B$131</f>
        <v>High Income</v>
      </c>
      <c r="F159" t="s">
        <v>41</v>
      </c>
      <c r="G159" s="2"/>
      <c r="H159" s="115">
        <v>0</v>
      </c>
      <c r="I159" s="458"/>
      <c r="J159" s="458"/>
      <c r="K159" s="458"/>
      <c r="L159" s="115">
        <f>IFERROR(G159*H159/10^6,0)</f>
        <v>0</v>
      </c>
    </row>
    <row r="160" spans="1:30" outlineLevel="3">
      <c r="A160" s="70" t="str">
        <f t="shared" si="24"/>
        <v/>
      </c>
      <c r="C160" s="1"/>
      <c r="D160" s="1"/>
      <c r="E160" s="5" t="s">
        <v>25</v>
      </c>
      <c r="F160" s="5" t="s">
        <v>463</v>
      </c>
      <c r="G160" s="279"/>
      <c r="H160" s="279">
        <f>SUM(H158:H159)</f>
        <v>4176066.0172229088</v>
      </c>
      <c r="I160" s="457"/>
      <c r="J160" s="457"/>
      <c r="K160" s="457"/>
      <c r="L160" s="279"/>
      <c r="M160" s="279"/>
      <c r="N160" s="279"/>
      <c r="O160" s="279"/>
      <c r="P160" s="279"/>
      <c r="Q160" s="279"/>
      <c r="R160" s="279"/>
      <c r="S160" s="279"/>
      <c r="T160" s="279"/>
      <c r="U160" s="279"/>
      <c r="V160" s="279"/>
      <c r="W160" s="279"/>
      <c r="X160" s="279"/>
      <c r="Y160" s="279"/>
      <c r="Z160" s="279"/>
      <c r="AA160" s="279"/>
      <c r="AB160" s="279"/>
      <c r="AC160" s="279"/>
    </row>
    <row r="171" spans="2:11">
      <c r="E171" t="s">
        <v>49</v>
      </c>
    </row>
    <row r="172" spans="2:11">
      <c r="F172" s="5" t="s">
        <v>42</v>
      </c>
      <c r="G172" s="5" t="s">
        <v>17</v>
      </c>
      <c r="H172" s="5" t="s">
        <v>43</v>
      </c>
      <c r="I172" s="5" t="s">
        <v>7</v>
      </c>
      <c r="J172" s="5" t="s">
        <v>9</v>
      </c>
      <c r="K172" s="5" t="s">
        <v>171</v>
      </c>
    </row>
    <row r="173" spans="2:11">
      <c r="B173" t="s">
        <v>78</v>
      </c>
      <c r="E173" t="s">
        <v>29</v>
      </c>
      <c r="F173" s="3">
        <f>SUMIF($D$15:$D$37,$B173,F$15:F$37)</f>
        <v>35.983116263248547</v>
      </c>
      <c r="G173" s="3">
        <f t="shared" ref="G173:K175" ca="1" si="25">SUMIF($D$15:$D$37,$B173,G$15:G$36)</f>
        <v>5.0246378458959651</v>
      </c>
      <c r="H173" s="3">
        <f t="shared" ca="1" si="25"/>
        <v>1.7204189947617428</v>
      </c>
      <c r="I173" s="3">
        <f t="shared" ca="1" si="25"/>
        <v>53.117810314952692</v>
      </c>
      <c r="J173" s="3">
        <f t="shared" ca="1" si="25"/>
        <v>6.3294044550059487</v>
      </c>
      <c r="K173">
        <f t="shared" ca="1" si="25"/>
        <v>0</v>
      </c>
    </row>
    <row r="174" spans="2:11">
      <c r="B174" t="s">
        <v>468</v>
      </c>
      <c r="E174" t="s">
        <v>30</v>
      </c>
      <c r="F174" s="3">
        <f>SUMIF($D$15:$D$37,$B174,F$15:F$37)</f>
        <v>49.231297395335616</v>
      </c>
      <c r="G174" s="3">
        <f t="shared" ca="1" si="25"/>
        <v>3.7660069496044488</v>
      </c>
      <c r="H174" s="3">
        <f t="shared" ca="1" si="25"/>
        <v>3.5982865761612071</v>
      </c>
      <c r="I174" s="3">
        <f t="shared" ca="1" si="25"/>
        <v>28.217556170523448</v>
      </c>
      <c r="J174" s="3">
        <f t="shared" ca="1" si="25"/>
        <v>7.8123053469095201</v>
      </c>
      <c r="K174">
        <f t="shared" ca="1" si="25"/>
        <v>0</v>
      </c>
    </row>
    <row r="175" spans="2:11">
      <c r="B175" t="s">
        <v>79</v>
      </c>
      <c r="E175" t="s">
        <v>31</v>
      </c>
      <c r="F175" s="3">
        <f>SUMIF($D$15:$D$37,$B175,F$15:F$37)</f>
        <v>91.94934643357098</v>
      </c>
      <c r="G175" s="3">
        <f t="shared" ca="1" si="25"/>
        <v>0.84935520449958768</v>
      </c>
      <c r="H175" s="3">
        <f t="shared" ca="1" si="25"/>
        <v>12.651294429077049</v>
      </c>
      <c r="I175" s="3">
        <f t="shared" ca="1" si="25"/>
        <v>2.4316335145238588</v>
      </c>
      <c r="J175" s="3">
        <f t="shared" ca="1" si="25"/>
        <v>1.4752901980845374</v>
      </c>
      <c r="K175">
        <f t="shared" ca="1" si="25"/>
        <v>0</v>
      </c>
    </row>
    <row r="176" spans="2:11">
      <c r="E176" s="1" t="s">
        <v>27</v>
      </c>
      <c r="F176" s="3">
        <f t="shared" ref="F176:K176" si="26">SUM(F173:F175)</f>
        <v>177.16376009215514</v>
      </c>
      <c r="G176" s="3">
        <f t="shared" ca="1" si="26"/>
        <v>9.6400000000000023</v>
      </c>
      <c r="H176" s="3">
        <f t="shared" ca="1" si="26"/>
        <v>17.97</v>
      </c>
      <c r="I176" s="3">
        <f t="shared" ca="1" si="26"/>
        <v>83.766999999999996</v>
      </c>
      <c r="J176" s="3">
        <f t="shared" ca="1" si="26"/>
        <v>15.617000000000004</v>
      </c>
      <c r="K176">
        <f t="shared" ca="1" si="26"/>
        <v>0</v>
      </c>
    </row>
    <row r="178" spans="2:2">
      <c r="B178" t="s">
        <v>877</v>
      </c>
    </row>
    <row r="197" spans="2:2">
      <c r="B197" s="1"/>
    </row>
  </sheetData>
  <mergeCells count="1">
    <mergeCell ref="B1:B2"/>
  </mergeCells>
  <pageMargins left="0.7" right="0.7" top="0.75" bottom="0.75" header="0.3" footer="0.3"/>
  <pageSetup paperSize="9"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
    <tabColor rgb="FF00B050"/>
  </sheetPr>
  <dimension ref="A1:EME193"/>
  <sheetViews>
    <sheetView tabSelected="1" topLeftCell="A107" zoomScaleNormal="100" workbookViewId="0">
      <selection activeCell="A135" sqref="A135"/>
    </sheetView>
  </sheetViews>
  <sheetFormatPr defaultColWidth="8.8203125" defaultRowHeight="12.7" outlineLevelRow="2" outlineLevelCol="1"/>
  <cols>
    <col min="1" max="1" width="54" customWidth="1"/>
    <col min="2" max="2" width="16.64453125" customWidth="1"/>
    <col min="3" max="3" width="11.46875" customWidth="1"/>
    <col min="4" max="4" width="8.46875" customWidth="1"/>
    <col min="5" max="5" width="7.3515625" customWidth="1"/>
    <col min="6" max="6" width="7" customWidth="1"/>
    <col min="7" max="7" width="9" customWidth="1"/>
    <col min="8" max="8" width="9.46875" customWidth="1"/>
    <col min="9" max="9" width="8.3515625" customWidth="1"/>
    <col min="10" max="10" width="9" customWidth="1"/>
    <col min="11" max="11" width="12.3515625" customWidth="1"/>
    <col min="12" max="12" width="11.3515625" customWidth="1"/>
    <col min="13" max="13" width="10.64453125" customWidth="1"/>
    <col min="14" max="15" width="11.3515625" customWidth="1"/>
    <col min="16" max="19" width="9.8203125" customWidth="1"/>
    <col min="20" max="20" width="5.46875" customWidth="1"/>
    <col min="21" max="21" width="17.46875" customWidth="1"/>
    <col min="22" max="22" width="13.46875" customWidth="1"/>
    <col min="23" max="23" width="8.64453125" style="3" customWidth="1"/>
    <col min="24" max="24" width="8.64453125" customWidth="1"/>
    <col min="25" max="27" width="7.8203125" customWidth="1"/>
    <col min="28" max="28" width="7.64453125" customWidth="1"/>
    <col min="29" max="29" width="7.8203125" customWidth="1"/>
    <col min="30" max="30" width="8.46875" customWidth="1"/>
    <col min="31" max="31" width="12.3515625" customWidth="1"/>
    <col min="32" max="32" width="8.64453125" customWidth="1"/>
    <col min="33" max="33" width="6.64453125" customWidth="1"/>
    <col min="34" max="34" width="7.8203125" customWidth="1"/>
    <col min="35" max="35" width="6.46875" customWidth="1"/>
    <col min="36" max="36" width="7.8203125" customWidth="1"/>
    <col min="37" max="37" width="6.64453125" customWidth="1"/>
    <col min="38" max="38" width="7.8203125" customWidth="1"/>
    <col min="39" max="39" width="7.17578125" customWidth="1"/>
    <col min="40" max="40" width="7.8203125" customWidth="1"/>
    <col min="41" max="43" width="12.46875" customWidth="1"/>
    <col min="44" max="44" width="11.17578125" customWidth="1"/>
    <col min="45" max="60" width="10" customWidth="1" outlineLevel="1"/>
    <col min="61" max="61" width="10.17578125" customWidth="1"/>
    <col min="62" max="63" width="7.64453125" customWidth="1" outlineLevel="1"/>
    <col min="64" max="64" width="4.64453125" customWidth="1" outlineLevel="1"/>
    <col min="65" max="67" width="10.64453125" customWidth="1" outlineLevel="1"/>
    <col min="68" max="68" width="10.8203125" customWidth="1" outlineLevel="1"/>
    <col min="69" max="72" width="7.64453125" customWidth="1" outlineLevel="1"/>
    <col min="73" max="73" width="7.46875" customWidth="1" outlineLevel="1"/>
    <col min="74" max="74" width="13.17578125" customWidth="1" outlineLevel="1"/>
    <col min="75" max="75" width="7.64453125" customWidth="1" outlineLevel="1"/>
    <col min="76" max="76" width="7" customWidth="1"/>
    <col min="77" max="77" width="9.17578125" customWidth="1"/>
    <col min="78" max="78" width="10" customWidth="1"/>
    <col min="79" max="79" width="6" customWidth="1"/>
    <col min="80" max="80" width="10" customWidth="1"/>
    <col min="81" max="81" width="11.8203125" customWidth="1"/>
    <col min="82" max="96" width="10" customWidth="1"/>
  </cols>
  <sheetData>
    <row r="1" spans="1:210">
      <c r="A1" s="120" t="s">
        <v>74</v>
      </c>
      <c r="B1" s="20" t="s">
        <v>75</v>
      </c>
      <c r="C1" s="20"/>
      <c r="D1" s="20"/>
      <c r="E1" s="20"/>
      <c r="F1" s="241"/>
      <c r="G1" s="241"/>
      <c r="H1" s="120"/>
      <c r="I1" s="20"/>
      <c r="J1" s="120">
        <v>10</v>
      </c>
      <c r="K1" s="21">
        <v>11</v>
      </c>
      <c r="L1" s="120">
        <v>12</v>
      </c>
      <c r="M1" s="21">
        <v>13</v>
      </c>
      <c r="N1" s="120">
        <v>14</v>
      </c>
      <c r="O1" s="21">
        <v>15</v>
      </c>
      <c r="P1" s="21"/>
      <c r="Q1" s="21"/>
      <c r="R1" s="21"/>
      <c r="S1" s="21"/>
      <c r="T1" s="21"/>
      <c r="U1" s="272">
        <v>16</v>
      </c>
      <c r="V1" s="120"/>
      <c r="W1" s="120">
        <v>18</v>
      </c>
      <c r="X1" s="120">
        <v>18</v>
      </c>
      <c r="Y1" s="21">
        <v>19</v>
      </c>
      <c r="Z1" s="120">
        <v>18</v>
      </c>
      <c r="AA1" s="120">
        <v>20</v>
      </c>
      <c r="AB1" s="120">
        <v>18</v>
      </c>
      <c r="AC1" s="21">
        <v>21</v>
      </c>
      <c r="AD1" s="120">
        <v>22</v>
      </c>
      <c r="AE1" s="120"/>
      <c r="AF1" s="21">
        <v>25</v>
      </c>
      <c r="AG1" s="120">
        <v>18</v>
      </c>
      <c r="AH1" s="120">
        <v>26</v>
      </c>
      <c r="AI1" s="120">
        <v>18</v>
      </c>
      <c r="AJ1" s="21">
        <v>27</v>
      </c>
      <c r="AK1" s="120">
        <v>18</v>
      </c>
      <c r="AL1" s="120">
        <v>28</v>
      </c>
      <c r="AM1" s="21">
        <v>29</v>
      </c>
      <c r="AN1" s="21"/>
      <c r="AO1" s="120">
        <v>30</v>
      </c>
      <c r="AP1" s="21">
        <v>31</v>
      </c>
      <c r="AQ1" s="21"/>
      <c r="AR1" s="120">
        <v>32</v>
      </c>
      <c r="AS1" s="21">
        <v>33</v>
      </c>
      <c r="AT1" s="120">
        <v>34</v>
      </c>
      <c r="AU1" s="21">
        <v>35</v>
      </c>
      <c r="AV1" s="120">
        <v>36</v>
      </c>
      <c r="AW1" s="21">
        <v>37</v>
      </c>
      <c r="AX1" s="120">
        <v>38</v>
      </c>
      <c r="AY1" s="120"/>
      <c r="AZ1" s="21">
        <v>39</v>
      </c>
      <c r="BA1" s="120">
        <v>40</v>
      </c>
      <c r="BB1" s="21">
        <v>41</v>
      </c>
      <c r="BC1" s="120">
        <v>42</v>
      </c>
      <c r="BD1" s="21">
        <v>43</v>
      </c>
      <c r="BE1" s="21"/>
      <c r="BF1" s="21"/>
      <c r="BG1" s="21"/>
      <c r="BH1" s="21"/>
      <c r="BI1" s="21"/>
      <c r="BJ1" s="21"/>
      <c r="BK1" s="21"/>
      <c r="BL1" s="21"/>
      <c r="BM1" s="21"/>
      <c r="BN1" s="21"/>
      <c r="BO1" s="21"/>
      <c r="BP1" s="21"/>
      <c r="BQ1" s="21"/>
      <c r="BR1" s="21"/>
      <c r="CG1" s="21">
        <v>89</v>
      </c>
      <c r="CH1" s="120">
        <v>90</v>
      </c>
      <c r="CI1" s="21">
        <v>91</v>
      </c>
      <c r="CJ1" s="120">
        <v>92</v>
      </c>
      <c r="CK1" s="21">
        <v>93</v>
      </c>
      <c r="CL1" s="21">
        <v>89</v>
      </c>
      <c r="CM1" s="120">
        <v>90</v>
      </c>
      <c r="CN1" s="21">
        <v>91</v>
      </c>
      <c r="CO1" s="120">
        <v>92</v>
      </c>
      <c r="CP1" s="120">
        <v>98</v>
      </c>
      <c r="CQ1" s="21">
        <v>99</v>
      </c>
      <c r="CR1" s="120">
        <v>100</v>
      </c>
      <c r="CS1" s="21">
        <v>101</v>
      </c>
      <c r="CT1" s="120">
        <v>102</v>
      </c>
      <c r="CU1" s="21">
        <v>103</v>
      </c>
      <c r="CV1" s="120">
        <v>104</v>
      </c>
      <c r="CW1" s="21">
        <v>105</v>
      </c>
      <c r="CX1" s="120">
        <v>106</v>
      </c>
      <c r="CY1" s="21">
        <v>107</v>
      </c>
      <c r="CZ1" s="120">
        <v>108</v>
      </c>
      <c r="DA1" s="21">
        <v>109</v>
      </c>
      <c r="DB1" s="120">
        <v>110</v>
      </c>
      <c r="DC1" s="21">
        <v>111</v>
      </c>
      <c r="DD1" s="120">
        <v>112</v>
      </c>
      <c r="DE1" s="21">
        <v>113</v>
      </c>
      <c r="DF1" s="120">
        <v>114</v>
      </c>
      <c r="DG1" s="21">
        <v>115</v>
      </c>
      <c r="DH1" s="120">
        <v>116</v>
      </c>
      <c r="DI1" s="21">
        <v>117</v>
      </c>
      <c r="DJ1" s="120">
        <v>118</v>
      </c>
      <c r="DK1" s="21">
        <v>119</v>
      </c>
      <c r="DL1" s="120">
        <v>120</v>
      </c>
      <c r="DM1" s="21">
        <v>121</v>
      </c>
      <c r="DN1" s="120">
        <v>122</v>
      </c>
      <c r="DO1" s="21">
        <v>123</v>
      </c>
      <c r="DP1" s="120">
        <v>124</v>
      </c>
      <c r="DQ1" s="21">
        <v>125</v>
      </c>
      <c r="DR1" s="120">
        <v>126</v>
      </c>
      <c r="DS1" s="21">
        <v>127</v>
      </c>
      <c r="DT1" s="120">
        <v>128</v>
      </c>
      <c r="DU1" s="21">
        <v>129</v>
      </c>
      <c r="DV1" s="120">
        <v>130</v>
      </c>
      <c r="DW1" s="21">
        <v>131</v>
      </c>
      <c r="DX1" s="120">
        <v>132</v>
      </c>
      <c r="DY1" s="21">
        <v>133</v>
      </c>
      <c r="DZ1" s="120">
        <v>134</v>
      </c>
      <c r="EA1" s="21">
        <v>135</v>
      </c>
      <c r="EB1" s="120">
        <v>136</v>
      </c>
      <c r="EC1" s="21">
        <v>137</v>
      </c>
      <c r="ED1" s="120">
        <v>138</v>
      </c>
      <c r="EE1" s="21">
        <v>139</v>
      </c>
      <c r="EF1" s="120">
        <v>140</v>
      </c>
      <c r="EG1" s="21">
        <v>141</v>
      </c>
      <c r="EH1" s="120">
        <v>142</v>
      </c>
      <c r="EI1" s="21">
        <v>143</v>
      </c>
      <c r="EJ1" s="120">
        <v>144</v>
      </c>
      <c r="EK1" s="21">
        <v>145</v>
      </c>
      <c r="EL1" s="120">
        <v>146</v>
      </c>
      <c r="EM1" s="21">
        <v>147</v>
      </c>
      <c r="EN1" s="120">
        <v>148</v>
      </c>
      <c r="EO1" s="21">
        <v>149</v>
      </c>
      <c r="EP1" s="120">
        <v>150</v>
      </c>
      <c r="EQ1" s="21">
        <v>151</v>
      </c>
      <c r="ER1" s="120">
        <v>152</v>
      </c>
      <c r="ES1" s="21">
        <v>153</v>
      </c>
      <c r="ET1" s="120">
        <v>154</v>
      </c>
      <c r="EU1" s="21">
        <v>155</v>
      </c>
      <c r="EV1" s="120">
        <v>156</v>
      </c>
      <c r="EW1" s="21">
        <v>157</v>
      </c>
      <c r="EX1" s="120">
        <v>158</v>
      </c>
      <c r="EY1" s="21">
        <v>159</v>
      </c>
      <c r="EZ1" s="120">
        <v>160</v>
      </c>
      <c r="FA1" s="21">
        <v>161</v>
      </c>
      <c r="FB1" s="120">
        <v>162</v>
      </c>
      <c r="FC1" s="21">
        <v>163</v>
      </c>
      <c r="FD1" s="120">
        <v>164</v>
      </c>
      <c r="FE1" s="21">
        <v>165</v>
      </c>
      <c r="FF1" s="120">
        <v>166</v>
      </c>
      <c r="FG1" s="21">
        <v>167</v>
      </c>
      <c r="FH1" s="120">
        <v>168</v>
      </c>
      <c r="FI1" s="21">
        <v>169</v>
      </c>
      <c r="FJ1" s="120">
        <v>170</v>
      </c>
      <c r="FK1" s="21">
        <v>171</v>
      </c>
      <c r="FL1" s="120">
        <v>172</v>
      </c>
      <c r="FM1" s="21">
        <v>173</v>
      </c>
      <c r="FN1" s="120">
        <v>174</v>
      </c>
      <c r="FO1" s="21">
        <v>175</v>
      </c>
      <c r="FP1" s="120">
        <v>176</v>
      </c>
      <c r="FQ1" s="21">
        <v>177</v>
      </c>
      <c r="FR1" s="120">
        <v>178</v>
      </c>
      <c r="FS1" s="21">
        <v>179</v>
      </c>
      <c r="FT1" s="120">
        <v>180</v>
      </c>
      <c r="FU1" s="21">
        <v>181</v>
      </c>
      <c r="FV1" s="120">
        <v>182</v>
      </c>
      <c r="FW1" s="21">
        <v>183</v>
      </c>
      <c r="FX1" s="120">
        <v>184</v>
      </c>
      <c r="FY1" s="21">
        <v>185</v>
      </c>
      <c r="FZ1" s="120">
        <v>186</v>
      </c>
      <c r="GA1" s="21">
        <v>187</v>
      </c>
      <c r="GB1" s="120">
        <v>188</v>
      </c>
      <c r="GC1" s="21">
        <v>189</v>
      </c>
      <c r="GD1" s="120">
        <v>190</v>
      </c>
      <c r="GE1" s="21">
        <v>191</v>
      </c>
      <c r="GF1" s="120">
        <v>192</v>
      </c>
      <c r="GG1" s="21">
        <v>193</v>
      </c>
      <c r="GH1" s="120">
        <v>194</v>
      </c>
      <c r="GI1" s="21">
        <v>195</v>
      </c>
      <c r="GJ1" s="120">
        <v>196</v>
      </c>
      <c r="GK1" s="21">
        <v>197</v>
      </c>
      <c r="GL1" s="120">
        <v>198</v>
      </c>
      <c r="GM1" s="21">
        <v>199</v>
      </c>
      <c r="GN1" s="120">
        <v>200</v>
      </c>
      <c r="GO1" s="21">
        <v>201</v>
      </c>
      <c r="GP1" s="120">
        <v>202</v>
      </c>
      <c r="GQ1" s="21">
        <v>203</v>
      </c>
      <c r="GR1" s="120">
        <v>204</v>
      </c>
      <c r="GS1" s="21">
        <v>205</v>
      </c>
      <c r="GT1" s="120">
        <v>206</v>
      </c>
      <c r="GU1" s="21">
        <v>207</v>
      </c>
      <c r="GV1" s="120">
        <v>208</v>
      </c>
      <c r="GW1" s="21">
        <v>209</v>
      </c>
      <c r="GX1" s="120">
        <v>210</v>
      </c>
      <c r="GY1" s="21">
        <v>211</v>
      </c>
      <c r="GZ1" s="120">
        <v>212</v>
      </c>
      <c r="HA1" s="21">
        <v>213</v>
      </c>
      <c r="HB1" s="120">
        <v>214</v>
      </c>
    </row>
    <row r="2" spans="1:210">
      <c r="A2" s="541" t="s">
        <v>950</v>
      </c>
      <c r="B2" s="243"/>
      <c r="C2" s="246"/>
      <c r="D2" s="246"/>
      <c r="E2" s="246"/>
      <c r="F2" s="246"/>
      <c r="G2" s="246"/>
      <c r="U2" s="3"/>
      <c r="W2"/>
    </row>
    <row r="3" spans="1:210">
      <c r="A3" s="541" t="s">
        <v>951</v>
      </c>
      <c r="B3" s="243"/>
      <c r="C3" s="244"/>
      <c r="D3" s="245"/>
      <c r="E3" s="245"/>
      <c r="F3" s="245"/>
      <c r="G3" s="244"/>
      <c r="H3" s="21">
        <v>0</v>
      </c>
      <c r="U3" s="3"/>
      <c r="W3"/>
    </row>
    <row r="4" spans="1:210">
      <c r="C4" s="121"/>
      <c r="D4" s="121"/>
      <c r="E4" s="121"/>
      <c r="F4" s="121"/>
      <c r="G4" s="33"/>
      <c r="H4" s="121"/>
      <c r="I4" s="121"/>
      <c r="J4" s="121"/>
      <c r="K4" s="33"/>
      <c r="L4" s="121"/>
      <c r="M4" s="121"/>
      <c r="N4" s="121"/>
      <c r="O4" s="121"/>
      <c r="P4" s="121"/>
      <c r="Q4" s="121"/>
      <c r="R4" s="121"/>
      <c r="S4" s="121"/>
      <c r="T4" s="121"/>
      <c r="U4" s="273"/>
      <c r="V4" s="51"/>
      <c r="W4" s="51"/>
      <c r="X4" s="51"/>
      <c r="Y4" s="51"/>
      <c r="Z4" s="51"/>
      <c r="AA4" s="51"/>
      <c r="AB4" s="51"/>
      <c r="AC4" s="51"/>
      <c r="AE4" s="51"/>
      <c r="AG4" s="51"/>
      <c r="AI4" s="51"/>
      <c r="AK4" s="51"/>
    </row>
    <row r="5" spans="1:210" s="183" customFormat="1">
      <c r="A5" s="184"/>
      <c r="B5" s="185"/>
      <c r="C5" s="186"/>
      <c r="D5" s="186"/>
      <c r="E5" s="186"/>
      <c r="F5" s="186"/>
      <c r="G5" s="186"/>
      <c r="H5" s="186"/>
      <c r="I5" s="187"/>
      <c r="J5" s="187"/>
      <c r="K5" s="187"/>
      <c r="L5" s="187"/>
      <c r="M5" s="186"/>
      <c r="N5" s="186"/>
      <c r="O5" s="187"/>
      <c r="P5" s="187"/>
      <c r="Q5" s="187"/>
      <c r="R5" s="187"/>
      <c r="S5" s="187"/>
      <c r="T5" s="187"/>
      <c r="U5" s="275"/>
      <c r="V5" s="188"/>
      <c r="W5" s="188"/>
      <c r="X5" s="188"/>
      <c r="Y5" s="188"/>
      <c r="Z5" s="188"/>
      <c r="AA5" s="188"/>
      <c r="AB5" s="188"/>
      <c r="AC5" s="188"/>
      <c r="AE5" s="188"/>
      <c r="AG5" s="188"/>
      <c r="AI5" s="188"/>
      <c r="AK5" s="188"/>
      <c r="BS5"/>
      <c r="BT5"/>
      <c r="BU5"/>
      <c r="BV5"/>
      <c r="BW5"/>
      <c r="BX5"/>
      <c r="BY5"/>
      <c r="BZ5"/>
      <c r="CA5"/>
      <c r="CB5"/>
      <c r="CC5"/>
      <c r="CD5"/>
      <c r="CE5"/>
      <c r="CF5"/>
    </row>
    <row r="6" spans="1:210">
      <c r="A6" s="33" t="s">
        <v>76</v>
      </c>
      <c r="B6" s="121">
        <v>2017</v>
      </c>
      <c r="C6" s="33"/>
      <c r="D6" s="33"/>
      <c r="E6" s="33"/>
      <c r="F6" s="33"/>
      <c r="G6" s="33"/>
      <c r="H6" s="121"/>
      <c r="I6" s="21"/>
      <c r="J6" s="21"/>
      <c r="K6" s="21"/>
      <c r="L6" s="21"/>
      <c r="M6" s="33"/>
      <c r="N6" s="33"/>
      <c r="O6" s="21"/>
      <c r="P6" s="21"/>
      <c r="Q6" s="21"/>
      <c r="R6" s="21"/>
      <c r="S6" s="21"/>
      <c r="T6" s="21"/>
      <c r="U6" s="274"/>
      <c r="V6" s="1"/>
      <c r="W6" s="1"/>
      <c r="X6" s="1"/>
      <c r="Y6" s="1"/>
      <c r="Z6" s="1"/>
      <c r="AA6" s="1"/>
      <c r="AB6" s="1"/>
      <c r="AC6" s="1"/>
      <c r="AE6" s="1"/>
      <c r="AG6" s="1"/>
      <c r="AI6" s="1"/>
      <c r="AK6" s="1"/>
    </row>
    <row r="7" spans="1:210">
      <c r="A7" s="20"/>
      <c r="B7" s="33"/>
      <c r="C7" s="33" t="s">
        <v>49</v>
      </c>
      <c r="D7" s="33"/>
      <c r="E7" s="33"/>
      <c r="F7" s="33"/>
      <c r="G7" s="33"/>
      <c r="H7" s="121"/>
      <c r="I7" s="523" t="s">
        <v>916</v>
      </c>
      <c r="J7" s="524" t="s">
        <v>917</v>
      </c>
      <c r="K7" s="524" t="s">
        <v>918</v>
      </c>
      <c r="L7" s="21"/>
      <c r="M7" s="33"/>
      <c r="N7" s="33"/>
      <c r="O7" s="21"/>
      <c r="P7" s="21"/>
      <c r="Q7" s="21"/>
      <c r="R7" s="21"/>
      <c r="S7" s="21"/>
      <c r="T7" s="21"/>
      <c r="U7" s="274"/>
      <c r="V7" s="1"/>
      <c r="W7" s="1"/>
      <c r="X7" s="1"/>
      <c r="Y7" s="1"/>
      <c r="Z7" s="1"/>
      <c r="AA7" s="1"/>
      <c r="AB7" s="1"/>
      <c r="AC7" s="1"/>
      <c r="AE7" s="1"/>
      <c r="AG7" s="1"/>
      <c r="AI7" s="1"/>
      <c r="AK7" s="1"/>
    </row>
    <row r="8" spans="1:210">
      <c r="A8" s="20"/>
      <c r="B8" s="33" t="s">
        <v>242</v>
      </c>
      <c r="C8" s="33">
        <f ca="1">OFFSET(Energy_Balance!$E$38,0,RES!$F8)</f>
        <v>177.16376009215514</v>
      </c>
      <c r="D8" s="33"/>
      <c r="E8" s="33"/>
      <c r="F8" s="33">
        <v>1</v>
      </c>
      <c r="G8" s="33"/>
      <c r="H8" s="121" t="s">
        <v>42</v>
      </c>
      <c r="I8" s="521" t="s">
        <v>242</v>
      </c>
      <c r="J8" s="520">
        <f t="shared" ref="J8:J13" si="0">SUMIF($C$39:$C$144,I8,$M$39:$M$144)</f>
        <v>263.38907882232718</v>
      </c>
      <c r="K8" s="522">
        <f>Energy_Balance!F50</f>
        <v>177.16376009215514</v>
      </c>
      <c r="L8" s="21"/>
      <c r="M8" s="33"/>
      <c r="N8" s="33"/>
      <c r="O8" s="21"/>
      <c r="P8" s="21"/>
      <c r="Q8" s="21"/>
      <c r="R8" s="21"/>
      <c r="S8" s="21"/>
      <c r="T8" s="21"/>
      <c r="U8" s="274"/>
      <c r="V8" s="1"/>
      <c r="W8" s="1"/>
      <c r="X8" s="1"/>
      <c r="Y8" s="1"/>
      <c r="Z8" s="1"/>
      <c r="AA8" s="1"/>
      <c r="AB8" s="1"/>
      <c r="AC8" s="1"/>
      <c r="AE8" s="1"/>
      <c r="AG8" s="1"/>
      <c r="AI8" s="1"/>
      <c r="AK8" s="1"/>
    </row>
    <row r="9" spans="1:210">
      <c r="A9" s="20"/>
      <c r="B9" s="33" t="s">
        <v>244</v>
      </c>
      <c r="C9" s="33">
        <f ca="1">OFFSET(Energy_Balance!$E$38,0,RES!$F9)</f>
        <v>9.64</v>
      </c>
      <c r="D9" s="33"/>
      <c r="E9" s="33"/>
      <c r="F9" s="33">
        <v>2</v>
      </c>
      <c r="G9" s="33"/>
      <c r="H9" s="121" t="s">
        <v>20</v>
      </c>
      <c r="I9" s="520" t="s">
        <v>244</v>
      </c>
      <c r="J9" s="520">
        <f>SUMIF($C$39:$C$144,I9,$M$39:$M$144)</f>
        <v>8.9086947121552083</v>
      </c>
      <c r="K9" s="520">
        <f>Energy_Balance!G50</f>
        <v>9.64</v>
      </c>
      <c r="L9" s="25"/>
      <c r="M9" s="33"/>
      <c r="N9" s="33"/>
      <c r="O9" s="21"/>
      <c r="P9" s="21"/>
      <c r="Q9" s="21"/>
      <c r="R9" s="21"/>
      <c r="S9" s="21"/>
      <c r="T9" s="21"/>
      <c r="U9" s="274"/>
      <c r="V9" s="1"/>
      <c r="W9" s="1"/>
      <c r="X9" s="1"/>
      <c r="Y9" s="1"/>
      <c r="Z9" s="1"/>
      <c r="AA9" s="1"/>
      <c r="AB9" s="1"/>
      <c r="AC9" s="1"/>
      <c r="AE9" s="1"/>
      <c r="AG9" s="1"/>
      <c r="AI9" s="1"/>
      <c r="AK9" s="1"/>
    </row>
    <row r="10" spans="1:210">
      <c r="A10" s="20"/>
      <c r="B10" s="33" t="s">
        <v>246</v>
      </c>
      <c r="C10" s="33">
        <f ca="1">OFFSET(Energy_Balance!$E$38,0,RES!$F10)</f>
        <v>17.97</v>
      </c>
      <c r="D10" s="33"/>
      <c r="E10" s="33"/>
      <c r="F10" s="33">
        <v>3</v>
      </c>
      <c r="G10" s="33"/>
      <c r="H10" s="121" t="s">
        <v>952</v>
      </c>
      <c r="I10" s="520" t="s">
        <v>246</v>
      </c>
      <c r="J10" s="520">
        <f>SUMIF($C$39:$C$144,I10,$M$39:$M$144)</f>
        <v>15.379631614333064</v>
      </c>
      <c r="K10" s="520">
        <f>Energy_Balance!J50</f>
        <v>15.617000000000004</v>
      </c>
      <c r="L10" s="25"/>
      <c r="M10" s="33"/>
      <c r="N10" s="33"/>
      <c r="O10" s="21"/>
      <c r="P10" s="21"/>
      <c r="Q10" s="21"/>
      <c r="R10" s="21"/>
      <c r="S10" s="21"/>
      <c r="T10" s="21"/>
      <c r="U10" s="274"/>
      <c r="V10" s="1"/>
      <c r="W10" s="1"/>
      <c r="X10" s="1"/>
      <c r="Y10" s="1"/>
      <c r="Z10" s="1"/>
      <c r="AA10" s="1"/>
      <c r="AB10" s="1"/>
      <c r="AC10" s="1"/>
      <c r="AE10" s="1"/>
      <c r="AG10" s="1"/>
      <c r="AI10" s="1"/>
      <c r="AK10" s="1"/>
    </row>
    <row r="11" spans="1:210">
      <c r="A11" s="20"/>
      <c r="B11" s="33" t="s">
        <v>245</v>
      </c>
      <c r="C11" s="33">
        <f ca="1">OFFSET(Energy_Balance!$E$38,0,RES!$F11)</f>
        <v>83.76700000000001</v>
      </c>
      <c r="D11" s="33"/>
      <c r="E11" s="33"/>
      <c r="F11" s="33">
        <v>4</v>
      </c>
      <c r="G11" s="33"/>
      <c r="H11" s="121" t="s">
        <v>39</v>
      </c>
      <c r="I11" s="520" t="s">
        <v>245</v>
      </c>
      <c r="J11" s="520">
        <f>SUMIF($C$39:$C$144,I11,$M$39:$M$144)</f>
        <v>82.574134050166037</v>
      </c>
      <c r="K11" s="520">
        <f>Energy_Balance!I50</f>
        <v>83.76700000000001</v>
      </c>
      <c r="L11" s="25"/>
      <c r="M11" s="33"/>
      <c r="N11" s="33"/>
      <c r="O11" s="21"/>
      <c r="P11" s="21"/>
      <c r="Q11" s="21"/>
      <c r="R11" s="21"/>
      <c r="S11" s="21"/>
      <c r="T11" s="21"/>
      <c r="U11" s="274"/>
      <c r="V11" s="1"/>
      <c r="W11" s="1"/>
      <c r="X11" s="1"/>
      <c r="Y11" s="1"/>
      <c r="Z11" s="1"/>
      <c r="AA11" s="1"/>
      <c r="AB11" s="1"/>
      <c r="AC11" s="1"/>
      <c r="AE11" s="1"/>
      <c r="AG11" s="1"/>
      <c r="AI11" s="1"/>
      <c r="AK11" s="1"/>
    </row>
    <row r="12" spans="1:210">
      <c r="A12" s="20"/>
      <c r="B12" s="33" t="s">
        <v>243</v>
      </c>
      <c r="C12" s="33">
        <f ca="1">OFFSET(Energy_Balance!$E$38,0,RES!$F12)</f>
        <v>15.617000000000004</v>
      </c>
      <c r="D12" s="33"/>
      <c r="E12" s="33"/>
      <c r="F12" s="33">
        <v>5</v>
      </c>
      <c r="G12" s="33"/>
      <c r="H12" s="121" t="s">
        <v>21</v>
      </c>
      <c r="I12" s="520" t="s">
        <v>243</v>
      </c>
      <c r="J12" s="520">
        <f>SUMIF($C$39:$C$144,I12,$M$39:$M$144)</f>
        <v>9.9251626771957344</v>
      </c>
      <c r="K12" s="520">
        <f>Energy_Balance!H50</f>
        <v>17.97</v>
      </c>
      <c r="L12" s="25"/>
      <c r="M12" s="33"/>
      <c r="N12" s="33"/>
      <c r="O12" s="21"/>
      <c r="P12" s="21"/>
      <c r="Q12" s="21"/>
      <c r="R12" s="21"/>
      <c r="S12" s="21"/>
      <c r="T12" s="21"/>
      <c r="U12" s="274"/>
      <c r="V12" s="1"/>
      <c r="W12" s="1"/>
      <c r="X12" s="1"/>
      <c r="Y12" s="1"/>
      <c r="Z12" s="1"/>
      <c r="AA12" s="1"/>
      <c r="AB12" s="1"/>
      <c r="AC12" s="1"/>
      <c r="AE12" s="1"/>
      <c r="AG12" s="1"/>
      <c r="AI12" s="1"/>
      <c r="AK12" s="1"/>
    </row>
    <row r="13" spans="1:210">
      <c r="A13" s="20"/>
      <c r="B13" s="33" t="s">
        <v>173</v>
      </c>
      <c r="C13" s="33">
        <f ca="1">OFFSET(Energy_Balance!$E$38,0,RES!$F13)</f>
        <v>0</v>
      </c>
      <c r="D13" s="33"/>
      <c r="E13" s="33"/>
      <c r="F13" s="33">
        <v>6</v>
      </c>
      <c r="G13" s="33"/>
      <c r="H13" s="121" t="s">
        <v>953</v>
      </c>
      <c r="I13" s="520" t="s">
        <v>173</v>
      </c>
      <c r="J13" s="520">
        <f t="shared" si="0"/>
        <v>0</v>
      </c>
      <c r="K13" s="520"/>
      <c r="L13" s="1" t="s">
        <v>915</v>
      </c>
      <c r="M13" s="33"/>
      <c r="N13" s="33"/>
      <c r="O13" s="21"/>
      <c r="P13" s="21"/>
      <c r="Q13" s="21"/>
      <c r="R13" s="21"/>
      <c r="S13" s="21"/>
      <c r="T13" s="21"/>
      <c r="U13" s="274"/>
      <c r="V13" s="1"/>
      <c r="W13" s="1"/>
      <c r="X13" s="1"/>
      <c r="Y13" s="1"/>
      <c r="Z13" s="1"/>
      <c r="AA13" s="1"/>
      <c r="AB13" s="1"/>
      <c r="AC13" s="1"/>
      <c r="AE13" s="1"/>
      <c r="AG13" s="1"/>
      <c r="AI13" s="1"/>
      <c r="AK13" s="1"/>
    </row>
    <row r="14" spans="1:210">
      <c r="A14" s="20"/>
      <c r="B14" s="33"/>
      <c r="C14" s="33"/>
      <c r="D14" s="33"/>
      <c r="E14" s="33"/>
      <c r="F14" s="33"/>
      <c r="G14" s="33"/>
      <c r="H14" s="121"/>
      <c r="L14" s="21"/>
      <c r="M14" s="33"/>
      <c r="N14" s="33"/>
      <c r="O14" s="21"/>
      <c r="P14" s="21"/>
      <c r="Q14" s="21"/>
      <c r="R14" s="21"/>
      <c r="S14" s="21"/>
      <c r="T14" s="21"/>
      <c r="U14" s="274"/>
      <c r="V14" s="1"/>
      <c r="W14" s="1"/>
      <c r="X14" s="1"/>
      <c r="Y14" s="1"/>
      <c r="Z14" s="1"/>
      <c r="AA14" s="1"/>
      <c r="AB14" s="1"/>
      <c r="AC14" s="1"/>
      <c r="AE14" s="1"/>
      <c r="AG14" s="1"/>
      <c r="AI14" s="1"/>
      <c r="AK14" s="1"/>
    </row>
    <row r="15" spans="1:210" s="183" customFormat="1">
      <c r="A15" s="184"/>
      <c r="B15" s="185"/>
      <c r="C15" s="186"/>
      <c r="D15" s="186"/>
      <c r="E15" s="186"/>
      <c r="F15" s="186"/>
      <c r="G15" s="186"/>
      <c r="H15" s="186"/>
      <c r="I15" s="187"/>
      <c r="J15" s="187"/>
      <c r="K15" s="187"/>
      <c r="L15" s="187"/>
      <c r="M15" s="186"/>
      <c r="N15" s="186"/>
      <c r="O15" s="187"/>
      <c r="P15" s="187"/>
      <c r="Q15" s="187"/>
      <c r="R15" s="187"/>
      <c r="S15" s="187"/>
      <c r="T15" s="187"/>
      <c r="U15" s="275"/>
      <c r="V15" s="188"/>
      <c r="W15" s="188"/>
      <c r="X15" s="188"/>
      <c r="Y15" s="188"/>
      <c r="Z15" s="188"/>
      <c r="AA15" s="188"/>
      <c r="AB15" s="188"/>
      <c r="AC15" s="188"/>
      <c r="AE15" s="188"/>
      <c r="AG15" s="188"/>
      <c r="AI15" s="188"/>
      <c r="AK15" s="188"/>
      <c r="BS15"/>
      <c r="BT15"/>
      <c r="BU15"/>
      <c r="BV15"/>
      <c r="BW15"/>
      <c r="BX15"/>
      <c r="BY15"/>
      <c r="BZ15"/>
      <c r="CA15"/>
      <c r="CB15"/>
      <c r="CC15"/>
      <c r="CD15"/>
      <c r="CE15"/>
      <c r="CF15"/>
    </row>
    <row r="16" spans="1:210">
      <c r="A16" t="s">
        <v>448</v>
      </c>
      <c r="B16" s="1"/>
      <c r="C16" s="1"/>
      <c r="G16" s="122">
        <v>0</v>
      </c>
      <c r="H16">
        <v>0</v>
      </c>
      <c r="J16" s="1"/>
      <c r="K16" s="1"/>
      <c r="L16" t="s">
        <v>727</v>
      </c>
      <c r="M16" s="1"/>
      <c r="R16" t="s">
        <v>701</v>
      </c>
      <c r="W16"/>
      <c r="Y16" s="1"/>
      <c r="Z16" s="1"/>
      <c r="AA16" s="1"/>
      <c r="AB16" s="1"/>
      <c r="AC16" s="1"/>
      <c r="AE16" s="1"/>
      <c r="AG16" s="1"/>
      <c r="AI16" s="1"/>
      <c r="AK16" s="1"/>
    </row>
    <row r="17" spans="1:103">
      <c r="A17" t="s">
        <v>449</v>
      </c>
      <c r="B17" s="1"/>
      <c r="C17" s="1"/>
      <c r="H17" s="1">
        <v>1</v>
      </c>
      <c r="I17" s="1" t="s">
        <v>866</v>
      </c>
      <c r="J17" s="1" t="s">
        <v>872</v>
      </c>
      <c r="K17" s="1"/>
      <c r="L17" t="s">
        <v>868</v>
      </c>
      <c r="M17" s="1"/>
      <c r="W17"/>
      <c r="Y17" s="1"/>
      <c r="Z17" s="1"/>
      <c r="AA17" s="1"/>
      <c r="AB17" s="1"/>
      <c r="AC17" s="1"/>
      <c r="AE17" s="1"/>
      <c r="AG17" s="1"/>
      <c r="AI17" s="1"/>
      <c r="AK17" s="1"/>
    </row>
    <row r="18" spans="1:103">
      <c r="H18" s="1">
        <v>2</v>
      </c>
      <c r="I18" s="1" t="s">
        <v>867</v>
      </c>
      <c r="L18" t="s">
        <v>869</v>
      </c>
      <c r="W18"/>
      <c r="Y18" s="1"/>
      <c r="Z18" s="1"/>
      <c r="AA18" s="1"/>
      <c r="AB18" s="1"/>
      <c r="AC18" s="1"/>
      <c r="AE18" s="1"/>
      <c r="AG18" s="1"/>
      <c r="AI18" s="1"/>
      <c r="AK18" s="1"/>
    </row>
    <row r="19" spans="1:103" s="183" customFormat="1">
      <c r="A19" s="184"/>
      <c r="B19" s="185"/>
      <c r="C19" s="186"/>
      <c r="D19" s="186"/>
      <c r="E19" s="186"/>
      <c r="F19" s="186"/>
      <c r="G19" s="186"/>
      <c r="H19" s="186"/>
      <c r="I19" s="187"/>
      <c r="J19" s="187"/>
      <c r="K19" s="187"/>
      <c r="L19" s="187"/>
      <c r="M19" s="186"/>
      <c r="N19" s="186"/>
      <c r="O19" s="187"/>
      <c r="P19" s="187"/>
      <c r="Q19" s="187"/>
      <c r="R19" s="187"/>
      <c r="S19" s="187"/>
      <c r="T19" s="187"/>
      <c r="U19" s="275"/>
      <c r="V19" s="188"/>
      <c r="W19" s="188"/>
      <c r="X19" s="188"/>
      <c r="Y19" s="188"/>
      <c r="Z19" s="188"/>
      <c r="AA19" s="188"/>
      <c r="AB19" s="188"/>
      <c r="AC19" s="188"/>
      <c r="AE19" s="188"/>
      <c r="AG19" s="188"/>
      <c r="AI19" s="188"/>
      <c r="AK19" s="188"/>
      <c r="BS19"/>
      <c r="BT19"/>
      <c r="BU19"/>
      <c r="BV19"/>
      <c r="BW19"/>
      <c r="BX19"/>
      <c r="BY19"/>
      <c r="BZ19"/>
      <c r="CA19"/>
      <c r="CB19"/>
      <c r="CC19"/>
      <c r="CD19"/>
      <c r="CE19"/>
      <c r="CF19"/>
    </row>
    <row r="20" spans="1:103">
      <c r="Y20" s="1"/>
      <c r="Z20" s="1"/>
      <c r="AA20" s="1"/>
      <c r="AB20" s="1"/>
      <c r="AC20" s="1"/>
      <c r="AE20" s="1"/>
      <c r="AG20" s="1"/>
      <c r="AI20" s="1"/>
      <c r="AK20" s="1"/>
    </row>
    <row r="21" spans="1:103">
      <c r="A21" s="21"/>
      <c r="B21" s="1"/>
      <c r="C21" s="1"/>
      <c r="D21" s="21"/>
      <c r="E21" s="21"/>
      <c r="F21" s="21"/>
      <c r="G21" s="21"/>
      <c r="H21" s="21"/>
      <c r="I21" s="25"/>
      <c r="J21" s="25"/>
      <c r="K21" s="25"/>
      <c r="L21" s="25"/>
      <c r="M21" s="25"/>
      <c r="N21" s="25"/>
      <c r="O21" s="25"/>
      <c r="P21" s="25"/>
      <c r="Q21" s="25"/>
      <c r="R21" s="34"/>
      <c r="Y21" s="1"/>
      <c r="Z21" s="1"/>
      <c r="AA21" s="1"/>
      <c r="AB21" s="1"/>
      <c r="AC21" s="1"/>
      <c r="AE21" s="1"/>
      <c r="AG21" s="1"/>
      <c r="AI21" s="1"/>
      <c r="AK21" s="1"/>
    </row>
    <row r="22" spans="1:103" ht="14.35">
      <c r="A22" s="1" t="s">
        <v>165</v>
      </c>
      <c r="B22" s="1"/>
      <c r="C22" s="1"/>
      <c r="D22" s="21"/>
      <c r="E22" s="21"/>
      <c r="F22" s="21"/>
      <c r="G22" s="59">
        <v>0</v>
      </c>
      <c r="H22" s="21" t="s">
        <v>175</v>
      </c>
      <c r="I22" s="25"/>
      <c r="J22" s="25"/>
      <c r="K22" s="25"/>
      <c r="L22" s="25"/>
      <c r="M22" s="25"/>
      <c r="N22" s="25"/>
      <c r="O22" s="25"/>
      <c r="P22" s="25"/>
      <c r="Q22" s="25"/>
      <c r="R22" s="34"/>
      <c r="Y22" s="1"/>
      <c r="Z22" s="1"/>
      <c r="AA22" s="1"/>
      <c r="AB22" s="1"/>
      <c r="AC22" s="1"/>
      <c r="AE22" s="1"/>
      <c r="AG22" s="1"/>
      <c r="AI22" s="1"/>
      <c r="AK22" s="1"/>
    </row>
    <row r="23" spans="1:103">
      <c r="A23" s="21"/>
      <c r="B23" s="21"/>
      <c r="C23" s="21"/>
      <c r="D23" s="21"/>
      <c r="E23" s="21"/>
      <c r="F23" s="21"/>
      <c r="I23" s="25"/>
      <c r="J23" s="25"/>
      <c r="K23" s="25"/>
      <c r="L23" s="25"/>
      <c r="M23" s="25"/>
      <c r="N23" s="25"/>
      <c r="O23" s="25"/>
      <c r="P23" s="25"/>
      <c r="Q23" s="25"/>
      <c r="R23" s="34"/>
      <c r="Y23" s="1"/>
      <c r="Z23" s="1"/>
      <c r="AA23" s="1"/>
      <c r="AB23" s="1"/>
      <c r="AC23" s="1"/>
      <c r="AE23" s="1"/>
      <c r="AG23" s="1"/>
      <c r="AI23" s="1"/>
      <c r="AK23" s="1"/>
    </row>
    <row r="24" spans="1:103">
      <c r="A24" s="20"/>
      <c r="B24" s="33"/>
      <c r="C24" s="33"/>
      <c r="D24" s="33"/>
      <c r="E24" s="33"/>
      <c r="F24" s="33"/>
      <c r="G24" s="33"/>
      <c r="H24" s="121"/>
      <c r="I24" s="21"/>
      <c r="J24" s="21"/>
      <c r="K24" s="21"/>
      <c r="P24" s="21"/>
      <c r="Q24" s="21"/>
      <c r="R24" s="21"/>
      <c r="S24" s="21"/>
      <c r="T24" s="21"/>
      <c r="U24" s="274"/>
      <c r="V24" s="1"/>
      <c r="W24" s="1"/>
      <c r="X24" s="1"/>
      <c r="Y24" s="1"/>
      <c r="Z24" s="1"/>
      <c r="AA24" s="1"/>
      <c r="AB24" s="1"/>
      <c r="AC24" s="1"/>
      <c r="AE24" s="1"/>
      <c r="AG24" s="1"/>
      <c r="AI24" s="1"/>
      <c r="AK24" s="1"/>
    </row>
    <row r="25" spans="1:103">
      <c r="A25" s="20"/>
      <c r="B25" s="33"/>
      <c r="C25" s="33"/>
      <c r="D25" s="33"/>
      <c r="E25" s="33"/>
      <c r="F25" s="33"/>
      <c r="G25" s="33"/>
      <c r="H25" s="121"/>
      <c r="I25" s="21"/>
      <c r="J25" s="21"/>
      <c r="K25" s="21"/>
      <c r="P25" s="21"/>
      <c r="Q25" s="21"/>
      <c r="R25" s="21"/>
      <c r="S25" s="21"/>
      <c r="T25" s="21"/>
      <c r="U25" s="274"/>
      <c r="V25" s="1"/>
      <c r="W25" s="1"/>
      <c r="X25" s="1"/>
      <c r="Y25" s="1"/>
      <c r="Z25" s="1"/>
      <c r="AA25" s="1"/>
      <c r="AB25" s="1"/>
      <c r="AC25" s="1"/>
      <c r="AE25" s="1"/>
      <c r="AG25" s="1"/>
      <c r="AI25" s="1"/>
      <c r="AK25" s="1"/>
    </row>
    <row r="26" spans="1:103">
      <c r="A26" s="116"/>
      <c r="B26" s="116"/>
      <c r="C26" s="116"/>
      <c r="D26" s="116"/>
      <c r="E26" s="116"/>
      <c r="F26" s="116"/>
      <c r="G26" s="116"/>
      <c r="H26" s="116"/>
      <c r="I26" s="116"/>
      <c r="J26" s="63"/>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34"/>
      <c r="AP26" s="21"/>
      <c r="AQ26" s="21"/>
      <c r="AR26" s="21"/>
      <c r="AS26" s="21"/>
      <c r="AT26" s="21"/>
      <c r="AU26" s="21"/>
      <c r="AW26" s="21"/>
      <c r="AX26" s="21"/>
      <c r="AY26" s="21"/>
      <c r="AZ26" s="21"/>
      <c r="BA26" s="21"/>
      <c r="BB26" s="21"/>
      <c r="BC26" s="21"/>
      <c r="BD26" s="21"/>
      <c r="BE26" s="21"/>
      <c r="BF26" s="21"/>
      <c r="BG26" s="21"/>
      <c r="BH26" s="21"/>
      <c r="BI26" s="21"/>
      <c r="BJ26" s="21"/>
      <c r="BK26" s="21"/>
      <c r="BL26" s="21"/>
      <c r="BM26" s="21"/>
      <c r="BN26" s="21"/>
      <c r="BO26" s="21"/>
      <c r="BP26" s="21"/>
      <c r="BQ26" s="21"/>
      <c r="BR26" s="21"/>
      <c r="CG26" s="1"/>
      <c r="CH26" s="1"/>
      <c r="CI26" s="1"/>
      <c r="CJ26" s="52"/>
      <c r="CK26" s="1"/>
      <c r="CL26" s="1"/>
      <c r="CM26" s="1"/>
      <c r="CN26" s="1"/>
      <c r="CO26" s="52"/>
      <c r="CP26" s="1"/>
      <c r="CQ26" s="1"/>
      <c r="CR26" s="1"/>
      <c r="CS26" s="1"/>
      <c r="CT26" s="52"/>
      <c r="CU26" s="1"/>
      <c r="CV26" s="1"/>
      <c r="CW26" s="1"/>
      <c r="CX26" s="1"/>
      <c r="CY26" s="1"/>
    </row>
    <row r="27" spans="1:103" ht="12" customHeight="1">
      <c r="A27" s="526" t="s">
        <v>921</v>
      </c>
      <c r="B27" s="116"/>
      <c r="C27" s="116"/>
      <c r="D27" s="116"/>
      <c r="E27" s="116"/>
      <c r="F27" s="116"/>
      <c r="G27" s="116"/>
      <c r="H27" s="116"/>
      <c r="I27" s="116"/>
      <c r="J27" s="63"/>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366" t="s">
        <v>731</v>
      </c>
      <c r="AP27" s="21"/>
      <c r="AQ27" s="21"/>
      <c r="AR27" s="21"/>
      <c r="AS27" s="21"/>
      <c r="AT27" s="21"/>
      <c r="AU27" s="21"/>
      <c r="AV27" s="123" t="s">
        <v>174</v>
      </c>
      <c r="AW27" s="21"/>
      <c r="AX27" s="21"/>
      <c r="AY27" s="21"/>
      <c r="AZ27" s="21"/>
      <c r="BA27" s="21"/>
      <c r="BB27" s="21"/>
      <c r="BC27" s="21"/>
      <c r="BD27" s="21"/>
      <c r="BE27" s="21"/>
      <c r="BF27" s="21"/>
      <c r="BG27" s="21"/>
      <c r="BH27" s="21"/>
      <c r="BI27" s="21"/>
      <c r="BJ27" s="21"/>
      <c r="BK27" s="21"/>
      <c r="BL27" s="21"/>
      <c r="BM27" s="21"/>
      <c r="BN27" s="21"/>
      <c r="BO27" s="21"/>
      <c r="BP27" s="21"/>
      <c r="BQ27" s="21"/>
      <c r="BR27" s="21"/>
      <c r="CG27" s="1"/>
      <c r="CH27" s="1"/>
      <c r="CI27" s="1"/>
      <c r="CJ27" s="1"/>
      <c r="CK27" s="1"/>
      <c r="CL27" s="1"/>
      <c r="CM27" s="1"/>
      <c r="CN27" s="1"/>
      <c r="CO27" s="1"/>
      <c r="CP27" s="1"/>
      <c r="CQ27" s="1"/>
      <c r="CR27" s="1"/>
      <c r="CS27" s="1"/>
      <c r="CT27" s="1"/>
      <c r="CU27" s="1"/>
      <c r="CV27" s="1"/>
      <c r="CW27" s="1"/>
      <c r="CX27" s="1"/>
      <c r="CY27" s="1"/>
    </row>
    <row r="28" spans="1:103" ht="13" customHeight="1">
      <c r="A28" s="70" t="s">
        <v>922</v>
      </c>
      <c r="B28" s="116"/>
      <c r="C28" s="116"/>
      <c r="D28" s="116"/>
      <c r="E28" s="116"/>
      <c r="F28" s="116"/>
      <c r="G28" s="116"/>
      <c r="H28" s="116"/>
      <c r="I28" s="116"/>
      <c r="J28" s="63"/>
      <c r="P28" s="25"/>
      <c r="Q28" s="25"/>
      <c r="R28" s="25"/>
      <c r="S28" s="25"/>
      <c r="T28" s="25"/>
      <c r="U28" s="366" t="s">
        <v>732</v>
      </c>
      <c r="V28" s="25"/>
      <c r="W28" s="25"/>
      <c r="X28" s="25"/>
      <c r="Y28" s="25"/>
      <c r="Z28" s="25"/>
      <c r="AA28" s="25"/>
      <c r="AB28" s="25"/>
      <c r="AC28" s="25"/>
      <c r="AD28" s="25"/>
      <c r="AE28" s="25"/>
      <c r="AF28" s="25"/>
      <c r="AG28" s="25"/>
      <c r="AH28" s="25"/>
      <c r="AI28" s="25"/>
      <c r="AJ28" s="25"/>
      <c r="AK28" s="25"/>
      <c r="AL28" s="25"/>
      <c r="AM28" s="25"/>
      <c r="AN28" s="25"/>
      <c r="AO28" s="446">
        <v>1E-3</v>
      </c>
      <c r="AP28" s="448">
        <v>5.0000000000000001E-3</v>
      </c>
      <c r="AQ28" s="448">
        <v>5.0000000000000001E-3</v>
      </c>
      <c r="AR28" s="448">
        <v>5.0000000000000001E-3</v>
      </c>
      <c r="AS28" s="448">
        <v>5.0000000000000001E-3</v>
      </c>
      <c r="AT28" s="21"/>
      <c r="AU28" s="438">
        <v>1E-4</v>
      </c>
      <c r="AV28" s="448">
        <v>5.0000000000000001E-3</v>
      </c>
      <c r="AW28" s="448">
        <v>7.0000000000000001E-3</v>
      </c>
      <c r="AX28" s="448">
        <v>5.0000000000000001E-3</v>
      </c>
      <c r="AY28" s="448">
        <v>5.0000000000000001E-3</v>
      </c>
      <c r="AZ28" s="21"/>
      <c r="BA28" s="21"/>
      <c r="BB28" s="21"/>
      <c r="BC28" s="21"/>
      <c r="BD28" s="366" t="s">
        <v>730</v>
      </c>
      <c r="BE28" s="21"/>
      <c r="BF28" s="21"/>
      <c r="BH28" s="21"/>
      <c r="BI28" s="21"/>
      <c r="BJ28" s="21"/>
      <c r="BK28" s="21"/>
      <c r="BL28" s="21"/>
      <c r="BM28" s="21"/>
      <c r="BN28" s="21"/>
      <c r="BO28" s="21"/>
      <c r="BP28" s="21"/>
      <c r="BQ28" s="21"/>
      <c r="BR28" s="21"/>
      <c r="CG28" s="1"/>
      <c r="CH28" s="1"/>
      <c r="CI28" s="1"/>
      <c r="CJ28" s="1"/>
      <c r="CK28" s="1"/>
      <c r="CL28" s="1"/>
      <c r="CM28" s="1"/>
      <c r="CN28" s="1"/>
      <c r="CO28" s="1"/>
      <c r="CP28" s="1"/>
      <c r="CQ28" s="1"/>
      <c r="CR28" s="1"/>
      <c r="CS28" s="1"/>
      <c r="CT28" s="1"/>
      <c r="CU28" s="1"/>
      <c r="CV28" s="1"/>
      <c r="CW28" s="1"/>
    </row>
    <row r="29" spans="1:103">
      <c r="A29" s="70" t="s">
        <v>923</v>
      </c>
      <c r="B29" s="116"/>
      <c r="C29" s="116"/>
      <c r="D29" s="116"/>
      <c r="E29" s="116"/>
      <c r="F29" s="116"/>
      <c r="G29" s="116"/>
      <c r="H29" s="116"/>
      <c r="I29" s="116"/>
      <c r="J29" s="63"/>
      <c r="P29" s="25"/>
      <c r="Q29" s="25"/>
      <c r="R29" s="25"/>
      <c r="S29" s="25"/>
      <c r="T29" s="25"/>
      <c r="U29" s="333" t="s">
        <v>133</v>
      </c>
      <c r="V29" s="338">
        <v>5.0000000000000001E-3</v>
      </c>
      <c r="W29" s="334"/>
      <c r="X29" s="334"/>
      <c r="Y29" s="334"/>
      <c r="Z29" s="334"/>
      <c r="AA29" s="334"/>
      <c r="AB29" s="334"/>
      <c r="AC29" s="334"/>
      <c r="AD29" s="256"/>
      <c r="AE29" s="344">
        <v>0.01</v>
      </c>
      <c r="AF29" s="335"/>
      <c r="AG29" s="334"/>
      <c r="AH29" s="335"/>
      <c r="AI29" s="334"/>
      <c r="AJ29" s="335"/>
      <c r="AK29" s="334"/>
      <c r="AL29" s="336"/>
      <c r="AM29" s="337"/>
      <c r="AN29" s="336"/>
      <c r="AO29" s="333" t="s">
        <v>133</v>
      </c>
      <c r="AP29" s="334"/>
      <c r="AQ29" s="334"/>
      <c r="AR29" s="334"/>
      <c r="AS29" s="334"/>
      <c r="AT29" s="256"/>
      <c r="AU29" s="365" t="s">
        <v>725</v>
      </c>
      <c r="AV29" s="335"/>
      <c r="AW29" s="335"/>
      <c r="AX29" s="335"/>
      <c r="AY29" s="336"/>
      <c r="AZ29" s="337"/>
      <c r="BA29" s="333" t="s">
        <v>133</v>
      </c>
      <c r="BB29" s="334"/>
      <c r="BC29" s="334"/>
      <c r="BD29" s="334"/>
      <c r="BE29" s="334"/>
      <c r="BF29" s="256"/>
      <c r="BG29" s="335"/>
      <c r="BH29" s="335"/>
      <c r="BI29" s="335"/>
      <c r="BJ29" s="336"/>
      <c r="BK29" s="337"/>
      <c r="BL29" s="363"/>
      <c r="BN29">
        <v>0.13</v>
      </c>
      <c r="BO29" t="s">
        <v>702</v>
      </c>
    </row>
    <row r="30" spans="1:103">
      <c r="A30" s="116"/>
      <c r="B30" s="116"/>
      <c r="C30" s="116"/>
      <c r="D30" s="116"/>
      <c r="E30" s="116"/>
      <c r="F30" s="116"/>
      <c r="G30" s="116"/>
      <c r="H30" s="116"/>
      <c r="I30" s="116"/>
      <c r="J30" s="63"/>
      <c r="P30" s="25"/>
      <c r="Q30" s="25"/>
      <c r="R30" s="25"/>
      <c r="S30" s="25"/>
      <c r="T30" s="25"/>
      <c r="U30" s="338"/>
      <c r="V30" s="339">
        <v>2017</v>
      </c>
      <c r="W30" s="339">
        <v>2020</v>
      </c>
      <c r="X30" s="339">
        <v>2025</v>
      </c>
      <c r="Y30" s="339">
        <v>2030</v>
      </c>
      <c r="Z30" s="339">
        <v>2035</v>
      </c>
      <c r="AA30" s="339">
        <v>2040</v>
      </c>
      <c r="AB30" s="339">
        <v>2045</v>
      </c>
      <c r="AC30" s="339">
        <v>2050</v>
      </c>
      <c r="AD30" s="339"/>
      <c r="AE30" s="339">
        <v>2017</v>
      </c>
      <c r="AF30" s="339">
        <v>2020</v>
      </c>
      <c r="AG30" s="339">
        <f>AF30+5</f>
        <v>2025</v>
      </c>
      <c r="AH30" s="339">
        <v>2030</v>
      </c>
      <c r="AI30" s="339">
        <f>AH30+5</f>
        <v>2035</v>
      </c>
      <c r="AJ30" s="339">
        <v>2040</v>
      </c>
      <c r="AK30" s="339">
        <f>AJ30+5</f>
        <v>2045</v>
      </c>
      <c r="AL30" s="339">
        <v>2050</v>
      </c>
      <c r="AM30" s="340"/>
      <c r="AN30" s="339"/>
      <c r="AO30" s="339">
        <v>2017</v>
      </c>
      <c r="AP30" s="339">
        <v>2020</v>
      </c>
      <c r="AQ30" s="339">
        <v>2030</v>
      </c>
      <c r="AR30" s="339">
        <v>2040</v>
      </c>
      <c r="AS30" s="339">
        <v>2050</v>
      </c>
      <c r="AT30" s="339"/>
      <c r="AU30" s="339">
        <v>2017</v>
      </c>
      <c r="AV30" s="339">
        <v>2020</v>
      </c>
      <c r="AW30" s="339">
        <v>2030</v>
      </c>
      <c r="AX30" s="339">
        <v>2040</v>
      </c>
      <c r="AY30" s="339">
        <v>2050</v>
      </c>
      <c r="AZ30" s="340"/>
      <c r="BA30" s="339">
        <v>2017</v>
      </c>
      <c r="BB30" s="339">
        <v>2020</v>
      </c>
      <c r="BC30" s="339">
        <v>2030</v>
      </c>
      <c r="BD30" s="339">
        <v>2040</v>
      </c>
      <c r="BE30" s="339">
        <v>2050</v>
      </c>
      <c r="BF30" s="339"/>
      <c r="BG30" s="339">
        <v>2020</v>
      </c>
      <c r="BH30" s="339">
        <v>2030</v>
      </c>
      <c r="BI30" s="339">
        <v>2040</v>
      </c>
      <c r="BJ30" s="339">
        <v>2050</v>
      </c>
      <c r="BK30" s="340"/>
      <c r="BL30" s="345"/>
    </row>
    <row r="31" spans="1:103">
      <c r="A31" s="25"/>
      <c r="B31" s="25"/>
      <c r="C31" s="21" t="s">
        <v>299</v>
      </c>
      <c r="D31" s="127">
        <v>0</v>
      </c>
      <c r="E31" s="42"/>
      <c r="F31" s="42"/>
      <c r="G31" s="42"/>
      <c r="H31" s="44"/>
      <c r="K31" s="25"/>
      <c r="L31" s="25"/>
      <c r="M31" s="25"/>
      <c r="N31" s="25"/>
      <c r="O31" s="25"/>
      <c r="P31" s="25"/>
      <c r="Q31" s="25"/>
      <c r="U31" s="341" t="s">
        <v>124</v>
      </c>
      <c r="V31" s="342">
        <v>0.05</v>
      </c>
      <c r="W31" s="342">
        <v>0.1</v>
      </c>
      <c r="X31" s="342">
        <f>(W31+Y31)/2</f>
        <v>0.25</v>
      </c>
      <c r="Y31" s="342">
        <v>0.4</v>
      </c>
      <c r="Z31" s="342">
        <f>(Y31+AA31)/2</f>
        <v>0.55000000000000004</v>
      </c>
      <c r="AA31" s="342">
        <v>0.7</v>
      </c>
      <c r="AB31" s="342">
        <f>(AA31+AC31)/2</f>
        <v>0.85</v>
      </c>
      <c r="AC31" s="342">
        <v>1</v>
      </c>
      <c r="AD31" s="343" t="s">
        <v>125</v>
      </c>
      <c r="AE31" s="342"/>
      <c r="AF31" s="342">
        <v>0.3</v>
      </c>
      <c r="AG31" s="342"/>
      <c r="AH31" s="342">
        <v>0.2</v>
      </c>
      <c r="AI31" s="342"/>
      <c r="AJ31" s="342">
        <v>0.3</v>
      </c>
      <c r="AK31" s="342"/>
      <c r="AL31" s="342">
        <v>0</v>
      </c>
      <c r="AM31" s="340"/>
      <c r="AN31" s="339"/>
      <c r="AO31" s="341" t="s">
        <v>124</v>
      </c>
      <c r="AP31" s="342">
        <f>W31</f>
        <v>0.1</v>
      </c>
      <c r="AQ31" s="342">
        <f>Y31</f>
        <v>0.4</v>
      </c>
      <c r="AR31" s="342">
        <f>AA31</f>
        <v>0.7</v>
      </c>
      <c r="AS31" s="342">
        <f>AC31</f>
        <v>1</v>
      </c>
      <c r="AU31" s="343" t="s">
        <v>125</v>
      </c>
      <c r="AV31" s="342">
        <v>0.3</v>
      </c>
      <c r="AW31" s="342">
        <v>0.2</v>
      </c>
      <c r="AX31" s="342">
        <v>0.1</v>
      </c>
      <c r="AY31" s="342">
        <v>0</v>
      </c>
      <c r="AZ31" s="340"/>
      <c r="BA31" s="341" t="s">
        <v>124</v>
      </c>
      <c r="BB31" s="342">
        <v>0.1</v>
      </c>
      <c r="BC31" s="342">
        <v>0.2</v>
      </c>
      <c r="BD31" s="342">
        <v>0.3</v>
      </c>
      <c r="BE31" s="342">
        <v>0.5</v>
      </c>
      <c r="BG31" s="343" t="s">
        <v>125</v>
      </c>
      <c r="BH31" s="342">
        <v>0.2</v>
      </c>
      <c r="BI31" s="342">
        <v>0.1</v>
      </c>
      <c r="BJ31" s="342">
        <v>0.05</v>
      </c>
      <c r="BK31" s="340"/>
      <c r="BL31" s="345"/>
      <c r="BN31" s="1" t="s">
        <v>928</v>
      </c>
    </row>
    <row r="32" spans="1:103">
      <c r="A32" s="25"/>
      <c r="B32" s="25"/>
      <c r="C32" s="42"/>
      <c r="D32" s="25" t="s">
        <v>80</v>
      </c>
      <c r="J32" s="42"/>
      <c r="K32" s="25"/>
      <c r="L32" s="1"/>
      <c r="M32" s="25"/>
      <c r="N32" s="25"/>
      <c r="O32" s="25"/>
      <c r="P32" s="25">
        <v>2202</v>
      </c>
      <c r="Q32" s="25"/>
      <c r="R32" s="25"/>
      <c r="S32" s="25"/>
      <c r="T32" s="25"/>
      <c r="U32" s="338"/>
      <c r="V32" s="339">
        <f>5/8</f>
        <v>0.625</v>
      </c>
      <c r="W32" s="339"/>
      <c r="X32" s="339">
        <v>0.5</v>
      </c>
      <c r="Y32" s="339"/>
      <c r="Z32" s="339">
        <v>0.5</v>
      </c>
      <c r="AA32" s="339"/>
      <c r="AB32" s="339">
        <v>0.5</v>
      </c>
      <c r="AC32" s="339"/>
      <c r="AD32" s="339"/>
      <c r="AE32" s="339">
        <f>5/8</f>
        <v>0.625</v>
      </c>
      <c r="AF32" s="339"/>
      <c r="AG32" s="339">
        <v>0.5</v>
      </c>
      <c r="AH32" s="339"/>
      <c r="AI32" s="339">
        <v>0.5</v>
      </c>
      <c r="AJ32" s="339"/>
      <c r="AK32" s="339">
        <v>0.5</v>
      </c>
      <c r="AL32" s="339"/>
      <c r="AM32" s="340"/>
      <c r="AN32" s="339"/>
      <c r="AO32" s="339"/>
      <c r="AP32" s="339"/>
      <c r="AQ32" s="339"/>
      <c r="AR32" s="339"/>
      <c r="AS32" s="339"/>
      <c r="AT32" s="339"/>
      <c r="AU32" s="339"/>
      <c r="AV32" s="339"/>
      <c r="AW32" s="339"/>
      <c r="AX32" s="339"/>
      <c r="AY32" s="339"/>
      <c r="AZ32" s="340"/>
      <c r="BA32" s="339"/>
      <c r="BB32" s="339"/>
      <c r="BC32" s="339"/>
      <c r="BD32" s="339"/>
      <c r="BE32" s="339"/>
      <c r="BF32" s="339"/>
      <c r="BG32" s="339"/>
      <c r="BH32" s="339"/>
      <c r="BI32" s="339"/>
      <c r="BJ32" s="339"/>
      <c r="BK32" s="340"/>
      <c r="BL32" s="345"/>
      <c r="BN32" s="1" t="s">
        <v>929</v>
      </c>
    </row>
    <row r="33" spans="1:84" s="15" customFormat="1" ht="50.7">
      <c r="A33" s="27"/>
      <c r="B33" s="27" t="s">
        <v>82</v>
      </c>
      <c r="C33" s="27" t="s">
        <v>83</v>
      </c>
      <c r="D33" s="27" t="s">
        <v>1063</v>
      </c>
      <c r="E33" s="214" t="s">
        <v>1062</v>
      </c>
      <c r="F33" s="27" t="s">
        <v>1070</v>
      </c>
      <c r="G33" s="27" t="s">
        <v>1070</v>
      </c>
      <c r="H33" s="27" t="s">
        <v>88</v>
      </c>
      <c r="I33" s="27" t="s">
        <v>1071</v>
      </c>
      <c r="J33" s="27" t="s">
        <v>1070</v>
      </c>
      <c r="K33" s="27" t="s">
        <v>1070</v>
      </c>
      <c r="L33" s="27" t="s">
        <v>1070</v>
      </c>
      <c r="M33" s="27" t="s">
        <v>1070</v>
      </c>
      <c r="N33" s="27" t="s">
        <v>1070</v>
      </c>
      <c r="O33" s="27" t="s">
        <v>1070</v>
      </c>
      <c r="P33" s="27" t="str">
        <f>"EFF~"&amp;P36</f>
        <v>EFF~2020</v>
      </c>
      <c r="Q33" s="27" t="str">
        <f t="shared" ref="Q33:S33" si="1">"EFF~"&amp;Q36</f>
        <v>EFF~2030</v>
      </c>
      <c r="R33" s="27" t="str">
        <f t="shared" si="1"/>
        <v>EFF~2040</v>
      </c>
      <c r="S33" s="27" t="str">
        <f t="shared" si="1"/>
        <v>EFF~2050</v>
      </c>
      <c r="T33" s="27" t="s">
        <v>1070</v>
      </c>
      <c r="U33" s="27" t="s">
        <v>1070</v>
      </c>
      <c r="V33" s="15" t="str">
        <f>"FLO_MARK~UP~"&amp;V30</f>
        <v>FLO_MARK~UP~2017</v>
      </c>
      <c r="W33" s="15" t="str">
        <f t="shared" ref="W33:AC33" si="2">"FLO_MARK~UP~"&amp;W30</f>
        <v>FLO_MARK~UP~2020</v>
      </c>
      <c r="X33" s="15" t="str">
        <f t="shared" si="2"/>
        <v>FLO_MARK~UP~2025</v>
      </c>
      <c r="Y33" s="15" t="str">
        <f t="shared" si="2"/>
        <v>FLO_MARK~UP~2030</v>
      </c>
      <c r="Z33" s="15" t="str">
        <f t="shared" si="2"/>
        <v>FLO_MARK~UP~2035</v>
      </c>
      <c r="AA33" s="15" t="str">
        <f>"FLO_MARK~UP~"&amp;AA30</f>
        <v>FLO_MARK~UP~2040</v>
      </c>
      <c r="AB33" s="15" t="str">
        <f t="shared" si="2"/>
        <v>FLO_MARK~UP~2045</v>
      </c>
      <c r="AC33" s="15" t="str">
        <f t="shared" si="2"/>
        <v>FLO_MARK~UP~2050</v>
      </c>
      <c r="AD33" s="27" t="s">
        <v>1070</v>
      </c>
      <c r="AE33" s="15" t="st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15" t="str">
        <f t="shared" si="3"/>
        <v>FLO_MARK~LO~2040</v>
      </c>
      <c r="AK33" s="15" t="str">
        <f t="shared" si="3"/>
        <v>FLO_MARK~LO~2045</v>
      </c>
      <c r="AL33" s="15" t="str">
        <f t="shared" si="3"/>
        <v>FLO_MARK~LO~2050</v>
      </c>
      <c r="AM33" s="679"/>
      <c r="AN33" s="678"/>
      <c r="AT33" s="678"/>
      <c r="AZ33" s="679"/>
      <c r="BA33" s="678"/>
      <c r="BB33" s="678"/>
      <c r="BC33" s="678"/>
      <c r="BD33" s="678"/>
      <c r="BE33" s="678"/>
      <c r="BF33" s="678"/>
      <c r="BG33" s="678"/>
      <c r="BH33" s="678"/>
      <c r="BI33" s="678"/>
      <c r="BJ33" s="678"/>
      <c r="BK33" s="679"/>
      <c r="BL33" s="680"/>
    </row>
    <row r="34" spans="1:84" ht="51" thickBot="1">
      <c r="A34" s="554" t="s">
        <v>972</v>
      </c>
      <c r="B34" s="28" t="s">
        <v>90</v>
      </c>
      <c r="C34" s="28" t="s">
        <v>91</v>
      </c>
      <c r="D34" s="28" t="s">
        <v>92</v>
      </c>
      <c r="E34" s="28" t="s">
        <v>930</v>
      </c>
      <c r="F34" s="28" t="s">
        <v>94</v>
      </c>
      <c r="G34" s="28" t="s">
        <v>95</v>
      </c>
      <c r="H34" s="28" t="s">
        <v>96</v>
      </c>
      <c r="I34" s="28" t="s">
        <v>112</v>
      </c>
      <c r="J34" s="28"/>
      <c r="K34" s="215"/>
      <c r="L34" s="215" t="s">
        <v>844</v>
      </c>
      <c r="M34" s="215" t="s">
        <v>845</v>
      </c>
      <c r="N34" s="215" t="s">
        <v>876</v>
      </c>
      <c r="O34" s="28" t="s">
        <v>423</v>
      </c>
      <c r="P34" s="28" t="s">
        <v>614</v>
      </c>
      <c r="Q34" s="28" t="s">
        <v>615</v>
      </c>
      <c r="R34" s="28" t="s">
        <v>616</v>
      </c>
      <c r="S34" s="28" t="s">
        <v>617</v>
      </c>
      <c r="T34" s="28" t="s">
        <v>706</v>
      </c>
      <c r="U34" s="277" t="s">
        <v>126</v>
      </c>
      <c r="V34" s="131" t="s">
        <v>127</v>
      </c>
      <c r="W34" s="131" t="s">
        <v>127</v>
      </c>
      <c r="X34" s="131" t="s">
        <v>127</v>
      </c>
      <c r="Y34" s="131" t="s">
        <v>127</v>
      </c>
      <c r="Z34" s="131" t="s">
        <v>127</v>
      </c>
      <c r="AA34" s="131" t="s">
        <v>127</v>
      </c>
      <c r="AB34" s="131" t="s">
        <v>127</v>
      </c>
      <c r="AC34" s="131" t="s">
        <v>127</v>
      </c>
      <c r="AE34" s="131" t="s">
        <v>128</v>
      </c>
      <c r="AF34" s="131" t="s">
        <v>128</v>
      </c>
      <c r="AG34" s="131" t="s">
        <v>128</v>
      </c>
      <c r="AH34" s="131" t="s">
        <v>128</v>
      </c>
      <c r="AI34" s="131" t="s">
        <v>128</v>
      </c>
      <c r="AJ34" s="131" t="s">
        <v>128</v>
      </c>
      <c r="AK34" s="131" t="s">
        <v>128</v>
      </c>
      <c r="AL34" s="131" t="s">
        <v>128</v>
      </c>
      <c r="AM34" s="132" t="s">
        <v>100</v>
      </c>
      <c r="AN34" s="131"/>
      <c r="AO34" s="131" t="s">
        <v>127</v>
      </c>
      <c r="AP34" s="131" t="s">
        <v>127</v>
      </c>
      <c r="AQ34" s="131" t="s">
        <v>127</v>
      </c>
      <c r="AR34" s="131" t="s">
        <v>127</v>
      </c>
      <c r="AS34" s="131" t="s">
        <v>127</v>
      </c>
      <c r="AT34" s="21"/>
      <c r="AU34" s="131" t="s">
        <v>128</v>
      </c>
      <c r="AV34" s="131" t="s">
        <v>128</v>
      </c>
      <c r="AW34" s="131" t="s">
        <v>128</v>
      </c>
      <c r="AX34" s="131" t="s">
        <v>128</v>
      </c>
      <c r="AY34" s="131" t="s">
        <v>128</v>
      </c>
      <c r="AZ34" s="132" t="s">
        <v>100</v>
      </c>
      <c r="BA34" s="131"/>
      <c r="BB34" s="131" t="s">
        <v>127</v>
      </c>
      <c r="BC34" s="131" t="s">
        <v>127</v>
      </c>
      <c r="BD34" s="131" t="s">
        <v>127</v>
      </c>
      <c r="BE34" s="131" t="s">
        <v>127</v>
      </c>
      <c r="BF34" s="21"/>
      <c r="BG34" s="131"/>
      <c r="BH34" s="131" t="s">
        <v>128</v>
      </c>
      <c r="BI34" s="131" t="s">
        <v>128</v>
      </c>
      <c r="BJ34" s="131" t="s">
        <v>128</v>
      </c>
      <c r="BK34" s="132" t="s">
        <v>100</v>
      </c>
      <c r="BL34" s="364"/>
      <c r="BM34" s="28" t="s">
        <v>870</v>
      </c>
      <c r="BN34" s="28" t="s">
        <v>614</v>
      </c>
      <c r="BO34" s="28" t="s">
        <v>615</v>
      </c>
      <c r="BP34" s="28" t="s">
        <v>616</v>
      </c>
      <c r="BQ34" s="28" t="s">
        <v>617</v>
      </c>
    </row>
    <row r="35" spans="1:84">
      <c r="A35" s="627" t="s">
        <v>110</v>
      </c>
      <c r="B35" s="62"/>
      <c r="C35" s="62"/>
      <c r="D35" s="62"/>
      <c r="E35" s="62"/>
      <c r="F35" s="62"/>
      <c r="G35" s="62"/>
      <c r="H35" s="62"/>
      <c r="I35" s="62"/>
      <c r="J35" s="62"/>
      <c r="L35" s="432">
        <v>2017</v>
      </c>
      <c r="M35" s="432">
        <v>2017</v>
      </c>
      <c r="N35" s="432">
        <v>2017</v>
      </c>
      <c r="O35" s="62"/>
      <c r="P35" s="62"/>
      <c r="Q35" s="62"/>
      <c r="R35" s="62"/>
      <c r="S35" s="62"/>
      <c r="T35" s="62"/>
      <c r="U35" s="433"/>
      <c r="V35" s="364"/>
      <c r="W35" s="364"/>
      <c r="X35" s="364"/>
      <c r="Y35" s="364"/>
      <c r="Z35" s="364"/>
      <c r="AA35" s="364"/>
      <c r="AB35" s="364"/>
      <c r="AC35" s="364"/>
      <c r="AE35" s="364"/>
      <c r="AF35" s="364"/>
      <c r="AG35" s="364"/>
      <c r="AH35" s="364"/>
      <c r="AI35" s="364"/>
      <c r="AJ35" s="364"/>
      <c r="AK35" s="364"/>
      <c r="AL35" s="364"/>
      <c r="AM35" s="364"/>
      <c r="AN35" s="364"/>
      <c r="AO35" s="364"/>
      <c r="AP35" s="364"/>
      <c r="AQ35" s="364"/>
      <c r="AR35" s="364"/>
      <c r="AS35" s="364"/>
      <c r="AT35" s="21"/>
      <c r="AU35" s="364"/>
      <c r="AV35" s="364"/>
      <c r="AW35" s="364"/>
      <c r="AX35" s="364"/>
      <c r="AY35" s="364"/>
      <c r="AZ35" s="434"/>
      <c r="BA35" s="364"/>
      <c r="BB35" s="364"/>
      <c r="BC35" s="364"/>
      <c r="BD35" s="364"/>
      <c r="BE35" s="364"/>
      <c r="BF35" s="21"/>
      <c r="BG35" s="364"/>
      <c r="BH35" s="364"/>
      <c r="BI35" s="364"/>
      <c r="BJ35" s="364"/>
      <c r="BK35" s="434"/>
      <c r="BL35" s="364"/>
      <c r="BN35" s="62"/>
      <c r="BO35" s="62"/>
      <c r="BP35" s="62"/>
      <c r="BQ35" s="62"/>
    </row>
    <row r="36" spans="1:84" ht="38">
      <c r="A36" s="555" t="s">
        <v>973</v>
      </c>
      <c r="B36" s="29"/>
      <c r="C36" s="29"/>
      <c r="D36" s="29"/>
      <c r="E36" s="38" t="s">
        <v>102</v>
      </c>
      <c r="F36" s="38" t="s">
        <v>103</v>
      </c>
      <c r="G36" s="37" t="s">
        <v>104</v>
      </c>
      <c r="H36" s="39" t="s">
        <v>105</v>
      </c>
      <c r="I36" s="38" t="s">
        <v>166</v>
      </c>
      <c r="J36" s="38"/>
      <c r="L36" s="26" t="s">
        <v>106</v>
      </c>
      <c r="M36" s="26" t="s">
        <v>107</v>
      </c>
      <c r="N36" s="26" t="s">
        <v>107</v>
      </c>
      <c r="O36" s="25"/>
      <c r="P36" s="25">
        <v>2020</v>
      </c>
      <c r="Q36" s="25">
        <v>2030</v>
      </c>
      <c r="R36" s="25">
        <v>2040</v>
      </c>
      <c r="S36">
        <v>2050</v>
      </c>
      <c r="U36" s="276"/>
      <c r="V36" s="21" t="str">
        <f t="shared" ref="V36" si="4">"BU"&amp;V30</f>
        <v>BU2017</v>
      </c>
      <c r="W36" s="21" t="str">
        <f t="shared" ref="W36:AC36" si="5">"BU"&amp;W30</f>
        <v>BU2020</v>
      </c>
      <c r="X36" s="21" t="str">
        <f t="shared" si="5"/>
        <v>BU2025</v>
      </c>
      <c r="Y36" s="21" t="str">
        <f t="shared" si="5"/>
        <v>BU2030</v>
      </c>
      <c r="Z36" s="21" t="str">
        <f t="shared" si="5"/>
        <v>BU2035</v>
      </c>
      <c r="AA36" s="21" t="str">
        <f t="shared" si="5"/>
        <v>BU2040</v>
      </c>
      <c r="AB36" s="21" t="str">
        <f t="shared" si="5"/>
        <v>BU2045</v>
      </c>
      <c r="AC36" s="21" t="str">
        <f t="shared" si="5"/>
        <v>BU2050</v>
      </c>
      <c r="AD36" s="21"/>
      <c r="AE36" s="21" t="str">
        <f t="shared" ref="AE36" si="6">"BL"&amp;AE30</f>
        <v>BL2017</v>
      </c>
      <c r="AF36" s="21" t="str">
        <f t="shared" ref="AF36:AL36" si="7">"BL"&amp;AF30</f>
        <v>BL2020</v>
      </c>
      <c r="AG36" s="21" t="str">
        <f t="shared" si="7"/>
        <v>BL2025</v>
      </c>
      <c r="AH36" s="21" t="str">
        <f t="shared" si="7"/>
        <v>BL2030</v>
      </c>
      <c r="AI36" s="21" t="str">
        <f t="shared" si="7"/>
        <v>BL2035</v>
      </c>
      <c r="AJ36" s="21" t="str">
        <f t="shared" si="7"/>
        <v>BL2040</v>
      </c>
      <c r="AK36" s="21" t="str">
        <f t="shared" si="7"/>
        <v>BL2045</v>
      </c>
      <c r="AL36" s="21" t="str">
        <f t="shared" si="7"/>
        <v>BL2050</v>
      </c>
      <c r="AO36" s="21" t="str">
        <f>"U"&amp;AO$30</f>
        <v>U2017</v>
      </c>
      <c r="AP36" s="21" t="s">
        <v>401</v>
      </c>
      <c r="AQ36" s="21" t="str">
        <f>"U"&amp;AQ$30</f>
        <v>U2030</v>
      </c>
      <c r="AR36" s="21" t="s">
        <v>402</v>
      </c>
      <c r="AS36" s="21" t="str">
        <f>"U"&amp;AS$30</f>
        <v>U2050</v>
      </c>
      <c r="AT36" s="21" t="s">
        <v>134</v>
      </c>
      <c r="AU36" s="21" t="str">
        <f>"L"&amp;AU$30</f>
        <v>L2017</v>
      </c>
      <c r="AV36" s="21" t="s">
        <v>403</v>
      </c>
      <c r="AW36" s="21" t="str">
        <f>"L"&amp;AW$30</f>
        <v>L2030</v>
      </c>
      <c r="AX36" s="21" t="s">
        <v>404</v>
      </c>
      <c r="AY36" s="21" t="str">
        <f>"L"&amp;AY$30</f>
        <v>L2050</v>
      </c>
      <c r="AZ36" s="125"/>
      <c r="BA36" s="21"/>
      <c r="BB36" s="21" t="s">
        <v>401</v>
      </c>
      <c r="BC36" s="21" t="str">
        <f>"U"&amp;BC$30</f>
        <v>U2030</v>
      </c>
      <c r="BD36" s="21" t="s">
        <v>402</v>
      </c>
      <c r="BE36" s="21" t="str">
        <f>"U"&amp;BE$30</f>
        <v>U2050</v>
      </c>
      <c r="BF36" s="21" t="s">
        <v>134</v>
      </c>
      <c r="BG36" s="21" t="str">
        <f>"L"&amp;BG$30</f>
        <v>L2020</v>
      </c>
      <c r="BH36" s="21" t="str">
        <f>"L"&amp;BH$30</f>
        <v>L2030</v>
      </c>
      <c r="BI36" s="21" t="s">
        <v>404</v>
      </c>
      <c r="BJ36" s="21" t="str">
        <f>"L"&amp;BJ$30</f>
        <v>L2050</v>
      </c>
      <c r="BK36" s="125"/>
      <c r="BL36" s="21"/>
      <c r="BM36">
        <v>2017</v>
      </c>
      <c r="BN36" s="25">
        <v>2020</v>
      </c>
      <c r="BO36" s="25">
        <v>2030</v>
      </c>
      <c r="BP36" s="25">
        <v>2040</v>
      </c>
      <c r="BQ36">
        <v>2050</v>
      </c>
    </row>
    <row r="37" spans="1:84">
      <c r="A37" s="47" t="s">
        <v>110</v>
      </c>
      <c r="B37" s="30"/>
      <c r="C37" s="31">
        <v>1</v>
      </c>
      <c r="D37" s="31">
        <f t="shared" ref="D37:I37" si="8">C37+1</f>
        <v>2</v>
      </c>
      <c r="E37" s="31">
        <f t="shared" si="8"/>
        <v>3</v>
      </c>
      <c r="F37" s="31">
        <f t="shared" si="8"/>
        <v>4</v>
      </c>
      <c r="G37" s="31">
        <f t="shared" si="8"/>
        <v>5</v>
      </c>
      <c r="H37" s="31">
        <f t="shared" si="8"/>
        <v>6</v>
      </c>
      <c r="I37" s="31">
        <f t="shared" si="8"/>
        <v>7</v>
      </c>
      <c r="J37" s="31"/>
      <c r="L37" s="117"/>
      <c r="M37" s="118"/>
      <c r="N37" s="118"/>
      <c r="O37" s="25"/>
      <c r="P37" s="25"/>
      <c r="Q37" s="25"/>
      <c r="R37" s="25"/>
      <c r="S37" s="25"/>
      <c r="T37" s="25"/>
      <c r="U37" s="276"/>
      <c r="V37" s="21" t="s">
        <v>1061</v>
      </c>
      <c r="W37" s="21" t="str">
        <f t="shared" ref="W37:AC37" si="9">"U"&amp;W$33</f>
        <v>UFLO_MARK~UP~2020</v>
      </c>
      <c r="X37" s="21" t="str">
        <f t="shared" si="9"/>
        <v>UFLO_MARK~UP~2025</v>
      </c>
      <c r="Y37" s="21" t="str">
        <f t="shared" si="9"/>
        <v>UFLO_MARK~UP~2030</v>
      </c>
      <c r="Z37" s="21" t="str">
        <f t="shared" si="9"/>
        <v>UFLO_MARK~UP~2035</v>
      </c>
      <c r="AA37" s="21" t="str">
        <f t="shared" si="9"/>
        <v>UFLO_MARK~UP~2040</v>
      </c>
      <c r="AB37" s="21" t="str">
        <f t="shared" si="9"/>
        <v>UFLO_MARK~UP~2045</v>
      </c>
      <c r="AC37" s="21" t="str">
        <f t="shared" si="9"/>
        <v>UFLO_MARK~UP~2050</v>
      </c>
      <c r="AD37" s="21"/>
      <c r="AE37" s="21" t="s">
        <v>78</v>
      </c>
      <c r="AF37" s="21" t="s">
        <v>78</v>
      </c>
      <c r="AG37" s="21" t="s">
        <v>78</v>
      </c>
      <c r="AH37" s="21" t="s">
        <v>78</v>
      </c>
      <c r="AI37" s="21" t="s">
        <v>78</v>
      </c>
      <c r="AJ37" s="21" t="s">
        <v>78</v>
      </c>
      <c r="AK37" s="21" t="s">
        <v>78</v>
      </c>
      <c r="AL37" s="21" t="s">
        <v>78</v>
      </c>
      <c r="AM37" s="25"/>
      <c r="AN37" s="25"/>
      <c r="AO37" s="21" t="s">
        <v>873</v>
      </c>
      <c r="AP37" s="21" t="s">
        <v>873</v>
      </c>
      <c r="AQ37" s="21" t="s">
        <v>873</v>
      </c>
      <c r="AR37" s="21" t="s">
        <v>873</v>
      </c>
      <c r="AS37" s="21" t="s">
        <v>873</v>
      </c>
      <c r="AT37" s="21" t="s">
        <v>873</v>
      </c>
      <c r="AU37" s="21" t="s">
        <v>78</v>
      </c>
      <c r="AV37" s="21" t="s">
        <v>78</v>
      </c>
      <c r="AW37" s="21" t="s">
        <v>78</v>
      </c>
      <c r="AX37" s="21" t="s">
        <v>78</v>
      </c>
      <c r="AY37" s="21" t="s">
        <v>78</v>
      </c>
      <c r="AZ37" s="125"/>
      <c r="BA37" s="21"/>
      <c r="BB37" s="21" t="str">
        <f>"U"&amp;BB$33</f>
        <v>U</v>
      </c>
      <c r="BC37" s="21" t="str">
        <f>"U"&amp;BC$33</f>
        <v>U</v>
      </c>
      <c r="BD37" s="21" t="str">
        <f>"U"&amp;BD$33</f>
        <v>U</v>
      </c>
      <c r="BE37" s="21" t="str">
        <f>"U"&amp;BE$33</f>
        <v>U</v>
      </c>
      <c r="BF37" s="21" t="s">
        <v>131</v>
      </c>
      <c r="BG37" s="21" t="s">
        <v>78</v>
      </c>
      <c r="BH37" s="21" t="s">
        <v>78</v>
      </c>
      <c r="BI37" s="21" t="s">
        <v>78</v>
      </c>
      <c r="BJ37" s="21" t="s">
        <v>78</v>
      </c>
      <c r="BK37" s="125"/>
      <c r="BL37" s="21"/>
      <c r="BN37" s="25"/>
      <c r="BO37" s="25"/>
      <c r="BP37" s="25"/>
      <c r="BQ37" s="25"/>
    </row>
    <row r="38" spans="1:84" s="237" customFormat="1" ht="15">
      <c r="A38" s="577" t="s">
        <v>976</v>
      </c>
      <c r="B38" s="578"/>
      <c r="C38" s="579"/>
      <c r="D38" s="579"/>
      <c r="E38" s="580"/>
      <c r="F38" s="580"/>
      <c r="G38" s="580"/>
      <c r="H38" s="580"/>
      <c r="I38" s="581"/>
      <c r="L38" s="582"/>
      <c r="M38" s="582"/>
      <c r="N38" s="583"/>
      <c r="O38" s="584"/>
      <c r="P38" s="585"/>
      <c r="Q38" s="585"/>
      <c r="R38" s="585"/>
      <c r="S38" s="585"/>
      <c r="T38" s="585"/>
      <c r="U38" s="585"/>
      <c r="V38" s="585"/>
      <c r="W38" s="585"/>
      <c r="X38" s="585"/>
      <c r="Y38" s="585"/>
      <c r="Z38" s="585"/>
      <c r="AA38" s="585"/>
      <c r="AB38" s="585"/>
      <c r="AC38" s="585"/>
      <c r="AE38" s="585"/>
      <c r="AF38" s="585"/>
      <c r="AG38" s="585"/>
      <c r="AH38" s="585"/>
      <c r="AI38" s="585"/>
      <c r="AJ38" s="585"/>
      <c r="AK38" s="585"/>
      <c r="AL38" s="585"/>
      <c r="AM38" s="585"/>
      <c r="AN38" s="585"/>
      <c r="AO38" s="586" t="s">
        <v>111</v>
      </c>
      <c r="AP38" s="586"/>
      <c r="AQ38" s="586"/>
      <c r="AR38" s="586"/>
      <c r="AS38" s="586"/>
      <c r="AT38" s="586"/>
      <c r="AU38" s="586" t="s">
        <v>129</v>
      </c>
      <c r="AV38" s="586"/>
      <c r="AW38" s="586"/>
      <c r="AX38" s="586"/>
      <c r="AY38" s="586"/>
      <c r="AZ38" s="587"/>
      <c r="BA38" s="586"/>
      <c r="BB38" s="586"/>
      <c r="BC38" s="586"/>
      <c r="BD38" s="586"/>
      <c r="BE38" s="586"/>
      <c r="BF38" s="586"/>
      <c r="BG38" s="586"/>
      <c r="BH38" s="586"/>
      <c r="BI38" s="586"/>
      <c r="BJ38" s="586"/>
      <c r="BK38" s="586"/>
      <c r="BL38" s="586"/>
      <c r="BN38" s="585"/>
      <c r="BO38" s="585"/>
      <c r="BP38" s="585"/>
      <c r="BQ38" s="585"/>
    </row>
    <row r="39" spans="1:84" s="169" customFormat="1" ht="15" outlineLevel="1">
      <c r="A39" s="108" t="s">
        <v>977</v>
      </c>
      <c r="B39" s="30" t="s">
        <v>333</v>
      </c>
      <c r="C39" s="43" t="s">
        <v>242</v>
      </c>
      <c r="D39" s="43" t="s">
        <v>255</v>
      </c>
      <c r="E39" s="517">
        <f>INDEX(Lighting!$V$25:$V$35,MATCH(RES!D39,Lighting!$E$25:$E$35,0))</f>
        <v>3.5618185364705877</v>
      </c>
      <c r="F39" s="600">
        <v>1</v>
      </c>
      <c r="G39" s="600">
        <v>1</v>
      </c>
      <c r="H39" s="600">
        <f>N39/F39*(1+$D$31)</f>
        <v>18.320590648355044</v>
      </c>
      <c r="I39" s="628">
        <v>1E-3</v>
      </c>
      <c r="J39" s="601"/>
      <c r="K39" s="1" t="s">
        <v>450</v>
      </c>
      <c r="L39" s="516">
        <v>1</v>
      </c>
      <c r="M39" s="516">
        <f>IF($B39="","",SUMIF(Lighting!$A$25:$A$35,RES!$B39,Lighting!$N$25:$N$35))</f>
        <v>5.1436058464979943</v>
      </c>
      <c r="N39" s="40">
        <f>E39*M39</f>
        <v>18.320590648355044</v>
      </c>
      <c r="O39" s="25"/>
      <c r="P39" s="377">
        <f t="shared" ref="P39:S40" si="10">IF($G$16=0,BN39,IF($G$16=1,BS39,IF($G$16=2,BX39,IF($G$16=3,BN39,IF($G$16=4,BS39,"NA")))))</f>
        <v>3.5618185364705877</v>
      </c>
      <c r="Q39" s="377">
        <f t="shared" si="10"/>
        <v>4.579538282274509</v>
      </c>
      <c r="R39" s="377">
        <f t="shared" si="10"/>
        <v>5.3019294117647053</v>
      </c>
      <c r="S39" s="377">
        <f t="shared" si="10"/>
        <v>5.3019294117647053</v>
      </c>
      <c r="T39" s="208"/>
      <c r="U39" s="436"/>
      <c r="V39" s="50">
        <f>IF($G$16=1,AO39,IF($G$16=2,AO39,IF($G$16=3,BB39,AO39)))</f>
        <v>1</v>
      </c>
      <c r="W39" s="50">
        <f>IF($G$16=1,AP39,IF($G$16=2,AP39,IF($G$16=3,BB39,AP39)))</f>
        <v>1</v>
      </c>
      <c r="X39" s="50">
        <f>$V$32*W39+(1-$V$32)*Y39</f>
        <v>1</v>
      </c>
      <c r="Y39" s="50">
        <f>IF($G$16=1,AQ39,IF($G$16=2,AQ39,IF($G$16=3,BC39,AQ39)))</f>
        <v>1</v>
      </c>
      <c r="Z39" s="50">
        <f>$V$32*Y39+(1-$V$32)*AA39</f>
        <v>1</v>
      </c>
      <c r="AA39" s="50">
        <f>IF($G$16=1,AR39,IF($G$16=2,AR39,IF($G$16=3,BD39,AR39)))</f>
        <v>1</v>
      </c>
      <c r="AB39" s="50">
        <f>$V$32*AA39+(1-$V$32)*AC39</f>
        <v>1</v>
      </c>
      <c r="AC39" s="50">
        <f>IF($G$16=1,AS39,IF($G$16=2,AS39,IF($G$16=3,BE39,AS39)))</f>
        <v>1</v>
      </c>
      <c r="AD39" s="50"/>
      <c r="AE39" s="50">
        <f>IF($G$16=1,AU39,IF($G$16=2,AU39,IF($G$16=3,BH39,AU39)))</f>
        <v>1</v>
      </c>
      <c r="AF39" s="50">
        <f>IF($G$16=1,AV39,IF($G$16=2,AV39,IF($G$16=3,#REF!,AV39)))</f>
        <v>1</v>
      </c>
      <c r="AG39" s="50">
        <f>$V$32*AF39+(1-$V$32)*AH39</f>
        <v>1</v>
      </c>
      <c r="AH39" s="50">
        <f>IF($G$16=1,AW39,IF($G$16=2,AW39,IF($G$16=3,BH39,AW39)))</f>
        <v>1</v>
      </c>
      <c r="AI39" s="50">
        <f>$V$32*AH39+(1-$V$32)*AJ39</f>
        <v>1</v>
      </c>
      <c r="AJ39" s="50">
        <f>IF($G$16=1,AX39,IF($G$16=2,AX39,IF($G$16=3,BI39,AX39)))</f>
        <v>1</v>
      </c>
      <c r="AK39" s="50">
        <f>$V$32*AJ39+(1-$V$32)*AL39</f>
        <v>1</v>
      </c>
      <c r="AL39" s="50">
        <f>IF($G$16=1,AY39,IF($G$16=2,AY39,IF($G$16=3,BJ39,AY39)))</f>
        <v>1</v>
      </c>
      <c r="AM39" s="347">
        <f>ROW()</f>
        <v>39</v>
      </c>
      <c r="AN39" s="347"/>
      <c r="AO39" s="140">
        <f>(IFERROR(IF(N39/(SUMIF(RES!$D$39:$D$145,D39,$N$39:$N$145))=1,1,(N39/(SUMIF(RES!$D$39:$D$145,D39,$N$39:$N$145))+$AO$28)),0))</f>
        <v>1</v>
      </c>
      <c r="AP39" s="172">
        <f>AO39</f>
        <v>1</v>
      </c>
      <c r="AQ39" s="172">
        <f t="shared" ref="AQ39:AS39" si="11">AP39</f>
        <v>1</v>
      </c>
      <c r="AR39" s="172">
        <f t="shared" si="11"/>
        <v>1</v>
      </c>
      <c r="AS39" s="172">
        <f t="shared" si="11"/>
        <v>1</v>
      </c>
      <c r="AT39" s="173"/>
      <c r="AU39" s="172">
        <f>(IFERROR(IF($N39/(SUMIF(RES!$D$39:$D$145,$D39,$N$39:$N$145))=1,1,($N39/(SUMIF(RES!$D$39:$D$145,$D39,$N$39:$N$145))-$AO$28)),0))</f>
        <v>1</v>
      </c>
      <c r="AV39" s="172">
        <f>(IFERROR(IF($N39/(SUMIF(RES!$D$39:$D$145,$D39,$N$39:$N$145))=1,1,($N39/(SUMIF(RES!$D$39:$D$145,$D39,$N$39:$N$145))-$AO$28)),0))</f>
        <v>1</v>
      </c>
      <c r="AW39" s="172">
        <f>(IFERROR(IF($N39/(SUMIF(RES!$D$39:$D$145,$D39,$N$39:$N$145))=1,1,($N39/(SUMIF(RES!$D$39:$D$145,$D39,$N$39:$N$145))-$AO$28)),0))</f>
        <v>1</v>
      </c>
      <c r="AX39" s="172">
        <f>(IFERROR(IF($N39/(SUMIF(RES!$D$39:$D$145,$D39,$N$39:$N$145))=1,1,($N39/(SUMIF(RES!$D$39:$D$145,$D39,$N$39:$N$145))-$AO$28)),0))</f>
        <v>1</v>
      </c>
      <c r="AY39" s="172">
        <f>(IFERROR(IF($N39/(SUMIF(RES!$D$39:$D$145,$D39,$N$39:$N$145))=1,1,($N39/(SUMIF(RES!$D$39:$D$145,$D39,$N$39:$N$145))-$AO$28)),0))</f>
        <v>1</v>
      </c>
      <c r="AZ39" s="175">
        <f>ROW()</f>
        <v>39</v>
      </c>
      <c r="BA39" s="172"/>
      <c r="BB39" s="172">
        <f>IF(AP39="","",AP39)</f>
        <v>1</v>
      </c>
      <c r="BC39" s="172">
        <f>IF(AQ39="","",AQ39)</f>
        <v>1</v>
      </c>
      <c r="BD39" s="172">
        <f>IF(AR39="","",AR39)</f>
        <v>1</v>
      </c>
      <c r="BE39" s="172">
        <f>IF(AS39="","",AS39)</f>
        <v>1</v>
      </c>
      <c r="BF39" s="173" t="str">
        <f>IF(AT39="","",AT39)</f>
        <v/>
      </c>
      <c r="BG39" s="172">
        <f>IF(AV39="","",AV39)</f>
        <v>1</v>
      </c>
      <c r="BH39" s="172">
        <f>IF(AW39="","",AW39)</f>
        <v>1</v>
      </c>
      <c r="BI39" s="172">
        <f>IF(AX39="","",AX39)</f>
        <v>1</v>
      </c>
      <c r="BJ39" s="172">
        <f>IF(AY39="","",AY39)</f>
        <v>1</v>
      </c>
      <c r="BK39" s="175">
        <f>IF(AZ39="","",AZ39)</f>
        <v>39</v>
      </c>
      <c r="BL39" s="173" t="s">
        <v>517</v>
      </c>
      <c r="BM39" s="527">
        <f>E39</f>
        <v>3.5618185364705877</v>
      </c>
      <c r="BN39" s="377">
        <f>INDEX(Lighting!$V$25:$V$35,MATCH(RES!D39,Lighting!$E$25:$E$35,0))</f>
        <v>3.5618185364705877</v>
      </c>
      <c r="BO39" s="207">
        <f>IF($B39="","",SUMIF(Lighting!$A$25:$A$35,RES!$B39,Lighting!$W$25:$W$35))</f>
        <v>4.579538282274509</v>
      </c>
      <c r="BP39" s="207">
        <f>IF($B39="","",SUMIF(Lighting!$A$25:$A$35,RES!$B39,Lighting!$X$25:$X$35))</f>
        <v>5.3019294117647053</v>
      </c>
      <c r="BQ39" s="207">
        <f>IF($B39="","",SUMIF(Lighting!$A$25:$A$35,RES!$B39,Lighting!$Y$25:$Y$35))</f>
        <v>5.3019294117647053</v>
      </c>
      <c r="BS39"/>
      <c r="BT39"/>
      <c r="BU39"/>
      <c r="BV39"/>
      <c r="BW39"/>
      <c r="BX39"/>
      <c r="BY39"/>
      <c r="BZ39"/>
      <c r="CA39"/>
      <c r="CB39"/>
      <c r="CC39"/>
      <c r="CD39"/>
      <c r="CE39"/>
      <c r="CF39"/>
    </row>
    <row r="40" spans="1:84" s="169" customFormat="1" ht="15" outlineLevel="1">
      <c r="A40" s="108" t="s">
        <v>1066</v>
      </c>
      <c r="B40" s="30" t="s">
        <v>1065</v>
      </c>
      <c r="C40" s="43" t="s">
        <v>244</v>
      </c>
      <c r="D40" s="43" t="s">
        <v>272</v>
      </c>
      <c r="E40" s="43">
        <v>0.1</v>
      </c>
      <c r="F40" s="600">
        <v>1</v>
      </c>
      <c r="G40" s="600">
        <v>1</v>
      </c>
      <c r="H40" s="600">
        <f>N40/F40*(1+$D$31)</f>
        <v>3.6541482196776116E-2</v>
      </c>
      <c r="I40" s="628">
        <v>1E-3</v>
      </c>
      <c r="J40" s="601"/>
      <c r="K40"/>
      <c r="L40" s="600">
        <v>1</v>
      </c>
      <c r="M40" s="516">
        <f>IF(C40="","",SUMIFS(Energy_Balance!I$55:I$160,Energy_Balance!$C$55:$C$160,C40,Energy_Balance!$D$55:$D$160,D40)*L40)</f>
        <v>0.36541482196776115</v>
      </c>
      <c r="N40" s="40">
        <f>E40*M40</f>
        <v>3.6541482196776116E-2</v>
      </c>
      <c r="O40" s="25"/>
      <c r="P40" s="377">
        <f t="shared" si="10"/>
        <v>0.1</v>
      </c>
      <c r="Q40" s="377">
        <f t="shared" si="10"/>
        <v>0.1</v>
      </c>
      <c r="R40" s="377">
        <f t="shared" si="10"/>
        <v>0.1</v>
      </c>
      <c r="S40" s="377">
        <f t="shared" si="10"/>
        <v>0.1</v>
      </c>
      <c r="T40" s="208"/>
      <c r="U40" s="50"/>
      <c r="V40" s="50">
        <f>IF($G$16=1,AO40,IF($G$16=2,AO40,IF($G$16=3,BB40,AO40)))</f>
        <v>1</v>
      </c>
      <c r="W40" s="50">
        <f>IF($G$16=1,AP40,IF($G$16=2,AP40,IF($G$16=3,BB40,AP40)))</f>
        <v>1</v>
      </c>
      <c r="X40" s="50">
        <f>$V$32*W40+(1-$V$32)*Y40</f>
        <v>1</v>
      </c>
      <c r="Y40" s="50">
        <f>IF($G$16=1,AQ40,IF($G$16=2,AQ40,IF($G$16=3,BC40,AQ40)))</f>
        <v>1</v>
      </c>
      <c r="Z40" s="50">
        <f>$V$32*Y40+(1-$V$32)*AA40</f>
        <v>1</v>
      </c>
      <c r="AA40" s="50">
        <f>IF($G$16=1,AR40,IF($G$16=2,AR40,IF($G$16=3,BD40,AR40)))</f>
        <v>1</v>
      </c>
      <c r="AB40" s="50">
        <f>$V$32*AA40+(1-$V$32)*AC40</f>
        <v>1</v>
      </c>
      <c r="AC40" s="50">
        <f>IF($G$16=1,AS40,IF($G$16=2,AS40,IF($G$16=3,BE40,AS40)))</f>
        <v>1</v>
      </c>
      <c r="AD40" s="50"/>
      <c r="AE40" s="50">
        <f>IF($G$16=1,AU40,IF($G$16=2,AU40,IF($G$16=3,BH40,AU40)))</f>
        <v>1</v>
      </c>
      <c r="AF40" s="50">
        <f>IF($G$16=1,AV40,IF($G$16=2,AV40,IF($G$16=3,#REF!,AV40)))</f>
        <v>1</v>
      </c>
      <c r="AG40" s="50">
        <f>$V$32*AF40+(1-$V$32)*AH40</f>
        <v>1</v>
      </c>
      <c r="AH40" s="50">
        <f>IF($G$16=1,AW40,IF($G$16=2,AW40,IF($G$16=3,BH40,AW40)))</f>
        <v>1</v>
      </c>
      <c r="AI40" s="50">
        <f>$V$32*AH40+(1-$V$32)*AJ40</f>
        <v>1</v>
      </c>
      <c r="AJ40" s="50">
        <f>IF($G$16=1,AX40,IF($G$16=2,AX40,IF($G$16=3,BI40,AX40)))</f>
        <v>1</v>
      </c>
      <c r="AK40" s="50">
        <f>$V$32*AJ40+(1-$V$32)*AL40</f>
        <v>1</v>
      </c>
      <c r="AL40" s="50">
        <f>IF($G$16=1,AY40,IF($G$16=2,AY40,IF($G$16=3,BJ40,AY40)))</f>
        <v>1</v>
      </c>
      <c r="AM40" s="347"/>
      <c r="AN40" s="347"/>
      <c r="AO40" s="140">
        <f>(IFERROR(IF(N40/(SUMIF(RES!$D$39:$D$145,D40,$N$39:$N$145))=1,1,(N40/(SUMIF(RES!$D$39:$D$145,D40,$N$39:$N$145))+$AO$28)),0))</f>
        <v>1</v>
      </c>
      <c r="AP40" s="172">
        <f>AO40</f>
        <v>1</v>
      </c>
      <c r="AQ40" s="172">
        <f t="shared" ref="AQ40" si="12">AP40</f>
        <v>1</v>
      </c>
      <c r="AR40" s="172">
        <f t="shared" ref="AR40" si="13">AQ40</f>
        <v>1</v>
      </c>
      <c r="AS40" s="172">
        <f t="shared" ref="AS40" si="14">AR40</f>
        <v>1</v>
      </c>
      <c r="AT40" s="173"/>
      <c r="AU40" s="172">
        <f>(IFERROR(IF($N40/(SUMIF(RES!$D$39:$D$145,$D40,$N$39:$N$145))=1,1,($N40/(SUMIF(RES!$D$39:$D$145,$D40,$N$39:$N$145))-$AO$28)),0))</f>
        <v>1</v>
      </c>
      <c r="AV40" s="172">
        <f>(IFERROR(IF($N40/(SUMIF(RES!$D$39:$D$145,$D40,$N$39:$N$145))=1,1,($N40/(SUMIF(RES!$D$39:$D$145,$D40,$N$39:$N$145))-$AO$28)),0))</f>
        <v>1</v>
      </c>
      <c r="AW40" s="172">
        <f>(IFERROR(IF($N40/(SUMIF(RES!$D$39:$D$145,$D40,$N$39:$N$145))=1,1,($N40/(SUMIF(RES!$D$39:$D$145,$D40,$N$39:$N$145))-$AO$28)),0))</f>
        <v>1</v>
      </c>
      <c r="AX40" s="172">
        <f>(IFERROR(IF($N40/(SUMIF(RES!$D$39:$D$145,$D40,$N$39:$N$145))=1,1,($N40/(SUMIF(RES!$D$39:$D$145,$D40,$N$39:$N$145))-$AO$28)),0))</f>
        <v>1</v>
      </c>
      <c r="AY40" s="172">
        <f>(IFERROR(IF($N40/(SUMIF(RES!$D$39:$D$145,$D40,$N$39:$N$145))=1,1,($N40/(SUMIF(RES!$D$39:$D$145,$D40,$N$39:$N$145))-$AO$28)),0))</f>
        <v>1</v>
      </c>
      <c r="AZ40" s="175"/>
      <c r="BA40" s="172"/>
      <c r="BB40" s="172">
        <f>IF(AP40="","",AP40)</f>
        <v>1</v>
      </c>
      <c r="BC40" s="172">
        <f>IF(AQ40="","",AQ40)</f>
        <v>1</v>
      </c>
      <c r="BD40" s="172">
        <f>IF(AR40="","",AR40)</f>
        <v>1</v>
      </c>
      <c r="BE40" s="172">
        <f>IF(AS40="","",AS40)</f>
        <v>1</v>
      </c>
      <c r="BF40" s="173"/>
      <c r="BG40" s="172">
        <f>IF(AV40="","",AV40)</f>
        <v>1</v>
      </c>
      <c r="BH40" s="172">
        <f>IF(AW40="","",AW40)</f>
        <v>1</v>
      </c>
      <c r="BI40" s="172">
        <f>IF(AX40="","",AX40)</f>
        <v>1</v>
      </c>
      <c r="BJ40" s="172">
        <f>IF(AY40="","",AY40)</f>
        <v>1</v>
      </c>
      <c r="BK40" s="175"/>
      <c r="BL40" s="173"/>
      <c r="BM40" s="527">
        <f>E40</f>
        <v>0.1</v>
      </c>
      <c r="BN40" s="377">
        <f>BM40</f>
        <v>0.1</v>
      </c>
      <c r="BO40" s="377">
        <f t="shared" ref="BO40:BQ40" si="15">BN40</f>
        <v>0.1</v>
      </c>
      <c r="BP40" s="377">
        <f t="shared" si="15"/>
        <v>0.1</v>
      </c>
      <c r="BQ40" s="377">
        <f t="shared" si="15"/>
        <v>0.1</v>
      </c>
      <c r="BS40"/>
      <c r="BT40"/>
      <c r="BU40"/>
      <c r="BV40"/>
      <c r="BW40"/>
      <c r="BX40"/>
      <c r="BY40"/>
      <c r="BZ40"/>
      <c r="CA40"/>
      <c r="CB40"/>
      <c r="CC40"/>
      <c r="CD40"/>
      <c r="CE40"/>
      <c r="CF40"/>
    </row>
    <row r="41" spans="1:84" s="195" customFormat="1" ht="15">
      <c r="A41" s="556" t="s">
        <v>974</v>
      </c>
      <c r="B41" s="557" t="s">
        <v>334</v>
      </c>
      <c r="C41" s="558" t="s">
        <v>334</v>
      </c>
      <c r="D41" s="575"/>
      <c r="E41" s="559" t="str">
        <f>IF(D41="","",IF(COUNTIF(#REF!,$B41)=1,SUMIF(#REF!,RES!B41,#REF!),SUMIF(#REF!,RES!$B41,#REF!)))</f>
        <v/>
      </c>
      <c r="F41" s="559" t="str">
        <f>IF($B41="","",SUMIF(#REF!,RES!$B41,#REF!))</f>
        <v/>
      </c>
      <c r="G41" s="576" t="str">
        <f>IF(B41="","",SUMIF(#REF!,RES!B41,#REF!))</f>
        <v/>
      </c>
      <c r="H41" s="561" t="str">
        <f t="shared" ref="H41:H42" si="16">IFERROR((N41/F41*(1+$D$31))," ")</f>
        <v xml:space="preserve"> </v>
      </c>
      <c r="I41" s="629" t="str">
        <f>IF($B41="","",SUMIF(#REF!,RES!$B41,#REF!))</f>
        <v/>
      </c>
      <c r="J41" s="576" t="str">
        <f>IF($B41="","",SUMIF(#REF!,RES!$B41,#REF!))</f>
        <v/>
      </c>
      <c r="K41" s="560"/>
      <c r="L41" s="561"/>
      <c r="M41" s="561">
        <f>SUM(M37:M39)</f>
        <v>5.1436058464979943</v>
      </c>
      <c r="N41" s="561">
        <f>SUM(N37:N39)</f>
        <v>18.320590648355044</v>
      </c>
      <c r="O41" s="196"/>
      <c r="P41" s="562"/>
      <c r="Q41" s="562"/>
      <c r="R41" s="562"/>
      <c r="S41" s="562"/>
      <c r="T41" s="563"/>
      <c r="U41" s="564"/>
      <c r="V41" s="564">
        <f>IF($G$16=1,AO41,IF($G$16=2,AO41,IF($G$16=3,BB41,AO41)))</f>
        <v>0</v>
      </c>
      <c r="W41" s="564"/>
      <c r="X41" s="564"/>
      <c r="Y41" s="564"/>
      <c r="Z41" s="564"/>
      <c r="AA41" s="564"/>
      <c r="AB41" s="564"/>
      <c r="AC41" s="564"/>
      <c r="AD41" s="564"/>
      <c r="AE41" s="564">
        <f>IF($G$16=1,AU41,IF($G$16=2,AU41,IF($G$16=3,BH41,AU41)))</f>
        <v>0</v>
      </c>
      <c r="AF41" s="564"/>
      <c r="AG41" s="564"/>
      <c r="AH41" s="564"/>
      <c r="AI41" s="564"/>
      <c r="AJ41" s="564"/>
      <c r="AK41" s="564"/>
      <c r="AL41" s="564"/>
      <c r="AO41" s="573"/>
      <c r="AP41" s="573"/>
      <c r="AQ41" s="573"/>
      <c r="AR41" s="573"/>
      <c r="AS41" s="573"/>
      <c r="AT41" s="567"/>
      <c r="AU41" s="569"/>
      <c r="AV41" s="569"/>
      <c r="AW41" s="569"/>
      <c r="AX41" s="569"/>
      <c r="AY41" s="569"/>
      <c r="AZ41" s="568"/>
      <c r="BA41" s="573"/>
      <c r="BB41" s="573" t="str">
        <f t="shared" ref="BB41:BB50" si="17">IF(AP41="","",AP41)</f>
        <v/>
      </c>
      <c r="BC41" s="573" t="str">
        <f t="shared" ref="BC41:BC50" si="18">IF(AQ41="","",AQ41)</f>
        <v/>
      </c>
      <c r="BD41" s="573" t="str">
        <f t="shared" ref="BD41:BD50" si="19">IF(AR41="","",AR41)</f>
        <v/>
      </c>
      <c r="BE41" s="573" t="str">
        <f t="shared" ref="BE41:BE50" si="20">IF(AS41="","",AS41)</f>
        <v/>
      </c>
      <c r="BF41" s="567" t="str">
        <f t="shared" ref="BF41:BF50" si="21">IF(AT41="","",AT41)</f>
        <v/>
      </c>
      <c r="BG41" s="569"/>
      <c r="BH41" s="569" t="str">
        <f t="shared" ref="BH41:BH62" si="22">IF(AW41="","",AW41)</f>
        <v/>
      </c>
      <c r="BI41" s="569" t="str">
        <f t="shared" ref="BI41:BI62" si="23">IF(AX41="","",AX41)</f>
        <v/>
      </c>
      <c r="BJ41" s="569" t="str">
        <f t="shared" ref="BJ41:BJ62" si="24">IF(AY41="","",AY41)</f>
        <v/>
      </c>
      <c r="BK41" s="568" t="str">
        <f t="shared" ref="BK41:BK62" si="25">IF(AZ41="","",AZ41)</f>
        <v/>
      </c>
      <c r="BL41" s="567"/>
      <c r="BN41" s="562" t="str">
        <f>IF(D41="","",IF(COUNTIF(#REF!,$B41)=1,SUMIF(#REF!,RES!$B41,#REF!),SUMIF(#REF!,RES!$B41,#REF!)))</f>
        <v/>
      </c>
      <c r="BO41" s="562" t="str">
        <f>IF(E41="","",IF(COUNTIF(#REF!,$B41)=1,SUMIF(#REF!,RES!$B41,#REF!),SUMIF(#REF!,RES!$B41,#REF!)))</f>
        <v/>
      </c>
      <c r="BP41" s="562" t="str">
        <f>IF(F41="","",IF(COUNTIF(#REF!,$B41)=1,SUMIF(#REF!,RES!$B41,#REF!),SUMIF(#REF!,RES!$B41,#REF!)))</f>
        <v/>
      </c>
      <c r="BQ41" s="562" t="str">
        <f>IF(G41="","",IF(COUNTIF(#REF!,$B41)=1,SUMIF(#REF!,RES!$B41,#REF!),SUMIF(#REF!,RES!$B41,#REF!)))</f>
        <v/>
      </c>
    </row>
    <row r="42" spans="1:84" s="237" customFormat="1" ht="15">
      <c r="A42" s="577" t="s">
        <v>978</v>
      </c>
      <c r="B42" s="578" t="s">
        <v>334</v>
      </c>
      <c r="C42" s="588" t="s">
        <v>334</v>
      </c>
      <c r="D42" s="589"/>
      <c r="E42" s="590" t="str">
        <f>IF(D42="","",IF(COUNTIF(#REF!,$B42)=1,SUMIF(#REF!,RES!B42,#REF!),SUMIF(#REF!,RES!$B42,#REF!)))</f>
        <v/>
      </c>
      <c r="F42" s="590" t="str">
        <f>IF($B42="","",SUMIF(#REF!,RES!$B42,#REF!))</f>
        <v/>
      </c>
      <c r="G42" s="591" t="str">
        <f>IF(B42="","",SUMIF(#REF!,RES!B42,#REF!))</f>
        <v/>
      </c>
      <c r="H42" s="592" t="str">
        <f t="shared" si="16"/>
        <v xml:space="preserve"> </v>
      </c>
      <c r="I42" s="630" t="str">
        <f>IF($B42="","",SUMIF(#REF!,RES!$B42,#REF!))</f>
        <v/>
      </c>
      <c r="J42" s="591" t="str">
        <f>IF($B42="","",SUMIF(#REF!,RES!$B42,#REF!))</f>
        <v/>
      </c>
      <c r="K42" s="579"/>
      <c r="L42" s="592"/>
      <c r="M42" s="592"/>
      <c r="N42" s="592"/>
      <c r="O42" s="584"/>
      <c r="P42" s="593"/>
      <c r="Q42" s="593"/>
      <c r="R42" s="593"/>
      <c r="S42" s="593"/>
      <c r="T42" s="594"/>
      <c r="U42" s="595"/>
      <c r="V42" s="595">
        <f>IF($G$16=1,AO42,IF($G$16=2,AO42,IF($G$16=3,BB42,AO42)))</f>
        <v>0</v>
      </c>
      <c r="W42" s="595"/>
      <c r="X42" s="595"/>
      <c r="Y42" s="595"/>
      <c r="Z42" s="595"/>
      <c r="AA42" s="595"/>
      <c r="AB42" s="595"/>
      <c r="AC42" s="595"/>
      <c r="AD42" s="595"/>
      <c r="AE42" s="595">
        <f>IF($G$16=1,AU42,IF($G$16=2,AU42,IF($G$16=3,BH42,AU42)))</f>
        <v>0</v>
      </c>
      <c r="AF42" s="595"/>
      <c r="AG42" s="595"/>
      <c r="AH42" s="595"/>
      <c r="AI42" s="595"/>
      <c r="AJ42" s="595"/>
      <c r="AK42" s="595"/>
      <c r="AL42" s="595"/>
      <c r="AO42" s="596"/>
      <c r="AP42" s="596"/>
      <c r="AQ42" s="596"/>
      <c r="AR42" s="596"/>
      <c r="AS42" s="596"/>
      <c r="AT42" s="586"/>
      <c r="AU42" s="596"/>
      <c r="AV42" s="596"/>
      <c r="AW42" s="596"/>
      <c r="AX42" s="596"/>
      <c r="AY42" s="596"/>
      <c r="AZ42" s="587"/>
      <c r="BA42" s="596"/>
      <c r="BB42" s="596" t="str">
        <f t="shared" si="17"/>
        <v/>
      </c>
      <c r="BC42" s="596" t="str">
        <f t="shared" si="18"/>
        <v/>
      </c>
      <c r="BD42" s="596" t="str">
        <f t="shared" si="19"/>
        <v/>
      </c>
      <c r="BE42" s="596" t="str">
        <f t="shared" si="20"/>
        <v/>
      </c>
      <c r="BF42" s="586" t="str">
        <f t="shared" si="21"/>
        <v/>
      </c>
      <c r="BG42" s="596"/>
      <c r="BH42" s="596" t="str">
        <f t="shared" si="22"/>
        <v/>
      </c>
      <c r="BI42" s="596" t="str">
        <f t="shared" si="23"/>
        <v/>
      </c>
      <c r="BJ42" s="596" t="str">
        <f t="shared" si="24"/>
        <v/>
      </c>
      <c r="BK42" s="587" t="str">
        <f t="shared" si="25"/>
        <v/>
      </c>
      <c r="BL42" s="586"/>
      <c r="BN42" s="593" t="str">
        <f>IF(D42="","",IF(COUNTIF(#REF!,$B42)=1,SUMIF(#REF!,RES!$B42,#REF!),SUMIF(#REF!,RES!$B42,#REF!)))</f>
        <v/>
      </c>
      <c r="BO42" s="593" t="str">
        <f>IF(E42="","",IF(COUNTIF(#REF!,$B42)=1,SUMIF(#REF!,RES!$B42,#REF!),SUMIF(#REF!,RES!$B42,#REF!)))</f>
        <v/>
      </c>
      <c r="BP42" s="593" t="str">
        <f>IF(F42="","",IF(COUNTIF(#REF!,$B42)=1,SUMIF(#REF!,RES!$B42,#REF!),SUMIF(#REF!,RES!$B42,#REF!)))</f>
        <v/>
      </c>
      <c r="BQ42" s="593" t="str">
        <f>IF(G42="","",IF(COUNTIF(#REF!,$B42)=1,SUMIF(#REF!,RES!$B42,#REF!),SUMIF(#REF!,RES!$B42,#REF!)))</f>
        <v/>
      </c>
    </row>
    <row r="43" spans="1:84" ht="15.35" outlineLevel="1">
      <c r="A43" s="108" t="s">
        <v>979</v>
      </c>
      <c r="B43" s="30" t="s">
        <v>335</v>
      </c>
      <c r="C43" s="43" t="s">
        <v>242</v>
      </c>
      <c r="D43" s="43" t="s">
        <v>256</v>
      </c>
      <c r="E43" s="525">
        <f>INDEX('Electrical efficiency'!$L$8:$L$23,MATCH(RES!D43,'Electrical efficiency'!$K$8:$K$23,0))</f>
        <v>0.8</v>
      </c>
      <c r="F43" s="600">
        <v>1</v>
      </c>
      <c r="G43" s="600">
        <v>1</v>
      </c>
      <c r="H43" s="600">
        <f>N43/F43*(1+$D$31)</f>
        <v>7.7122489268427179</v>
      </c>
      <c r="I43" s="628">
        <v>1E-3</v>
      </c>
      <c r="J43" s="517"/>
      <c r="K43" s="48" t="s">
        <v>931</v>
      </c>
      <c r="L43" s="516">
        <v>1</v>
      </c>
      <c r="M43" s="516">
        <f>IF(C43="","",SUMIFS(Energy_Balance!I$55:I$160,Energy_Balance!$C$55:$C$160,C43,Energy_Balance!$D$55:$D$160,D43)*L43)</f>
        <v>9.6403111585533967</v>
      </c>
      <c r="N43" s="516">
        <f>E43*M43</f>
        <v>7.7122489268427179</v>
      </c>
      <c r="O43" s="25"/>
      <c r="P43" s="377">
        <f t="shared" ref="P43:S47" si="26">IF($G$16=0,BN43,IF($G$16=1,BS43,IF($G$16=2,BX43,IF($G$16=3,BN43,IF($G$16=4,BS43,"NA")))))</f>
        <v>0.80808080808080818</v>
      </c>
      <c r="Q43" s="377">
        <f t="shared" si="26"/>
        <v>0.85106382978723405</v>
      </c>
      <c r="R43" s="377">
        <f t="shared" si="26"/>
        <v>0.86021505376344087</v>
      </c>
      <c r="S43" s="377">
        <f t="shared" si="26"/>
        <v>0.86021505376344087</v>
      </c>
      <c r="T43" s="208"/>
      <c r="U43" s="50"/>
      <c r="V43" s="50">
        <f t="shared" ref="V43:W47" si="27">IF($G$16=1,AO43,IF($G$16=2,AO43,IF($G$16=3,BA43,AO43)))</f>
        <v>0.64141606003273188</v>
      </c>
      <c r="W43" s="50">
        <f t="shared" si="27"/>
        <v>0.67066766463449989</v>
      </c>
      <c r="X43" s="50">
        <f>$V$32*W43+(1-$V$32)*Y43</f>
        <v>0.68636300052437094</v>
      </c>
      <c r="Y43" s="50">
        <f>IF($G$16=1,AQ43,IF($G$16=2,AQ43,IF($G$16=3,BC43,AQ43)))</f>
        <v>0.71252189367415608</v>
      </c>
      <c r="Z43" s="50">
        <f>$V$32*Y43+(1-$V$32)*AA43</f>
        <v>0.82032618354634756</v>
      </c>
      <c r="AA43" s="50">
        <f>IF($G$16=1,AR43,IF($G$16=2,AR43,IF($G$16=3,BD43,AR43)))</f>
        <v>1</v>
      </c>
      <c r="AB43" s="50">
        <f>$V$32*AA43+(1-$V$32)*AC43</f>
        <v>1</v>
      </c>
      <c r="AC43" s="50">
        <f>IF($G$16=1,AS43,IF($G$16=2,AS43,IF($G$16=3,BE43,AS43)))</f>
        <v>1</v>
      </c>
      <c r="AD43" s="50"/>
      <c r="AE43" s="50">
        <f>IF($G$16=1,AU43,IF($G$16=2,AU43,IF($G$16=3,#REF!,AU43)))</f>
        <v>0.64031606003273189</v>
      </c>
      <c r="AF43" s="50">
        <f>IF($G$16=1,AV43,IF($G$16=2,AV43,IF($G$16=3,#REF!,AV43)))</f>
        <v>0.66751921438980177</v>
      </c>
      <c r="AG43" s="50">
        <f>$V$32*AF43+(1-$V$32)*AH43</f>
        <v>0.68318763347706268</v>
      </c>
      <c r="AH43" s="50">
        <f>IF($G$16=1,AW43,IF($G$16=2,AW43,IF($G$16=3,BH43,AW43)))</f>
        <v>0.70930166528916416</v>
      </c>
      <c r="AI43" s="50">
        <f>$V$32*AH43+(1-$V$32)*AJ43</f>
        <v>0.72497008437642507</v>
      </c>
      <c r="AJ43" s="50">
        <f>IF($G$16=1,AX43,IF($G$16=2,AX43,IF($G$16=3,BI43,AX43)))</f>
        <v>0.75108411618852677</v>
      </c>
      <c r="AK43" s="50">
        <f>$V$32*AJ43+(1-$V$32)*AL43</f>
        <v>0.76675253527578779</v>
      </c>
      <c r="AL43" s="50">
        <f>IF($G$16=1,AY43,IF($G$16=2,AY43,IF($G$16=3,BJ43,AY43)))</f>
        <v>0.7928665670878895</v>
      </c>
      <c r="AO43" s="447">
        <f>(IFERROR(IF(N43/(SUMIF(RES!$D$39:$D$145,D43,$N$39:$N$145))=1,1,(N43/(SUMIF(RES!$D$39:$D$145,D43,$N$39:$N$145))+$AO$28)),0))</f>
        <v>0.64141606003273188</v>
      </c>
      <c r="AP43" s="297">
        <f>$AO43*(1+'Census 2011_17'!B$20)+$AO$28</f>
        <v>0.67066766463449989</v>
      </c>
      <c r="AQ43" s="297">
        <f>$AO43*(1+'Census 2011_17'!C$20)+$AO$28</f>
        <v>0.71252189367415608</v>
      </c>
      <c r="AR43" s="459">
        <v>1</v>
      </c>
      <c r="AS43" s="459">
        <v>1</v>
      </c>
      <c r="AT43" s="21"/>
      <c r="AU43" s="471">
        <f>(IFERROR(IF($N43/(SUMIF(RES!$D$39:$D$145,$D43,$N$39:$N$145))=1,1,($N43/(SUMIF(RES!$D$39:$D$145,$D43,$N$39:$N$145))-$AU$28)),0))</f>
        <v>0.64031606003273189</v>
      </c>
      <c r="AV43" s="447">
        <f>$AU43*(1+'Census 2011_17'!B$20)-$AO$28</f>
        <v>0.66751921438980177</v>
      </c>
      <c r="AW43" s="447">
        <f>$AU43*(1+'Census 2011_17'!C$20)-$AO$28</f>
        <v>0.70930166528916416</v>
      </c>
      <c r="AX43" s="447">
        <f>$AU43*(1+'Census 2011_17'!D$20)-$AO$28</f>
        <v>0.75108411618852677</v>
      </c>
      <c r="AY43" s="447">
        <f>$AU43*(1+'Census 2011_17'!E$20)-$AO$28</f>
        <v>0.7928665670878895</v>
      </c>
      <c r="AZ43" s="125"/>
      <c r="BA43" s="140"/>
      <c r="BB43" s="140">
        <f t="shared" si="17"/>
        <v>0.67066766463449989</v>
      </c>
      <c r="BC43" s="140">
        <f t="shared" si="18"/>
        <v>0.71252189367415608</v>
      </c>
      <c r="BD43" s="140">
        <f t="shared" si="19"/>
        <v>1</v>
      </c>
      <c r="BE43" s="140">
        <f t="shared" si="20"/>
        <v>1</v>
      </c>
      <c r="BF43" s="21" t="str">
        <f t="shared" si="21"/>
        <v/>
      </c>
      <c r="BG43" s="172"/>
      <c r="BH43" s="140">
        <f t="shared" si="22"/>
        <v>0.70930166528916416</v>
      </c>
      <c r="BI43" s="140">
        <f t="shared" si="23"/>
        <v>0.75108411618852677</v>
      </c>
      <c r="BJ43" s="140">
        <f t="shared" si="24"/>
        <v>0.7928665670878895</v>
      </c>
      <c r="BK43" s="125" t="str">
        <f t="shared" si="25"/>
        <v/>
      </c>
      <c r="BL43" s="257" t="s">
        <v>110</v>
      </c>
      <c r="BM43" s="527">
        <f>E43</f>
        <v>0.8</v>
      </c>
      <c r="BN43" s="377">
        <f>INDEX('Electrical efficiency'!$M$8:$M$23,MATCH(RES!D43,'Electrical efficiency'!$K$8:$K$23,0))</f>
        <v>0.80808080808080818</v>
      </c>
      <c r="BO43" s="377">
        <f>INDEX('Electrical efficiency'!$N$8:$N$23,MATCH(RES!D43,'Electrical efficiency'!$K$8:$K$23,0))</f>
        <v>0.85106382978723405</v>
      </c>
      <c r="BP43" s="377">
        <f>INDEX('Electrical efficiency'!$O$8:$O$23,MATCH(RES!D43,'Electrical efficiency'!$K$8:$K$23,0))</f>
        <v>0.86021505376344087</v>
      </c>
      <c r="BQ43" s="377">
        <f>INDEX('Electrical efficiency'!$P$8:$P$23,MATCH(RES!D43,'Electrical efficiency'!$K$8:$K$23,0))</f>
        <v>0.86021505376344087</v>
      </c>
      <c r="BR43" s="257" t="s">
        <v>110</v>
      </c>
    </row>
    <row r="44" spans="1:84" s="169" customFormat="1" ht="15.35" outlineLevel="1">
      <c r="A44" s="108" t="s">
        <v>980</v>
      </c>
      <c r="B44" s="30" t="s">
        <v>336</v>
      </c>
      <c r="C44" s="43" t="s">
        <v>243</v>
      </c>
      <c r="D44" s="43" t="s">
        <v>256</v>
      </c>
      <c r="E44" s="517">
        <v>0.61</v>
      </c>
      <c r="F44" s="600">
        <v>1</v>
      </c>
      <c r="G44" s="600">
        <v>1</v>
      </c>
      <c r="H44" s="600">
        <f>N44/F44*(1+$D$31)</f>
        <v>0.64294502719825097</v>
      </c>
      <c r="I44" s="628">
        <v>1E-3</v>
      </c>
      <c r="J44" s="517"/>
      <c r="K44" s="48"/>
      <c r="L44" s="516">
        <f>IF(COUNTIFS(C42:C145,C44,D42:D145,D44)=1,1,0)</f>
        <v>1</v>
      </c>
      <c r="M44" s="516">
        <f>IF(C44="","",SUMIFS(Energy_Balance!I$55:I$160,Energy_Balance!$C$55:$C$160,C44,Energy_Balance!$D$55:$D$160,D44)*L44)</f>
        <v>1.0540082413086083</v>
      </c>
      <c r="N44" s="516">
        <f t="shared" ref="N44:N84" si="28">E44*M44</f>
        <v>0.64294502719825097</v>
      </c>
      <c r="O44" s="25"/>
      <c r="P44" s="377">
        <f t="shared" si="26"/>
        <v>0.61</v>
      </c>
      <c r="Q44" s="377">
        <f t="shared" si="26"/>
        <v>0.61</v>
      </c>
      <c r="R44" s="377">
        <f t="shared" si="26"/>
        <v>0.61</v>
      </c>
      <c r="S44" s="377">
        <f t="shared" si="26"/>
        <v>0.61</v>
      </c>
      <c r="T44" s="208"/>
      <c r="U44" s="50"/>
      <c r="V44" s="50">
        <f t="shared" si="27"/>
        <v>5.4389397183851905E-2</v>
      </c>
      <c r="W44" s="50">
        <f t="shared" si="27"/>
        <v>5.5104242238242902E-2</v>
      </c>
      <c r="X44" s="50">
        <f>$V$32*W44+(1-$V$32)*Y44</f>
        <v>5.2723600601793472E-2</v>
      </c>
      <c r="Y44" s="50">
        <f>IF($G$16=1,AQ44,IF($G$16=2,AQ44,IF($G$16=3,BC44,AQ44)))</f>
        <v>4.8755864541044414E-2</v>
      </c>
      <c r="Z44" s="50">
        <f>$V$32*Y44+(1-$V$32)*AA44</f>
        <v>4.6375222904594976E-2</v>
      </c>
      <c r="AA44" s="50">
        <f>IF($G$16=1,AR44,IF($G$16=2,AR44,IF($G$16=3,BD44,AR44)))</f>
        <v>4.2407486843845904E-2</v>
      </c>
      <c r="AB44" s="50">
        <f>$V$32*AA44+(1-$V$32)*AC44</f>
        <v>4.0026845207396466E-2</v>
      </c>
      <c r="AC44" s="50">
        <f>IF($G$16=1,AS44,IF($G$16=2,AS44,IF($G$16=3,BE44,AS44)))</f>
        <v>3.6059109146647408E-2</v>
      </c>
      <c r="AD44" s="50"/>
      <c r="AE44" s="50">
        <f>IF($G$16=1,AU44,IF($G$16=2,AU44,IF($G$16=3,#REF!,AU44)))</f>
        <v>5.22893971838519E-2</v>
      </c>
      <c r="AF44" s="50">
        <f>IF($G$16=1,AV44,IF($G$16=2,AV44,IF($G$16=3,#REF!,AV44)))</f>
        <v>5.0104242238242905E-2</v>
      </c>
      <c r="AG44" s="50">
        <f>$V$32*AF44+(1-$V$32)*AH44</f>
        <v>4.7723600601793467E-2</v>
      </c>
      <c r="AH44" s="50">
        <f>IF($G$16=1,AW44,IF($G$16=2,AW44,IF($G$16=3,BH44,AW44)))</f>
        <v>4.3755864541044416E-2</v>
      </c>
      <c r="AI44" s="50">
        <f>$V$32*AH44+(1-$V$32)*AJ44</f>
        <v>2.7347415338152759E-2</v>
      </c>
      <c r="AJ44" s="50">
        <f>IF($G$16=1,AX44,IF($G$16=2,AX44,IF($G$16=3,BI44,AX44)))</f>
        <v>0</v>
      </c>
      <c r="AK44" s="50">
        <f>$V$32*AJ44+(1-$V$32)*AL44</f>
        <v>0</v>
      </c>
      <c r="AL44" s="50">
        <f>IF($G$16=1,AY44,IF($G$16=2,AY44,IF($G$16=3,BJ44,AY44)))</f>
        <v>0</v>
      </c>
      <c r="AM44"/>
      <c r="AN44"/>
      <c r="AO44" s="447">
        <f>(IFERROR(IF(N44/(SUMIF(RES!$D$39:$D$145,D44,$N$39:$N$145))=1,1,(N44/(SUMIF(RES!$D$39:$D$145,D44,$N$39:$N$145))+$AO$28)),0))</f>
        <v>5.4389397183851905E-2</v>
      </c>
      <c r="AP44" s="297">
        <f>$AO44-$AO$43*'Census 2011_17'!B$20*RES!$AO44/(1-RES!$AO$43)+RES!AP$28</f>
        <v>5.5104242238242902E-2</v>
      </c>
      <c r="AQ44" s="297">
        <f>$AO44-$AO$43*'Census 2011_17'!C$20*RES!$AO44/(1-RES!$AO$43)+RES!AQ$28</f>
        <v>4.8755864541044414E-2</v>
      </c>
      <c r="AR44" s="297">
        <f>$AO44-$AO$43*'Census 2011_17'!D$20*RES!$AO44/(1-RES!$AO$43)+RES!AR$28</f>
        <v>4.2407486843845904E-2</v>
      </c>
      <c r="AS44" s="297">
        <f>$AO44-$AO$43*'Census 2011_17'!E$20*RES!$AO44/(1-RES!$AO$43)+RES!AS$28</f>
        <v>3.6059109146647408E-2</v>
      </c>
      <c r="AT44" s="21"/>
      <c r="AU44" s="471">
        <f>(IFERROR(IF($N44/(SUMIF(RES!$D$39:$D$145,$D44,$N$39:$N$145))=1,1,($N44/(SUMIF(RES!$D$39:$D$145,$D44,$N$39:$N$145))-$AU$28)),0))-AO28</f>
        <v>5.22893971838519E-2</v>
      </c>
      <c r="AV44" s="447">
        <f t="shared" ref="AV44:AW47" si="29">AP44-$AV$28</f>
        <v>5.0104242238242905E-2</v>
      </c>
      <c r="AW44" s="447">
        <f t="shared" si="29"/>
        <v>4.3755864541044416E-2</v>
      </c>
      <c r="AX44" s="459">
        <v>0</v>
      </c>
      <c r="AY44" s="459">
        <v>0</v>
      </c>
      <c r="AZ44" s="125"/>
      <c r="BA44" s="172"/>
      <c r="BB44" s="172">
        <f t="shared" si="17"/>
        <v>5.5104242238242902E-2</v>
      </c>
      <c r="BC44" s="172">
        <f t="shared" si="18"/>
        <v>4.8755864541044414E-2</v>
      </c>
      <c r="BD44" s="172">
        <f t="shared" si="19"/>
        <v>4.2407486843845904E-2</v>
      </c>
      <c r="BE44" s="172">
        <f t="shared" si="20"/>
        <v>3.6059109146647408E-2</v>
      </c>
      <c r="BF44" s="173" t="str">
        <f t="shared" si="21"/>
        <v/>
      </c>
      <c r="BG44" s="172"/>
      <c r="BH44" s="172">
        <f t="shared" si="22"/>
        <v>4.3755864541044416E-2</v>
      </c>
      <c r="BI44" s="172">
        <f t="shared" si="23"/>
        <v>0</v>
      </c>
      <c r="BJ44" s="172">
        <f t="shared" si="24"/>
        <v>0</v>
      </c>
      <c r="BK44" s="175" t="str">
        <f t="shared" si="25"/>
        <v/>
      </c>
      <c r="BL44" s="183" t="s">
        <v>517</v>
      </c>
      <c r="BM44" s="527">
        <f>E44</f>
        <v>0.61</v>
      </c>
      <c r="BN44" s="377">
        <f>E44</f>
        <v>0.61</v>
      </c>
      <c r="BO44" s="377">
        <f>IF($BL44="","",($BQ44-$BN44)*1/3+$BN44)</f>
        <v>0.61</v>
      </c>
      <c r="BP44" s="377">
        <f>IF($BL44="","",($BQ44-$BN44)*2/3+$BN44)</f>
        <v>0.61</v>
      </c>
      <c r="BQ44" s="377">
        <f>IF($BL44="","",IF($BL44="*",$BM44*(1+$BN$29),E44))</f>
        <v>0.61</v>
      </c>
      <c r="BR44" s="183" t="s">
        <v>517</v>
      </c>
      <c r="BS44"/>
      <c r="BT44"/>
      <c r="BU44"/>
      <c r="BV44"/>
      <c r="BW44"/>
      <c r="BX44"/>
      <c r="BY44"/>
      <c r="BZ44"/>
      <c r="CA44"/>
      <c r="CB44"/>
      <c r="CC44"/>
      <c r="CD44"/>
      <c r="CE44"/>
      <c r="CF44"/>
    </row>
    <row r="45" spans="1:84" s="169" customFormat="1" ht="15.35" outlineLevel="1">
      <c r="A45" s="108" t="s">
        <v>981</v>
      </c>
      <c r="B45" s="30" t="s">
        <v>337</v>
      </c>
      <c r="C45" s="43" t="s">
        <v>245</v>
      </c>
      <c r="D45" s="43" t="s">
        <v>256</v>
      </c>
      <c r="E45" s="518">
        <v>8.2000000000000003E-2</v>
      </c>
      <c r="F45" s="600">
        <v>1</v>
      </c>
      <c r="G45" s="600">
        <v>1</v>
      </c>
      <c r="H45" s="600">
        <f>N45/F45*(1+$D$31)</f>
        <v>2.7504606393853837</v>
      </c>
      <c r="I45" s="628">
        <v>1E-3</v>
      </c>
      <c r="J45" s="517"/>
      <c r="K45" s="48"/>
      <c r="L45" s="516">
        <f>IF(COUNTIFS(C44:C145,C45,D44:D145,D45)=1,1,0)</f>
        <v>1</v>
      </c>
      <c r="M45" s="516">
        <f>IF(C45="","",SUMIFS(Energy_Balance!I$55:I$160,Energy_Balance!$C$55:$C$160,C45,Energy_Balance!$D$55:$D$160,D45)*L45)</f>
        <v>33.542202919333945</v>
      </c>
      <c r="N45" s="516">
        <f t="shared" si="28"/>
        <v>2.7504606393853837</v>
      </c>
      <c r="O45" s="25"/>
      <c r="P45" s="170">
        <f t="shared" si="26"/>
        <v>8.2000000000000003E-2</v>
      </c>
      <c r="Q45" s="377">
        <f t="shared" si="26"/>
        <v>8.5553333333333328E-2</v>
      </c>
      <c r="R45" s="377">
        <f t="shared" si="26"/>
        <v>8.9106666666666667E-2</v>
      </c>
      <c r="S45" s="377">
        <f t="shared" si="26"/>
        <v>9.2659999999999992E-2</v>
      </c>
      <c r="T45" s="208"/>
      <c r="U45" s="50"/>
      <c r="V45" s="50">
        <f t="shared" si="27"/>
        <v>0.22939500937522297</v>
      </c>
      <c r="W45" s="50">
        <f t="shared" si="27"/>
        <v>0.21632175962767647</v>
      </c>
      <c r="X45" s="50">
        <f>$V$32*W45+(1-$V$32)*Y45</f>
        <v>0.206281065323484</v>
      </c>
      <c r="Y45" s="50">
        <f>IF($G$16=1,AQ45,IF($G$16=2,AQ45,IF($G$16=3,BC45,AQ45)))</f>
        <v>0.1895465748164965</v>
      </c>
      <c r="Z45" s="50">
        <f>$V$32*Y45+(1-$V$32)*AA45</f>
        <v>0.17950588051230398</v>
      </c>
      <c r="AA45" s="50">
        <f>IF($G$16=1,AR45,IF($G$16=2,AR45,IF($G$16=3,BD45,AR45)))</f>
        <v>0.16277139000531649</v>
      </c>
      <c r="AB45" s="50">
        <f>$V$32*AA45+(1-$V$32)*AC45</f>
        <v>0.15273069570112402</v>
      </c>
      <c r="AC45" s="50">
        <f>IF($G$16=1,AS45,IF($G$16=2,AS45,IF($G$16=3,BE45,AS45)))</f>
        <v>0.13599620519413655</v>
      </c>
      <c r="AD45" s="50"/>
      <c r="AE45" s="50">
        <f>IF($G$16=1,AU45,IF($G$16=2,AU45,IF($G$16=3,#REF!,AU45)))</f>
        <v>0.22729500937522298</v>
      </c>
      <c r="AF45" s="50">
        <f>IF($G$16=1,AV45,IF($G$16=2,AV45,IF($G$16=3,#REF!,AV45)))</f>
        <v>0.21132175962767646</v>
      </c>
      <c r="AG45" s="50">
        <f>$V$32*AF45+(1-$V$32)*AH45</f>
        <v>0.20128106532348397</v>
      </c>
      <c r="AH45" s="50">
        <f>IF($G$16=1,AW45,IF($G$16=2,AW45,IF($G$16=3,BH45,AW45)))</f>
        <v>0.1845465748164965</v>
      </c>
      <c r="AI45" s="50">
        <f>$V$32*AH45+(1-$V$32)*AJ45</f>
        <v>0.17450588051230398</v>
      </c>
      <c r="AJ45" s="50">
        <f>IF($G$16=1,AX45,IF($G$16=2,AX45,IF($G$16=3,BI45,AX45)))</f>
        <v>0.15777139000531648</v>
      </c>
      <c r="AK45" s="50">
        <f>$V$32*AJ45+(1-$V$32)*AL45</f>
        <v>9.8607118753322801E-2</v>
      </c>
      <c r="AL45" s="50">
        <f>IF($G$16=1,AY45,IF($G$16=2,AY45,IF($G$16=3,BJ45,AY45)))</f>
        <v>0</v>
      </c>
      <c r="AM45"/>
      <c r="AN45"/>
      <c r="AO45" s="447">
        <f>(IFERROR(IF(N45/(SUMIF(RES!$D$39:$D$145,D45,$N$39:$N$145))=1,1,(N45/(SUMIF(RES!$D$39:$D$145,D45,$N$39:$N$145))+$AO$28)),0))</f>
        <v>0.22939500937522297</v>
      </c>
      <c r="AP45" s="297">
        <f>$AO45-$AO$43*'Census 2011_17'!B$20*RES!$AO45/(1-RES!$AO$43)+RES!AP$28</f>
        <v>0.21632175962767647</v>
      </c>
      <c r="AQ45" s="297">
        <f>$AO45-$AO$43*'Census 2011_17'!C$20*RES!$AO45/(1-RES!$AO$43)+RES!AQ$28</f>
        <v>0.1895465748164965</v>
      </c>
      <c r="AR45" s="297">
        <f>$AO45-$AO$43*'Census 2011_17'!D$20*RES!$AO45/(1-RES!$AO$43)+RES!AR$28</f>
        <v>0.16277139000531649</v>
      </c>
      <c r="AS45" s="297">
        <f>$AO45-$AO$43*'Census 2011_17'!E$20*RES!$AO45/(1-RES!$AO$43)+RES!AS$28</f>
        <v>0.13599620519413655</v>
      </c>
      <c r="AT45" s="21"/>
      <c r="AU45" s="471">
        <f>(IFERROR(IF($N45/(SUMIF(RES!$D$39:$D$145,$D45,$N$39:$N$145))=1,1,($N45/(SUMIF(RES!$D$39:$D$145,$D45,$N$39:$N$145))-$AU$28)),0))-AO28</f>
        <v>0.22729500937522298</v>
      </c>
      <c r="AV45" s="447">
        <f t="shared" si="29"/>
        <v>0.21132175962767646</v>
      </c>
      <c r="AW45" s="447">
        <f t="shared" si="29"/>
        <v>0.1845465748164965</v>
      </c>
      <c r="AX45" s="447">
        <f>AR45-$AV$28</f>
        <v>0.15777139000531648</v>
      </c>
      <c r="AY45" s="459">
        <v>0</v>
      </c>
      <c r="AZ45" s="125"/>
      <c r="BA45" s="172"/>
      <c r="BB45" s="296">
        <f t="shared" si="17"/>
        <v>0.21632175962767647</v>
      </c>
      <c r="BC45" s="296">
        <f t="shared" si="18"/>
        <v>0.1895465748164965</v>
      </c>
      <c r="BD45" s="296">
        <f t="shared" si="19"/>
        <v>0.16277139000531649</v>
      </c>
      <c r="BE45" s="296">
        <f t="shared" si="20"/>
        <v>0.13599620519413655</v>
      </c>
      <c r="BF45" s="173" t="str">
        <f t="shared" si="21"/>
        <v/>
      </c>
      <c r="BG45" s="172"/>
      <c r="BH45" s="172">
        <f t="shared" si="22"/>
        <v>0.1845465748164965</v>
      </c>
      <c r="BI45" s="172">
        <f t="shared" si="23"/>
        <v>0.15777139000531648</v>
      </c>
      <c r="BJ45" s="172">
        <f t="shared" si="24"/>
        <v>0</v>
      </c>
      <c r="BK45" s="175" t="str">
        <f t="shared" si="25"/>
        <v/>
      </c>
      <c r="BL45" s="257" t="s">
        <v>110</v>
      </c>
      <c r="BM45" s="527">
        <f>E45</f>
        <v>8.2000000000000003E-2</v>
      </c>
      <c r="BN45" s="377">
        <f>E45</f>
        <v>8.2000000000000003E-2</v>
      </c>
      <c r="BO45" s="377">
        <f>IF($BL45="","",($BQ45-$BN45)*1/3+$BN45)</f>
        <v>8.5553333333333328E-2</v>
      </c>
      <c r="BP45" s="377">
        <f>IF($BL45="","",($BQ45-$BN45)*2/3+$BN45)</f>
        <v>8.9106666666666667E-2</v>
      </c>
      <c r="BQ45" s="377">
        <f>IF($BL45="","",IF($BL45="*",$BM45*(1+$BN$29),E45))</f>
        <v>9.2659999999999992E-2</v>
      </c>
      <c r="BR45" s="257" t="s">
        <v>110</v>
      </c>
      <c r="BS45"/>
      <c r="BT45"/>
      <c r="BU45"/>
      <c r="BV45"/>
      <c r="BW45"/>
      <c r="BX45"/>
      <c r="BY45"/>
      <c r="BZ45"/>
      <c r="CA45"/>
      <c r="CB45"/>
      <c r="CC45"/>
      <c r="CD45"/>
      <c r="CE45"/>
      <c r="CF45"/>
    </row>
    <row r="46" spans="1:84" ht="15.35" outlineLevel="1">
      <c r="A46" s="108" t="s">
        <v>982</v>
      </c>
      <c r="B46" s="30" t="s">
        <v>338</v>
      </c>
      <c r="C46" s="43" t="s">
        <v>246</v>
      </c>
      <c r="D46" s="43" t="s">
        <v>256</v>
      </c>
      <c r="E46" s="519">
        <v>0.12</v>
      </c>
      <c r="F46" s="600">
        <v>1</v>
      </c>
      <c r="G46" s="600">
        <v>1</v>
      </c>
      <c r="H46" s="600">
        <f>N46/F46*(1+$D$31)</f>
        <v>0.26328241630930677</v>
      </c>
      <c r="I46" s="628">
        <v>1E-3</v>
      </c>
      <c r="J46" s="517"/>
      <c r="K46" s="48"/>
      <c r="L46" s="516">
        <f>IF(COUNTIFS(C44:C145,C46,D44:D145,D46)=1,1,0)</f>
        <v>1</v>
      </c>
      <c r="M46" s="516">
        <f>IF(C46="","",SUMIFS(Energy_Balance!I$55:I$160,Energy_Balance!$C$55:$C$160,C46,Energy_Balance!$D$55:$D$160,D46)*L46)</f>
        <v>2.1940201359108897</v>
      </c>
      <c r="N46" s="516">
        <f>E46*M46</f>
        <v>0.26328241630930677</v>
      </c>
      <c r="O46" s="25"/>
      <c r="P46" s="377">
        <f t="shared" si="26"/>
        <v>0.12</v>
      </c>
      <c r="Q46" s="377">
        <f t="shared" si="26"/>
        <v>0.12519999999999998</v>
      </c>
      <c r="R46" s="377">
        <f t="shared" si="26"/>
        <v>0.13039999999999999</v>
      </c>
      <c r="S46" s="377">
        <f t="shared" si="26"/>
        <v>0.13559999999999997</v>
      </c>
      <c r="T46" s="208"/>
      <c r="U46" s="50"/>
      <c r="V46" s="50">
        <f t="shared" si="27"/>
        <v>2.2862661504849831E-2</v>
      </c>
      <c r="W46" s="50">
        <f t="shared" si="27"/>
        <v>2.6061390446703619E-2</v>
      </c>
      <c r="X46" s="50">
        <f>$V$32*W46+(1-$V$32)*Y46</f>
        <v>2.506068430328906E-2</v>
      </c>
      <c r="Y46" s="50">
        <f>IF($G$16=1,AQ46,IF($G$16=2,AQ46,IF($G$16=3,BC46,AQ46)))</f>
        <v>2.3392840730931456E-2</v>
      </c>
      <c r="Z46" s="50">
        <f>$V$32*Y46+(1-$V$32)*AA46</f>
        <v>2.239213458751689E-2</v>
      </c>
      <c r="AA46" s="50">
        <f>IF($G$16=1,AR46,IF($G$16=2,AR46,IF($G$16=3,BD46,AR46)))</f>
        <v>2.0724291015159286E-2</v>
      </c>
      <c r="AB46" s="50">
        <f>$V$32*AA46+(1-$V$32)*AC46</f>
        <v>1.9723584871744724E-2</v>
      </c>
      <c r="AC46" s="50">
        <f>IF($G$16=1,AS46,IF($G$16=2,AS46,IF($G$16=3,BE46,AS46)))</f>
        <v>1.8055741299387123E-2</v>
      </c>
      <c r="AD46" s="50"/>
      <c r="AE46" s="50">
        <f>IF($G$16=1,AU46,IF($G$16=2,AU46,IF($G$16=3,#REF!,AU46)))</f>
        <v>2.1762661504849831E-2</v>
      </c>
      <c r="AF46" s="50">
        <f>IF($G$16=1,AV46,IF($G$16=2,AV46,IF($G$16=3,#REF!,AV46)))</f>
        <v>2.1061390446703618E-2</v>
      </c>
      <c r="AG46" s="50">
        <f>$V$32*AF46+(1-$V$32)*AH46</f>
        <v>2.0060684303289056E-2</v>
      </c>
      <c r="AH46" s="50">
        <f>IF($G$16=1,AW46,IF($G$16=2,AW46,IF($G$16=3,BH46,AW46)))</f>
        <v>1.8392840730931455E-2</v>
      </c>
      <c r="AI46" s="50">
        <f>$V$32*AH46+(1-$V$32)*AJ46</f>
        <v>1.1495525456832158E-2</v>
      </c>
      <c r="AJ46" s="50">
        <f>IF($G$16=1,AX46,IF($G$16=2,AX46,IF($G$16=3,BI46,AX46)))</f>
        <v>0</v>
      </c>
      <c r="AK46" s="50">
        <f>$V$32*AJ46+(1-$V$32)*AL46</f>
        <v>0</v>
      </c>
      <c r="AL46" s="50">
        <f>IF($G$16=1,AY46,IF($G$16=2,AY46,IF($G$16=3,BJ46,AY46)))</f>
        <v>0</v>
      </c>
      <c r="AO46" s="447">
        <f>(IFERROR(IF(N46/(SUMIF(RES!$D$39:$D$145,D46,$N$39:$N$145))=1,1,(N46/(SUMIF(RES!$D$39:$D$145,D46,$N$39:$N$145))+$AO$28)),0))</f>
        <v>2.2862661504849831E-2</v>
      </c>
      <c r="AP46" s="297">
        <f>$AO46-$AO$43*'Census 2011_17'!B$20*RES!$AO46/(1-RES!$AO$43)+RES!AP$28</f>
        <v>2.6061390446703619E-2</v>
      </c>
      <c r="AQ46" s="297">
        <f>$AO46-$AO$43*'Census 2011_17'!C$20*RES!$AO46/(1-RES!$AO$43)+RES!AQ$28</f>
        <v>2.3392840730931456E-2</v>
      </c>
      <c r="AR46" s="297">
        <f>$AO46-$AO$43*'Census 2011_17'!D$20*RES!$AO46/(1-RES!$AO$43)+RES!AR$28</f>
        <v>2.0724291015159286E-2</v>
      </c>
      <c r="AS46" s="297">
        <f>$AO46-$AO$43*'Census 2011_17'!E$20*RES!$AO46/(1-RES!$AO$43)+RES!AS$28</f>
        <v>1.8055741299387123E-2</v>
      </c>
      <c r="AT46" s="21"/>
      <c r="AU46" s="471">
        <f>(IFERROR(IF($N46/(SUMIF(RES!$D$39:$D$145,$D46,$N$39:$N$145))=1,1,($N46/(SUMIF(RES!$D$39:$D$145,$D46,$N$39:$N$145))-$AU$28)),0))</f>
        <v>2.1762661504849831E-2</v>
      </c>
      <c r="AV46" s="447">
        <f t="shared" si="29"/>
        <v>2.1061390446703618E-2</v>
      </c>
      <c r="AW46" s="447">
        <f t="shared" si="29"/>
        <v>1.8392840730931455E-2</v>
      </c>
      <c r="AX46" s="459">
        <v>0</v>
      </c>
      <c r="AY46" s="459">
        <v>0</v>
      </c>
      <c r="AZ46" s="125"/>
      <c r="BA46" s="140"/>
      <c r="BB46" s="297">
        <f t="shared" si="17"/>
        <v>2.6061390446703619E-2</v>
      </c>
      <c r="BC46" s="297">
        <f t="shared" si="18"/>
        <v>2.3392840730931456E-2</v>
      </c>
      <c r="BD46" s="297">
        <f t="shared" si="19"/>
        <v>2.0724291015159286E-2</v>
      </c>
      <c r="BE46" s="297">
        <f t="shared" si="20"/>
        <v>1.8055741299387123E-2</v>
      </c>
      <c r="BF46" s="21" t="str">
        <f t="shared" si="21"/>
        <v/>
      </c>
      <c r="BG46" s="172"/>
      <c r="BH46" s="346">
        <f t="shared" si="22"/>
        <v>1.8392840730931455E-2</v>
      </c>
      <c r="BI46" s="346">
        <f t="shared" si="23"/>
        <v>0</v>
      </c>
      <c r="BJ46" s="346">
        <f t="shared" si="24"/>
        <v>0</v>
      </c>
      <c r="BK46" s="125" t="str">
        <f t="shared" si="25"/>
        <v/>
      </c>
      <c r="BL46" s="257" t="s">
        <v>110</v>
      </c>
      <c r="BM46" s="527">
        <f>E46</f>
        <v>0.12</v>
      </c>
      <c r="BN46" s="377">
        <f>E46</f>
        <v>0.12</v>
      </c>
      <c r="BO46" s="377">
        <f>IF($BL46="","",($BQ46-$BN46)*1/3+$BN46)</f>
        <v>0.12519999999999998</v>
      </c>
      <c r="BP46" s="377">
        <f>IF($BL46="","",($BQ46-$BN46)*2/3+$BN46)</f>
        <v>0.13039999999999999</v>
      </c>
      <c r="BQ46" s="377">
        <f>IF($BL46="","",IF($BL46="*",$BM46*(1+$BN$29),E46))</f>
        <v>0.13559999999999997</v>
      </c>
      <c r="BR46" s="257" t="s">
        <v>110</v>
      </c>
    </row>
    <row r="47" spans="1:84" s="169" customFormat="1" ht="15.35" outlineLevel="1">
      <c r="A47" s="108" t="s">
        <v>983</v>
      </c>
      <c r="B47" s="30" t="s">
        <v>339</v>
      </c>
      <c r="C47" s="43" t="s">
        <v>244</v>
      </c>
      <c r="D47" s="43" t="s">
        <v>256</v>
      </c>
      <c r="E47" s="517">
        <v>0.45</v>
      </c>
      <c r="F47" s="600">
        <v>1</v>
      </c>
      <c r="G47" s="600">
        <v>1</v>
      </c>
      <c r="H47" s="600">
        <f>N47/F47*(1+$D$31)</f>
        <v>0.67362314474975793</v>
      </c>
      <c r="I47" s="628">
        <v>1E-3</v>
      </c>
      <c r="J47" s="517"/>
      <c r="K47" s="48"/>
      <c r="L47" s="516">
        <f>IF(COUNTIFS(C45:C145,C47,D45:D145,D47)=1,1,0)</f>
        <v>1</v>
      </c>
      <c r="M47" s="516">
        <f>IF(C47="","",SUMIFS(Energy_Balance!I$55:I$160,Energy_Balance!$C$55:$C$160,C47,Energy_Balance!$D$55:$D$160,D47)*L47)</f>
        <v>1.4969403216661288</v>
      </c>
      <c r="N47" s="516">
        <f t="shared" si="28"/>
        <v>0.67362314474975793</v>
      </c>
      <c r="O47" s="25"/>
      <c r="P47" s="377">
        <f t="shared" si="26"/>
        <v>0.45</v>
      </c>
      <c r="Q47" s="377">
        <f t="shared" si="26"/>
        <v>0.45</v>
      </c>
      <c r="R47" s="377">
        <f t="shared" si="26"/>
        <v>0.45</v>
      </c>
      <c r="S47" s="377">
        <f t="shared" si="26"/>
        <v>0.45</v>
      </c>
      <c r="T47" s="208"/>
      <c r="U47" s="50"/>
      <c r="V47" s="50">
        <f t="shared" si="27"/>
        <v>5.6936871903343386E-2</v>
      </c>
      <c r="W47" s="50">
        <f t="shared" si="27"/>
        <v>5.7451010120404634E-2</v>
      </c>
      <c r="X47" s="50">
        <f>$V$32*W47+(1-$V$32)*Y47</f>
        <v>5.4958864685438667E-2</v>
      </c>
      <c r="Y47" s="50">
        <f>IF($G$16=1,AQ47,IF($G$16=2,AQ47,IF($G$16=3,BC47,AQ47)))</f>
        <v>5.0805288960495389E-2</v>
      </c>
      <c r="Z47" s="50">
        <f>$V$32*Y47+(1-$V$32)*AA47</f>
        <v>4.8313143525529414E-2</v>
      </c>
      <c r="AA47" s="50">
        <f>IF($G$16=1,AR47,IF($G$16=2,AR47,IF($G$16=3,BD47,AR47)))</f>
        <v>4.4159567800586136E-2</v>
      </c>
      <c r="AB47" s="50">
        <f>$V$32*AA47+(1-$V$32)*AC47</f>
        <v>4.1667422365620169E-2</v>
      </c>
      <c r="AC47" s="50">
        <f>IF($G$16=1,AS47,IF($G$16=2,AS47,IF($G$16=3,BE47,AS47)))</f>
        <v>3.751384664067689E-2</v>
      </c>
      <c r="AD47" s="50"/>
      <c r="AE47" s="50">
        <f>IF($G$16=1,AU47,IF($G$16=2,AU47,IF($G$16=3,#REF!,AU47)))</f>
        <v>5.5836871903343382E-2</v>
      </c>
      <c r="AF47" s="50">
        <f>IF($G$16=1,AV47,IF($G$16=2,AV47,IF($G$16=3,#REF!,AV47)))</f>
        <v>5.2451010120404637E-2</v>
      </c>
      <c r="AG47" s="50">
        <f>$V$32*AF47+(1-$V$32)*AH47</f>
        <v>4.995886468543867E-2</v>
      </c>
      <c r="AH47" s="50">
        <f>IF($G$16=1,AW47,IF($G$16=2,AW47,IF($G$16=3,BH47,AW47)))</f>
        <v>4.5805288960495391E-2</v>
      </c>
      <c r="AI47" s="50">
        <f>$V$32*AH47+(1-$V$32)*AJ47</f>
        <v>2.8628305600309621E-2</v>
      </c>
      <c r="AJ47" s="50">
        <f>IF($G$16=1,AX47,IF($G$16=2,AX47,IF($G$16=3,BI47,AX47)))</f>
        <v>0</v>
      </c>
      <c r="AK47" s="50">
        <f>$V$32*AJ47+(1-$V$32)*AL47</f>
        <v>0</v>
      </c>
      <c r="AL47" s="50">
        <f>IF($G$16=1,AY47,IF($G$16=2,AY47,IF($G$16=3,BJ47,AY47)))</f>
        <v>0</v>
      </c>
      <c r="AM47"/>
      <c r="AN47"/>
      <c r="AO47" s="447">
        <f>(IFERROR(IF(N47/(SUMIF(RES!$D$39:$D$145,D47,$N$39:$N$145))=1,1,(N47/(SUMIF(RES!$D$39:$D$145,D47,$N$39:$N$145))+$AO$28)),0))</f>
        <v>5.6936871903343386E-2</v>
      </c>
      <c r="AP47" s="297">
        <f>$AO47-$AO$43*'Census 2011_17'!B$20*RES!$AO47/(1-RES!$AO$43)+RES!AP$28</f>
        <v>5.7451010120404634E-2</v>
      </c>
      <c r="AQ47" s="297">
        <f>$AO47-$AO$43*'Census 2011_17'!C$20*RES!$AO47/(1-RES!$AO$43)+RES!AQ$28</f>
        <v>5.0805288960495389E-2</v>
      </c>
      <c r="AR47" s="297">
        <f>$AO47-$AO$43*'Census 2011_17'!D$20*RES!$AO47/(1-RES!$AO$43)+RES!AR$28</f>
        <v>4.4159567800586136E-2</v>
      </c>
      <c r="AS47" s="297">
        <f>$AO47-$AO$43*'Census 2011_17'!E$20*RES!$AO47/(1-RES!$AO$43)+RES!AS$28</f>
        <v>3.751384664067689E-2</v>
      </c>
      <c r="AT47" s="21"/>
      <c r="AU47" s="471">
        <f>(IFERROR(IF($N47/(SUMIF(RES!$D$39:$D$145,$D47,$N$39:$N$145))=1,1,($N47/(SUMIF(RES!$D$39:$D$145,$D47,$N$39:$N$145))-$AU$28)),0))</f>
        <v>5.5836871903343382E-2</v>
      </c>
      <c r="AV47" s="447">
        <f t="shared" si="29"/>
        <v>5.2451010120404637E-2</v>
      </c>
      <c r="AW47" s="447">
        <f t="shared" si="29"/>
        <v>4.5805288960495391E-2</v>
      </c>
      <c r="AX47" s="459">
        <v>0</v>
      </c>
      <c r="AY47" s="459">
        <v>0</v>
      </c>
      <c r="AZ47" s="125"/>
      <c r="BA47" s="172"/>
      <c r="BB47" s="296">
        <f t="shared" si="17"/>
        <v>5.7451010120404634E-2</v>
      </c>
      <c r="BC47" s="296">
        <f t="shared" si="18"/>
        <v>5.0805288960495389E-2</v>
      </c>
      <c r="BD47" s="296">
        <f t="shared" si="19"/>
        <v>4.4159567800586136E-2</v>
      </c>
      <c r="BE47" s="296">
        <f t="shared" si="20"/>
        <v>3.751384664067689E-2</v>
      </c>
      <c r="BF47" s="173" t="str">
        <f t="shared" si="21"/>
        <v/>
      </c>
      <c r="BG47" s="172"/>
      <c r="BH47" s="172">
        <f t="shared" si="22"/>
        <v>4.5805288960495391E-2</v>
      </c>
      <c r="BI47" s="172">
        <f t="shared" si="23"/>
        <v>0</v>
      </c>
      <c r="BJ47" s="172">
        <f t="shared" si="24"/>
        <v>0</v>
      </c>
      <c r="BK47" s="175" t="str">
        <f t="shared" si="25"/>
        <v/>
      </c>
      <c r="BL47" s="183" t="s">
        <v>517</v>
      </c>
      <c r="BM47" s="527">
        <f>E47</f>
        <v>0.45</v>
      </c>
      <c r="BN47" s="377">
        <f>E47</f>
        <v>0.45</v>
      </c>
      <c r="BO47" s="377">
        <f>IF($BL47="","",($BQ47-$BN47)*1/3+$BN47)</f>
        <v>0.45</v>
      </c>
      <c r="BP47" s="377">
        <f>IF($BL47="","",($BQ47-$BN47)*2/3+$BN47)</f>
        <v>0.45</v>
      </c>
      <c r="BQ47" s="377">
        <f>IF($BL47="","",IF($BL47="*",$BM47*(1+$BN$29),E47))</f>
        <v>0.45</v>
      </c>
      <c r="BR47" s="183" t="s">
        <v>517</v>
      </c>
      <c r="BS47"/>
      <c r="BT47"/>
      <c r="BU47"/>
      <c r="BV47"/>
      <c r="BW47"/>
      <c r="BX47"/>
      <c r="BY47"/>
      <c r="BZ47"/>
      <c r="CA47"/>
      <c r="CB47"/>
      <c r="CC47"/>
      <c r="CD47"/>
      <c r="CE47"/>
      <c r="CF47"/>
    </row>
    <row r="48" spans="1:84" s="195" customFormat="1" ht="15" outlineLevel="1">
      <c r="A48" s="556" t="s">
        <v>974</v>
      </c>
      <c r="B48" s="557"/>
      <c r="C48" s="558"/>
      <c r="D48" s="558"/>
      <c r="E48" s="559" t="str">
        <f>IF(D48="","",IF(COUNTIF(#REF!,$B48)=1,SUMIF(#REF!,RES!B48,#REF!),SUMIF(#REF!,RES!$B48,#REF!)))</f>
        <v/>
      </c>
      <c r="F48" s="559"/>
      <c r="G48" s="559"/>
      <c r="H48" s="559"/>
      <c r="I48" s="629"/>
      <c r="J48" s="559"/>
      <c r="K48" s="560"/>
      <c r="L48" s="561"/>
      <c r="M48" s="561">
        <f>SUM(M44:M47)</f>
        <v>38.287171618219574</v>
      </c>
      <c r="N48" s="561">
        <f>SUM(N43:N47)</f>
        <v>12.042560154485418</v>
      </c>
      <c r="O48" s="196"/>
      <c r="P48" s="562"/>
      <c r="Q48" s="562"/>
      <c r="R48" s="562"/>
      <c r="S48" s="562"/>
      <c r="T48" s="563"/>
      <c r="U48" s="564"/>
      <c r="V48" s="564">
        <f>IF($G$16=1,AO48,IF($G$16=2,AO48,IF($G$16=3,BB48,AO48)))</f>
        <v>1.0049999999999999</v>
      </c>
      <c r="W48" s="564"/>
      <c r="X48" s="564"/>
      <c r="Y48" s="564"/>
      <c r="Z48" s="564"/>
      <c r="AA48" s="564"/>
      <c r="AB48" s="564"/>
      <c r="AC48" s="564"/>
      <c r="AD48" s="564"/>
      <c r="AE48" s="564">
        <f>IF($G$16=1,AU48,IF($G$16=2,AU48,IF($G$16=3,BH48,AU48)))</f>
        <v>0.35718393996726816</v>
      </c>
      <c r="AF48" s="564"/>
      <c r="AG48" s="564"/>
      <c r="AH48" s="564"/>
      <c r="AI48" s="564"/>
      <c r="AJ48" s="564"/>
      <c r="AK48" s="564"/>
      <c r="AL48" s="564"/>
      <c r="AO48" s="571">
        <f>SUM(AO43:AO47)</f>
        <v>1.0049999999999999</v>
      </c>
      <c r="AP48" s="571">
        <f>SUM(AP44:AP47)</f>
        <v>0.35493840243302766</v>
      </c>
      <c r="AQ48" s="571">
        <f>SUM(AQ44:AQ47)</f>
        <v>0.31250056904896778</v>
      </c>
      <c r="AR48" s="571">
        <f>SUM(AR44:AR47)</f>
        <v>0.27006273566490779</v>
      </c>
      <c r="AS48" s="571">
        <f>SUM(AS44:AS47)</f>
        <v>0.22762490228084797</v>
      </c>
      <c r="AT48" s="567"/>
      <c r="AU48" s="572">
        <f>SUM(AU44:AU47)</f>
        <v>0.35718393996726816</v>
      </c>
      <c r="AV48" s="572">
        <f>SUM(AV44:AV47)</f>
        <v>0.33493840243302764</v>
      </c>
      <c r="AW48" s="572">
        <f>SUM(AW44:AW47)</f>
        <v>0.29250056904896776</v>
      </c>
      <c r="AX48" s="572">
        <f>SUM(AX44:AX47)</f>
        <v>0.15777139000531648</v>
      </c>
      <c r="AY48" s="572">
        <f>SUM(AY44:AY47)</f>
        <v>0</v>
      </c>
      <c r="AZ48" s="568"/>
      <c r="BA48" s="573"/>
      <c r="BB48" s="573">
        <f t="shared" si="17"/>
        <v>0.35493840243302766</v>
      </c>
      <c r="BC48" s="573">
        <f t="shared" si="18"/>
        <v>0.31250056904896778</v>
      </c>
      <c r="BD48" s="573">
        <f t="shared" si="19"/>
        <v>0.27006273566490779</v>
      </c>
      <c r="BE48" s="573">
        <f t="shared" si="20"/>
        <v>0.22762490228084797</v>
      </c>
      <c r="BF48" s="567" t="str">
        <f t="shared" si="21"/>
        <v/>
      </c>
      <c r="BG48" s="569"/>
      <c r="BH48" s="569">
        <f t="shared" si="22"/>
        <v>0.29250056904896776</v>
      </c>
      <c r="BI48" s="569">
        <f t="shared" si="23"/>
        <v>0.15777139000531648</v>
      </c>
      <c r="BJ48" s="569">
        <f t="shared" si="24"/>
        <v>0</v>
      </c>
      <c r="BK48" s="568" t="str">
        <f t="shared" si="25"/>
        <v/>
      </c>
      <c r="BL48" s="567"/>
      <c r="BN48" s="562" t="str">
        <f>IF($BL48="","",($BP48-$BM48)*5/25+$BM48)</f>
        <v/>
      </c>
      <c r="BO48" s="562" t="str">
        <f>IF($BL48="","",($BP48-$BM48)*15/25+$BM48)</f>
        <v/>
      </c>
      <c r="BP48" s="562" t="str">
        <f>IF($BL48="","",IF($BL48="*",$BM48*(1+$BN$29),E48))</f>
        <v/>
      </c>
      <c r="BQ48" s="562" t="str">
        <f>IF(G48="","",IF(COUNTIF(#REF!,$B48)=1,SUMIF(#REF!,RES!$B48,#REF!),SUMIF(#REF!,RES!$B48,#REF!)))</f>
        <v/>
      </c>
    </row>
    <row r="49" spans="1:3723" s="237" customFormat="1" ht="15">
      <c r="A49" s="577" t="s">
        <v>984</v>
      </c>
      <c r="B49" s="578" t="s">
        <v>334</v>
      </c>
      <c r="C49" s="588"/>
      <c r="D49" s="588"/>
      <c r="E49" s="590" t="str">
        <f>IF(D49="","",IF(COUNTIF(#REF!,$B49)=1,SUMIF(#REF!,RES!B49,#REF!),SUMIF(#REF!,RES!$B49,#REF!)))</f>
        <v/>
      </c>
      <c r="F49" s="590"/>
      <c r="G49" s="590"/>
      <c r="H49" s="590"/>
      <c r="I49" s="630"/>
      <c r="J49" s="590"/>
      <c r="K49" s="579"/>
      <c r="L49" s="592"/>
      <c r="M49" s="592"/>
      <c r="N49" s="592"/>
      <c r="O49" s="584"/>
      <c r="P49" s="593"/>
      <c r="Q49" s="593"/>
      <c r="R49" s="593"/>
      <c r="S49" s="593"/>
      <c r="T49" s="594"/>
      <c r="U49" s="595"/>
      <c r="V49" s="595">
        <f>IF($G$16=1,AO49,IF($G$16=2,AO49,IF($G$16=3,BB49,AO49)))</f>
        <v>0</v>
      </c>
      <c r="W49" s="595"/>
      <c r="X49" s="595"/>
      <c r="Y49" s="595"/>
      <c r="Z49" s="595"/>
      <c r="AA49" s="595"/>
      <c r="AB49" s="595"/>
      <c r="AC49" s="595"/>
      <c r="AD49" s="595"/>
      <c r="AE49" s="595">
        <f>IF($G$16=1,AU49,IF($G$16=2,AU49,IF($G$16=3,BH49,AU49)))</f>
        <v>0</v>
      </c>
      <c r="AF49" s="595"/>
      <c r="AG49" s="595"/>
      <c r="AH49" s="595"/>
      <c r="AI49" s="595"/>
      <c r="AJ49" s="595"/>
      <c r="AK49" s="595"/>
      <c r="AL49" s="595"/>
      <c r="AO49" s="596"/>
      <c r="AP49" s="596"/>
      <c r="AQ49" s="596"/>
      <c r="AR49" s="596"/>
      <c r="AS49" s="596"/>
      <c r="AT49" s="586"/>
      <c r="AU49" s="596"/>
      <c r="AV49" s="596"/>
      <c r="AW49" s="596"/>
      <c r="AX49" s="596"/>
      <c r="AY49" s="596"/>
      <c r="AZ49" s="587"/>
      <c r="BA49" s="596"/>
      <c r="BB49" s="596" t="str">
        <f t="shared" si="17"/>
        <v/>
      </c>
      <c r="BC49" s="596" t="str">
        <f t="shared" si="18"/>
        <v/>
      </c>
      <c r="BD49" s="596" t="str">
        <f t="shared" si="19"/>
        <v/>
      </c>
      <c r="BE49" s="596" t="str">
        <f t="shared" si="20"/>
        <v/>
      </c>
      <c r="BF49" s="586" t="str">
        <f t="shared" si="21"/>
        <v/>
      </c>
      <c r="BG49" s="596"/>
      <c r="BH49" s="596" t="str">
        <f t="shared" si="22"/>
        <v/>
      </c>
      <c r="BI49" s="596" t="str">
        <f t="shared" si="23"/>
        <v/>
      </c>
      <c r="BJ49" s="596" t="str">
        <f t="shared" si="24"/>
        <v/>
      </c>
      <c r="BK49" s="587" t="str">
        <f t="shared" si="25"/>
        <v/>
      </c>
      <c r="BL49" s="586"/>
      <c r="BN49" s="593" t="str">
        <f>IF($BL49="","",($BP49-$BM49)*5/25+$BM49)</f>
        <v/>
      </c>
      <c r="BO49" s="593" t="str">
        <f>IF($BL49="","",($BP49-$BM49)*15/25+$BM49)</f>
        <v/>
      </c>
      <c r="BP49" s="593" t="str">
        <f>IF($BL49="","",IF($BL49="*",$BM49*(1+$BN$29),E49))</f>
        <v/>
      </c>
      <c r="BQ49" s="593" t="str">
        <f>IF(G49="","",IF(COUNTIF(#REF!,$B49)=1,SUMIF(#REF!,RES!$B49,#REF!),SUMIF(#REF!,RES!$B49,#REF!)))</f>
        <v/>
      </c>
    </row>
    <row r="50" spans="1:3723" s="169" customFormat="1" ht="15.35" outlineLevel="1">
      <c r="A50" s="108" t="s">
        <v>985</v>
      </c>
      <c r="B50" s="30" t="s">
        <v>340</v>
      </c>
      <c r="C50" s="43" t="s">
        <v>242</v>
      </c>
      <c r="D50" s="43" t="s">
        <v>257</v>
      </c>
      <c r="E50" s="525">
        <f>INDEX('Electrical efficiency'!$L$8:$L$23,MATCH(RES!D50,'Electrical efficiency'!$K$8:$K$23,0))</f>
        <v>0.94750000000000001</v>
      </c>
      <c r="F50" s="600">
        <v>1</v>
      </c>
      <c r="G50" s="600">
        <v>1</v>
      </c>
      <c r="H50" s="600">
        <f>N50/F50*(1+$D$31)</f>
        <v>0.92325231435517607</v>
      </c>
      <c r="I50" s="628">
        <v>1E-3</v>
      </c>
      <c r="J50" s="517"/>
      <c r="K50" s="48" t="s">
        <v>931</v>
      </c>
      <c r="L50" s="516">
        <v>1</v>
      </c>
      <c r="M50" s="516">
        <f>IF(C50="","",SUMIFS(Energy_Balance!I$55:I$160,Energy_Balance!$C$55:$C$160,C50,Energy_Balance!$D$55:$D$160,D50)*L50)</f>
        <v>0.97440877504504075</v>
      </c>
      <c r="N50" s="516">
        <f t="shared" si="28"/>
        <v>0.92325231435517607</v>
      </c>
      <c r="O50" s="25"/>
      <c r="P50" s="377">
        <f t="shared" ref="P50:S54" si="30">IF($G$16=0,BN50,IF($G$16=1,BS50,IF($G$16=2,BX50,IF($G$16=3,BN50,IF($G$16=4,BS50,"NA")))))</f>
        <v>0.94750000000000001</v>
      </c>
      <c r="Q50" s="377">
        <f t="shared" si="30"/>
        <v>0.94750000000000001</v>
      </c>
      <c r="R50" s="377">
        <f t="shared" si="30"/>
        <v>0.94750000000000001</v>
      </c>
      <c r="S50" s="377">
        <f t="shared" si="30"/>
        <v>0.94750000000000001</v>
      </c>
      <c r="T50" s="208"/>
      <c r="U50" s="50"/>
      <c r="V50" s="681">
        <f t="shared" ref="V50" si="31">IF($G$16=1,AO50,IF($G$16=2,AO50,IF($G$16=3,BA50,AO50)))</f>
        <v>9.9770877803028499E-2</v>
      </c>
      <c r="W50" s="681">
        <f t="shared" ref="W50" si="32">IF($G$16=1,AP50,IF($G$16=2,AP50,IF($G$16=3,BB50,AP50)))</f>
        <v>0.10516535366058442</v>
      </c>
      <c r="X50" s="681">
        <f>$V$32*W50+(1-$V$32)*Y50</f>
        <v>0.10760672913700436</v>
      </c>
      <c r="Y50" s="681">
        <f>IF($G$16=1,AQ50,IF($G$16=2,AQ50,IF($G$16=3,BC50,AQ50)))</f>
        <v>0.11167568826437092</v>
      </c>
      <c r="Z50" s="681">
        <f>$V$32*Y50+(1-$V$32)*AA50</f>
        <v>0.3697973051652319</v>
      </c>
      <c r="AA50" s="681">
        <f>IF($G$16=1,AR50,IF($G$16=2,AR50,IF($G$16=3,BD50,AR50)))</f>
        <v>0.8</v>
      </c>
      <c r="AB50" s="681">
        <f>$V$32*AA50+(1-$V$32)*AC50</f>
        <v>0.83750000000000002</v>
      </c>
      <c r="AC50" s="681">
        <f>IF($G$16=1,AS50,IF($G$16=2,AS50,IF($G$16=3,BE50,AS50)))</f>
        <v>0.9</v>
      </c>
      <c r="AD50" s="681"/>
      <c r="AE50" s="681">
        <f>IF($G$16=1,AU50,IF($G$16=2,AU50,IF($G$16=3,#REF!,AU50)))</f>
        <v>9.8670877803028495E-2</v>
      </c>
      <c r="AF50" s="681">
        <f>IF($G$16=1,AV50,IF($G$16=2,AV50,IF($G$16=3,#REF!,AV50)))</f>
        <v>0.10201690341588621</v>
      </c>
      <c r="AG50" s="681">
        <f>$V$32*AF50+(1-$V$32)*AH50</f>
        <v>0.10443136208969603</v>
      </c>
      <c r="AH50" s="681">
        <f>IF($G$16=1,AW50,IF($G$16=2,AW50,IF($G$16=3,BH50,AW50)))</f>
        <v>0.10845545987937907</v>
      </c>
      <c r="AI50" s="681">
        <f>$V$32*AH50+(1-$V$32)*AJ50</f>
        <v>0.11086991855318891</v>
      </c>
      <c r="AJ50" s="681">
        <f>IF($G$16=1,AX50,IF($G$16=2,AX50,IF($G$16=3,BI50,AX50)))</f>
        <v>0.11489401634287197</v>
      </c>
      <c r="AK50" s="681">
        <f>$V$32*AJ50+(1-$V$32)*AL50</f>
        <v>0.1173084750166818</v>
      </c>
      <c r="AL50" s="681">
        <f>IF($G$16=1,AY50,IF($G$16=2,AY50,IF($G$16=3,BJ50,AY50)))</f>
        <v>0.12133257280636485</v>
      </c>
      <c r="AM50"/>
      <c r="AN50"/>
      <c r="AO50" s="140">
        <f>(IFERROR(IF(N50/(SUMIF(RES!$D$39:$D$145,D50,$N$39:$N$145))=1,1,(N50/(SUMIF(RES!$D$39:$D$145,D50,$N$39:$N$145))+$AO$28)),0))</f>
        <v>9.9770877803028499E-2</v>
      </c>
      <c r="AP50" s="172">
        <f>$AO50*(1+'Census 2011_17'!B$20)+$AO$28</f>
        <v>0.10516535366058442</v>
      </c>
      <c r="AQ50" s="172">
        <f>$AO50*(1+'Census 2011_17'!C$20)+$AO$28</f>
        <v>0.11167568826437092</v>
      </c>
      <c r="AR50" s="459">
        <v>0.8</v>
      </c>
      <c r="AS50" s="459">
        <v>0.9</v>
      </c>
      <c r="AT50" s="173"/>
      <c r="AU50" s="198">
        <f>(IFERROR(IF($N50/(SUMIF(RES!$D$39:$D$145,$D50,$N$39:$N$145))=1,1,($N50/(SUMIF(RES!$D$39:$D$145,$D50,$N$39:$N$145))-$AU$28)),0))</f>
        <v>9.8670877803028495E-2</v>
      </c>
      <c r="AV50" s="296">
        <f>$AU50*(1+'Census 2011_17'!B$20)-$AO$28</f>
        <v>0.10201690341588621</v>
      </c>
      <c r="AW50" s="296">
        <f>$AU50*(1+'Census 2011_17'!C$20)-$AO$28</f>
        <v>0.10845545987937907</v>
      </c>
      <c r="AX50" s="296">
        <f>$AU50*(1+'Census 2011_17'!D$20)-$AO$28</f>
        <v>0.11489401634287197</v>
      </c>
      <c r="AY50" s="296">
        <f>$AU50*(1+'Census 2011_17'!E$20)-$AO$28</f>
        <v>0.12133257280636485</v>
      </c>
      <c r="AZ50" s="175"/>
      <c r="BA50" s="172"/>
      <c r="BB50" s="172">
        <f t="shared" si="17"/>
        <v>0.10516535366058442</v>
      </c>
      <c r="BC50" s="172">
        <f t="shared" si="18"/>
        <v>0.11167568826437092</v>
      </c>
      <c r="BD50" s="172">
        <f t="shared" si="19"/>
        <v>0.8</v>
      </c>
      <c r="BE50" s="172">
        <f t="shared" si="20"/>
        <v>0.9</v>
      </c>
      <c r="BF50" s="173" t="str">
        <f t="shared" si="21"/>
        <v/>
      </c>
      <c r="BG50" s="172"/>
      <c r="BH50" s="172">
        <f t="shared" si="22"/>
        <v>0.10845545987937907</v>
      </c>
      <c r="BI50" s="172">
        <f t="shared" si="23"/>
        <v>0.11489401634287197</v>
      </c>
      <c r="BJ50" s="172">
        <f t="shared" si="24"/>
        <v>0.12133257280636485</v>
      </c>
      <c r="BK50" s="175" t="str">
        <f t="shared" si="25"/>
        <v/>
      </c>
      <c r="BL50" s="183" t="s">
        <v>517</v>
      </c>
      <c r="BM50" s="527">
        <f>E50</f>
        <v>0.94750000000000001</v>
      </c>
      <c r="BN50" s="377">
        <f>INDEX('Electrical efficiency'!$M$8:$M$23,MATCH(RES!D50,'Electrical efficiency'!$K$8:$K$23,0))</f>
        <v>0.94750000000000001</v>
      </c>
      <c r="BO50" s="377">
        <f>INDEX('Electrical efficiency'!$N$8:$N$23,MATCH(RES!D50,'Electrical efficiency'!$K$8:$K$23,0))</f>
        <v>0.94750000000000001</v>
      </c>
      <c r="BP50" s="377">
        <f>INDEX('Electrical efficiency'!$O$8:$O$23,MATCH(RES!D50,'Electrical efficiency'!$K$8:$K$23,0))</f>
        <v>0.94750000000000001</v>
      </c>
      <c r="BQ50" s="377">
        <f>INDEX('Electrical efficiency'!$P$8:$P$23,MATCH(RES!D50,'Electrical efficiency'!$K$8:$K$23,0))</f>
        <v>0.94750000000000001</v>
      </c>
      <c r="BR50" s="183" t="s">
        <v>517</v>
      </c>
      <c r="BS50"/>
      <c r="BT50"/>
      <c r="BU50"/>
      <c r="BV50"/>
      <c r="BW50"/>
      <c r="BX50"/>
      <c r="BY50"/>
      <c r="BZ50"/>
      <c r="CA50"/>
      <c r="CB50"/>
      <c r="CC50"/>
      <c r="CD50"/>
      <c r="CE50"/>
      <c r="CF50"/>
    </row>
    <row r="51" spans="1:3723" s="35" customFormat="1" ht="15.35" outlineLevel="1">
      <c r="A51" s="108" t="s">
        <v>986</v>
      </c>
      <c r="B51" s="30" t="s">
        <v>341</v>
      </c>
      <c r="C51" s="43" t="s">
        <v>244</v>
      </c>
      <c r="D51" s="43" t="s">
        <v>257</v>
      </c>
      <c r="E51" s="517">
        <v>0.73</v>
      </c>
      <c r="F51" s="600">
        <v>1</v>
      </c>
      <c r="G51" s="600">
        <v>1</v>
      </c>
      <c r="H51" s="600">
        <f>N51/F51*(1+$D$31)</f>
        <v>0.2373337458934516</v>
      </c>
      <c r="I51" s="628">
        <v>1E-3</v>
      </c>
      <c r="J51" s="517"/>
      <c r="K51" s="48"/>
      <c r="L51" s="516">
        <v>1</v>
      </c>
      <c r="M51" s="516">
        <f>IF(C51="","",SUMIFS(Energy_Balance!I$55:I$160,Energy_Balance!$C$55:$C$160,C51,Energy_Balance!$D$55:$D$160,D51)*L51)</f>
        <v>0.32511472040198852</v>
      </c>
      <c r="N51" s="516">
        <f t="shared" si="28"/>
        <v>0.2373337458934516</v>
      </c>
      <c r="O51" s="25"/>
      <c r="P51" s="377">
        <f t="shared" si="30"/>
        <v>0.73</v>
      </c>
      <c r="Q51" s="377">
        <f t="shared" si="30"/>
        <v>0.73</v>
      </c>
      <c r="R51" s="377">
        <f t="shared" si="30"/>
        <v>0.73</v>
      </c>
      <c r="S51" s="377">
        <f t="shared" si="30"/>
        <v>0.73</v>
      </c>
      <c r="T51" s="208"/>
      <c r="U51" s="50"/>
      <c r="V51" s="50">
        <f t="shared" ref="V51:W54" si="33">IF($G$16=1,AO51,IF($G$16=2,AO51,IF($G$16=3,BA51,AO51)))</f>
        <v>2.6390309939866657E-2</v>
      </c>
      <c r="W51" s="50">
        <f t="shared" si="33"/>
        <v>2.7261485425035214E-2</v>
      </c>
      <c r="X51" s="50">
        <f>$V$32*W51+(1-$V$32)*Y51</f>
        <v>2.7189916250128857E-2</v>
      </c>
      <c r="Y51" s="50">
        <f>IF($G$16=1,AQ51,IF($G$16=2,AQ51,IF($G$16=3,BC51,AQ51)))</f>
        <v>2.7070634291951595E-2</v>
      </c>
      <c r="Z51" s="50">
        <f>$V$32*Y51+(1-$V$32)*AA51</f>
        <v>2.6999065117045237E-2</v>
      </c>
      <c r="AA51" s="50">
        <f>IF($G$16=1,AR51,IF($G$16=2,AR51,IF($G$16=3,BD51,AR51)))</f>
        <v>2.6879783158867972E-2</v>
      </c>
      <c r="AB51" s="50">
        <f>$V$32*AA51+(1-$V$32)*AC51</f>
        <v>2.6808213983961614E-2</v>
      </c>
      <c r="AC51" s="50">
        <f>IF($G$16=1,AS51,IF($G$16=2,AS51,IF($G$16=3,BE51,AS51)))</f>
        <v>2.6688932025784352E-2</v>
      </c>
      <c r="AD51" s="50"/>
      <c r="AE51" s="50">
        <f>IF($G$16=1,AU51,IF($G$16=2,AU51,IF($G$16=3,#REF!,AU51)))</f>
        <v>2.5290309939866657E-2</v>
      </c>
      <c r="AF51" s="50">
        <f>IF($G$16=1,AV51,IF($G$16=2,AV51,IF($G$16=3,#REF!,AV51)))</f>
        <v>2.0068365211743527E-2</v>
      </c>
      <c r="AG51" s="50">
        <f>$V$32*AF51+(1-$V$32)*AH51</f>
        <v>1.9250618140564009E-2</v>
      </c>
      <c r="AH51" s="50">
        <f>IF($G$16=1,AW51,IF($G$16=2,AW51,IF($G$16=3,BH51,AW51)))</f>
        <v>1.7887706355264814E-2</v>
      </c>
      <c r="AI51" s="50">
        <f>$V$32*AH51+(1-$V$32)*AJ51</f>
        <v>1.117981647204051E-2</v>
      </c>
      <c r="AJ51" s="50">
        <f>IF($G$16=1,AX51,IF($G$16=2,AX51,IF($G$16=3,BI51,AX51)))</f>
        <v>0</v>
      </c>
      <c r="AK51" s="50">
        <f>$V$32*AJ51+(1-$V$32)*AL51</f>
        <v>0</v>
      </c>
      <c r="AL51" s="50">
        <f>IF($G$16=1,AY51,IF($G$16=2,AY51,IF($G$16=3,BJ51,AY51)))</f>
        <v>0</v>
      </c>
      <c r="AM51"/>
      <c r="AN51"/>
      <c r="AO51" s="140">
        <f>(IFERROR(IF(N51/(SUMIF(RES!$D$39:$D$145,D51,$N$39:$N$145))=1,1,(N51/(SUMIF(RES!$D$39:$D$145,D51,$N$39:$N$145))+$AO$28)),0))</f>
        <v>2.6390309939866657E-2</v>
      </c>
      <c r="AP51" s="297">
        <f>$AO51-RES!$AO$50*'Census 2011_17'!B$20*RES!$AO51/(1-RES!$AO$50)+$AO$28</f>
        <v>2.7261485425035214E-2</v>
      </c>
      <c r="AQ51" s="297">
        <f>$AO51-RES!$AO$50*'Census 2011_17'!C$20*RES!$AO51/(1-RES!$AO$50)+$AO$28</f>
        <v>2.7070634291951595E-2</v>
      </c>
      <c r="AR51" s="297">
        <f>$AO51-RES!$AO$50*'Census 2011_17'!D$20*RES!$AO51/(1-RES!$AO$50)+$AO$28</f>
        <v>2.6879783158867972E-2</v>
      </c>
      <c r="AS51" s="297">
        <f>$AO51-RES!$AO$50*'Census 2011_17'!E$20*RES!$AO51/(1-RES!$AO$50)+$AO$28</f>
        <v>2.6688932025784352E-2</v>
      </c>
      <c r="AT51" s="21"/>
      <c r="AU51" s="198">
        <f>(IFERROR(IF($N51/(SUMIF(RES!$D$39:$D$145,$D51,$N$39:$N$145))=1,1,($N51/(SUMIF(RES!$D$39:$D$145,$D51,$N$39:$N$145))-$AU$28)),0))</f>
        <v>2.5290309939866657E-2</v>
      </c>
      <c r="AV51" s="297">
        <f>$AU51-RES!$AU$50*'Census 2011_17'!B$20*RES!$AU51/(1-RES!$AU$50)-AV$28-$AU$28</f>
        <v>2.0068365211743527E-2</v>
      </c>
      <c r="AW51" s="297">
        <f>$AU51-RES!$AU$50*'Census 2011_17'!C$20*RES!$AU51/(1-RES!$AU$50)-AW$28-$AU$28</f>
        <v>1.7887706355264814E-2</v>
      </c>
      <c r="AX51" s="459">
        <v>0</v>
      </c>
      <c r="AY51" s="459">
        <v>0</v>
      </c>
      <c r="AZ51" s="125"/>
      <c r="BA51" s="140"/>
      <c r="BB51" s="297">
        <f t="shared" ref="BB51:BB77" si="34">IF(AP51="","",AP51)</f>
        <v>2.7261485425035214E-2</v>
      </c>
      <c r="BC51" s="297">
        <f t="shared" ref="BC51:BC77" si="35">IF(AQ51="","",AQ51)</f>
        <v>2.7070634291951595E-2</v>
      </c>
      <c r="BD51" s="297">
        <f t="shared" ref="BD51:BD78" si="36">IF(AR51="","",AR51)</f>
        <v>2.6879783158867972E-2</v>
      </c>
      <c r="BE51" s="297">
        <f t="shared" ref="BE51:BE77" si="37">IF(AS51="","",AS51)</f>
        <v>2.6688932025784352E-2</v>
      </c>
      <c r="BF51" s="21" t="str">
        <f t="shared" ref="BF51:BF77" si="38">IF(AT51="","",AT51)</f>
        <v/>
      </c>
      <c r="BG51" s="172"/>
      <c r="BH51" s="346">
        <f t="shared" si="22"/>
        <v>1.7887706355264814E-2</v>
      </c>
      <c r="BI51" s="346">
        <f t="shared" si="23"/>
        <v>0</v>
      </c>
      <c r="BJ51" s="346">
        <f t="shared" si="24"/>
        <v>0</v>
      </c>
      <c r="BK51" s="125" t="str">
        <f t="shared" si="25"/>
        <v/>
      </c>
      <c r="BL51" s="183" t="s">
        <v>517</v>
      </c>
      <c r="BM51" s="527">
        <f>E51</f>
        <v>0.73</v>
      </c>
      <c r="BN51" s="377">
        <f>E51</f>
        <v>0.73</v>
      </c>
      <c r="BO51" s="377">
        <f>IF($BL51="","",($BQ51-$BN51)*1/3+$BN51)</f>
        <v>0.73</v>
      </c>
      <c r="BP51" s="377">
        <f>IF($BL51="","",($BQ51-$BN51)*2/3+$BN51)</f>
        <v>0.73</v>
      </c>
      <c r="BQ51" s="377">
        <f>IF($BL51="","",IF($BL51="*",$BM51*(1+$BN$29),E51))</f>
        <v>0.73</v>
      </c>
      <c r="BR51" s="183" t="s">
        <v>517</v>
      </c>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c r="AQI51"/>
      <c r="AQJ51"/>
      <c r="AQK51"/>
      <c r="AQL51"/>
      <c r="AQM51"/>
      <c r="AQN51"/>
      <c r="AQO51"/>
      <c r="AQP51"/>
      <c r="AQQ51"/>
      <c r="AQR51"/>
      <c r="AQS51"/>
      <c r="AQT51"/>
      <c r="AQU51"/>
      <c r="AQV51"/>
      <c r="AQW51"/>
      <c r="AQX51"/>
      <c r="AQY51"/>
      <c r="AQZ51"/>
      <c r="ARA51"/>
      <c r="ARB51"/>
      <c r="ARC51"/>
      <c r="ARD51"/>
      <c r="ARE51"/>
      <c r="ARF51"/>
      <c r="ARG51"/>
      <c r="ARH51"/>
      <c r="ARI51"/>
      <c r="ARJ51"/>
      <c r="ARK51"/>
      <c r="ARL51"/>
      <c r="ARM51"/>
      <c r="ARN51"/>
      <c r="ARO51"/>
      <c r="ARP51"/>
      <c r="ARQ51"/>
      <c r="ARR51"/>
      <c r="ARS51"/>
      <c r="ART51"/>
      <c r="ARU51"/>
      <c r="ARV51"/>
      <c r="ARW51"/>
      <c r="ARX51"/>
      <c r="ARY51"/>
      <c r="ARZ51"/>
      <c r="ASA51"/>
      <c r="ASB51"/>
      <c r="ASC51"/>
      <c r="ASD51"/>
      <c r="ASE51"/>
      <c r="ASF51"/>
      <c r="ASG51"/>
      <c r="ASH51"/>
      <c r="ASI51"/>
      <c r="ASJ51"/>
      <c r="ASK51"/>
      <c r="ASL51"/>
      <c r="ASM51"/>
      <c r="ASN51"/>
      <c r="ASO51"/>
      <c r="ASP51"/>
      <c r="ASQ51"/>
      <c r="ASR51"/>
      <c r="ASS51"/>
      <c r="AST51"/>
      <c r="ASU51"/>
      <c r="ASV51"/>
      <c r="ASW51"/>
      <c r="ASX51"/>
      <c r="ASY51"/>
      <c r="ASZ51"/>
      <c r="ATA51"/>
      <c r="ATB51"/>
      <c r="ATC51"/>
      <c r="ATD51"/>
      <c r="ATE51"/>
      <c r="ATF51"/>
      <c r="ATG51"/>
      <c r="ATH51"/>
      <c r="ATI51"/>
      <c r="ATJ51"/>
      <c r="ATK51"/>
      <c r="ATL51"/>
      <c r="ATM51"/>
      <c r="ATN51"/>
      <c r="ATO51"/>
      <c r="ATP51"/>
      <c r="ATQ51"/>
      <c r="ATR51"/>
      <c r="ATS51"/>
      <c r="ATT51"/>
      <c r="ATU51"/>
      <c r="ATV51"/>
      <c r="ATW51"/>
      <c r="ATX51"/>
      <c r="ATY51"/>
      <c r="ATZ51"/>
      <c r="AUA51"/>
      <c r="AUB51"/>
      <c r="AUC51"/>
      <c r="AUD51"/>
      <c r="AUE51"/>
      <c r="AUF51"/>
      <c r="AUG51"/>
      <c r="AUH51"/>
      <c r="AUI51"/>
      <c r="AUJ51"/>
      <c r="AUK51"/>
      <c r="AUL51"/>
      <c r="AUM51"/>
      <c r="AUN51"/>
      <c r="AUO51"/>
      <c r="AUP51"/>
      <c r="AUQ51"/>
      <c r="AUR51"/>
      <c r="AUS51"/>
      <c r="AUT51"/>
      <c r="AUU51"/>
      <c r="AUV51"/>
      <c r="AUW51"/>
      <c r="AUX51"/>
      <c r="AUY51"/>
      <c r="AUZ51"/>
      <c r="AVA51"/>
      <c r="AVB51"/>
      <c r="AVC51"/>
      <c r="AVD51"/>
      <c r="AVE51"/>
      <c r="AVF51"/>
      <c r="AVG51"/>
      <c r="AVH51"/>
      <c r="AVI51"/>
      <c r="AVJ51"/>
      <c r="AVK51"/>
      <c r="AVL51"/>
      <c r="AVM51"/>
      <c r="AVN51"/>
      <c r="AVO51"/>
      <c r="AVP51"/>
      <c r="AVQ51"/>
      <c r="AVR51"/>
      <c r="AVS51"/>
      <c r="AVT51"/>
      <c r="AVU51"/>
      <c r="AVV51"/>
      <c r="AVW51"/>
      <c r="AVX51"/>
      <c r="AVY51"/>
      <c r="AVZ51"/>
      <c r="AWA51"/>
      <c r="AWB51"/>
      <c r="AWC51"/>
      <c r="AWD51"/>
      <c r="AWE51"/>
      <c r="AWF51"/>
      <c r="AWG51"/>
      <c r="AWH51"/>
      <c r="AWI51"/>
      <c r="AWJ51"/>
      <c r="AWK51"/>
      <c r="AWL51"/>
      <c r="AWM51"/>
      <c r="AWN51"/>
      <c r="AWO51"/>
      <c r="AWP51"/>
      <c r="AWQ51"/>
      <c r="AWR51"/>
      <c r="AWS51"/>
      <c r="AWT51"/>
      <c r="AWU51"/>
      <c r="AWV51"/>
      <c r="AWW51"/>
      <c r="AWX51"/>
      <c r="AWY51"/>
      <c r="AWZ51"/>
      <c r="AXA51"/>
      <c r="AXB51"/>
      <c r="AXC51"/>
      <c r="AXD51"/>
      <c r="AXE51"/>
      <c r="AXF51"/>
      <c r="AXG51"/>
      <c r="AXH51"/>
      <c r="AXI51"/>
      <c r="AXJ51"/>
      <c r="AXK51"/>
      <c r="AXL51"/>
      <c r="AXM51"/>
      <c r="AXN51"/>
      <c r="AXO51"/>
      <c r="AXP51"/>
      <c r="AXQ51"/>
      <c r="AXR51"/>
      <c r="AXS51"/>
      <c r="AXT51"/>
      <c r="AXU51"/>
      <c r="AXV51"/>
      <c r="AXW51"/>
      <c r="AXX51"/>
      <c r="AXY51"/>
      <c r="AXZ51"/>
      <c r="AYA51"/>
      <c r="AYB51"/>
      <c r="AYC51"/>
      <c r="AYD51"/>
      <c r="AYE51"/>
      <c r="AYF51"/>
      <c r="AYG51"/>
      <c r="AYH51"/>
      <c r="AYI51"/>
      <c r="AYJ51"/>
      <c r="AYK51"/>
      <c r="AYL51"/>
      <c r="AYM51"/>
      <c r="AYN51"/>
      <c r="AYO51"/>
      <c r="AYP51"/>
      <c r="AYQ51"/>
      <c r="AYR51"/>
      <c r="AYS51"/>
      <c r="AYT51"/>
      <c r="AYU51"/>
      <c r="AYV51"/>
      <c r="AYW51"/>
      <c r="AYX51"/>
      <c r="AYY51"/>
      <c r="AYZ51"/>
      <c r="AZA51"/>
      <c r="AZB51"/>
      <c r="AZC51"/>
      <c r="AZD51"/>
      <c r="AZE51"/>
      <c r="AZF51"/>
      <c r="AZG51"/>
      <c r="AZH51"/>
      <c r="AZI51"/>
      <c r="AZJ51"/>
      <c r="AZK51"/>
      <c r="AZL51"/>
      <c r="AZM51"/>
      <c r="AZN51"/>
      <c r="AZO51"/>
      <c r="AZP51"/>
      <c r="AZQ51"/>
      <c r="AZR51"/>
      <c r="AZS51"/>
      <c r="AZT51"/>
      <c r="AZU51"/>
      <c r="AZV51"/>
      <c r="AZW51"/>
      <c r="AZX51"/>
      <c r="AZY51"/>
      <c r="AZZ51"/>
      <c r="BAA51"/>
      <c r="BAB51"/>
      <c r="BAC51"/>
      <c r="BAD51"/>
      <c r="BAE51"/>
      <c r="BAF51"/>
      <c r="BAG51"/>
      <c r="BAH51"/>
      <c r="BAI51"/>
      <c r="BAJ51"/>
      <c r="BAK51"/>
      <c r="BAL51"/>
      <c r="BAM51"/>
      <c r="BAN51"/>
      <c r="BAO51"/>
      <c r="BAP51"/>
      <c r="BAQ51"/>
      <c r="BAR51"/>
      <c r="BAS51"/>
      <c r="BAT51"/>
      <c r="BAU51"/>
      <c r="BAV51"/>
      <c r="BAW51"/>
      <c r="BAX51"/>
      <c r="BAY51"/>
      <c r="BAZ51"/>
      <c r="BBA51"/>
      <c r="BBB51"/>
      <c r="BBC51"/>
      <c r="BBD51"/>
      <c r="BBE51"/>
      <c r="BBF51"/>
      <c r="BBG51"/>
      <c r="BBH51"/>
      <c r="BBI51"/>
      <c r="BBJ51"/>
      <c r="BBK51"/>
      <c r="BBL51"/>
      <c r="BBM51"/>
      <c r="BBN51"/>
      <c r="BBO51"/>
      <c r="BBP51"/>
      <c r="BBQ51"/>
      <c r="BBR51"/>
      <c r="BBS51"/>
      <c r="BBT51"/>
      <c r="BBU51"/>
      <c r="BBV51"/>
      <c r="BBW51"/>
      <c r="BBX51"/>
      <c r="BBY51"/>
      <c r="BBZ51"/>
      <c r="BCA51"/>
      <c r="BCB51"/>
      <c r="BCC51"/>
      <c r="BCD51"/>
      <c r="BCE51"/>
      <c r="BCF51"/>
      <c r="BCG51"/>
      <c r="BCH51"/>
      <c r="BCI51"/>
      <c r="BCJ51"/>
      <c r="BCK51"/>
      <c r="BCL51"/>
      <c r="BCM51"/>
      <c r="BCN51"/>
      <c r="BCO51"/>
      <c r="BCP51"/>
      <c r="BCQ51"/>
      <c r="BCR51"/>
      <c r="BCS51"/>
      <c r="BCT51"/>
      <c r="BCU51"/>
      <c r="BCV51"/>
      <c r="BCW51"/>
      <c r="BCX51"/>
      <c r="BCY51"/>
      <c r="BCZ51"/>
      <c r="BDA51"/>
      <c r="BDB51"/>
      <c r="BDC51"/>
      <c r="BDD51"/>
      <c r="BDE51"/>
      <c r="BDF51"/>
      <c r="BDG51"/>
      <c r="BDH51"/>
      <c r="BDI51"/>
      <c r="BDJ51"/>
      <c r="BDK51"/>
      <c r="BDL51"/>
      <c r="BDM51"/>
      <c r="BDN51"/>
      <c r="BDO51"/>
      <c r="BDP51"/>
      <c r="BDQ51"/>
      <c r="BDR51"/>
      <c r="BDS51"/>
      <c r="BDT51"/>
      <c r="BDU51"/>
      <c r="BDV51"/>
      <c r="BDW51"/>
      <c r="BDX51"/>
      <c r="BDY51"/>
      <c r="BDZ51"/>
      <c r="BEA51"/>
      <c r="BEB51"/>
      <c r="BEC51"/>
      <c r="BED51"/>
      <c r="BEE51"/>
      <c r="BEF51"/>
      <c r="BEG51"/>
      <c r="BEH51"/>
      <c r="BEI51"/>
      <c r="BEJ51"/>
      <c r="BEK51"/>
      <c r="BEL51"/>
      <c r="BEM51"/>
      <c r="BEN51"/>
      <c r="BEO51"/>
      <c r="BEP51"/>
      <c r="BEQ51"/>
      <c r="BER51"/>
      <c r="BES51"/>
      <c r="BET51"/>
      <c r="BEU51"/>
      <c r="BEV51"/>
      <c r="BEW51"/>
      <c r="BEX51"/>
      <c r="BEY51"/>
      <c r="BEZ51"/>
      <c r="BFA51"/>
      <c r="BFB51"/>
      <c r="BFC51"/>
      <c r="BFD51"/>
      <c r="BFE51"/>
      <c r="BFF51"/>
      <c r="BFG51"/>
      <c r="BFH51"/>
      <c r="BFI51"/>
      <c r="BFJ51"/>
      <c r="BFK51"/>
      <c r="BFL51"/>
      <c r="BFM51"/>
      <c r="BFN51"/>
      <c r="BFO51"/>
      <c r="BFP51"/>
      <c r="BFQ51"/>
      <c r="BFR51"/>
      <c r="BFS51"/>
      <c r="BFT51"/>
      <c r="BFU51"/>
      <c r="BFV51"/>
      <c r="BFW51"/>
      <c r="BFX51"/>
      <c r="BFY51"/>
      <c r="BFZ51"/>
      <c r="BGA51"/>
      <c r="BGB51"/>
      <c r="BGC51"/>
      <c r="BGD51"/>
      <c r="BGE51"/>
      <c r="BGF51"/>
      <c r="BGG51"/>
      <c r="BGH51"/>
      <c r="BGI51"/>
      <c r="BGJ51"/>
      <c r="BGK51"/>
      <c r="BGL51"/>
      <c r="BGM51"/>
      <c r="BGN51"/>
      <c r="BGO51"/>
      <c r="BGP51"/>
      <c r="BGQ51"/>
      <c r="BGR51"/>
      <c r="BGS51"/>
      <c r="BGT51"/>
      <c r="BGU51"/>
      <c r="BGV51"/>
      <c r="BGW51"/>
      <c r="BGX51"/>
      <c r="BGY51"/>
      <c r="BGZ51"/>
      <c r="BHA51"/>
      <c r="BHB51"/>
      <c r="BHC51"/>
      <c r="BHD51"/>
      <c r="BHE51"/>
      <c r="BHF51"/>
      <c r="BHG51"/>
      <c r="BHH51"/>
      <c r="BHI51"/>
      <c r="BHJ51"/>
      <c r="BHK51"/>
      <c r="BHL51"/>
      <c r="BHM51"/>
      <c r="BHN51"/>
      <c r="BHO51"/>
      <c r="BHP51"/>
      <c r="BHQ51"/>
      <c r="BHR51"/>
      <c r="BHS51"/>
      <c r="BHT51"/>
      <c r="BHU51"/>
      <c r="BHV51"/>
      <c r="BHW51"/>
      <c r="BHX51"/>
      <c r="BHY51"/>
      <c r="BHZ51"/>
      <c r="BIA51"/>
      <c r="BIB51"/>
      <c r="BIC51"/>
      <c r="BID51"/>
      <c r="BIE51"/>
      <c r="BIF51"/>
      <c r="BIG51"/>
      <c r="BIH51"/>
      <c r="BII51"/>
      <c r="BIJ51"/>
      <c r="BIK51"/>
      <c r="BIL51"/>
      <c r="BIM51"/>
      <c r="BIN51"/>
      <c r="BIO51"/>
      <c r="BIP51"/>
      <c r="BIQ51"/>
      <c r="BIR51"/>
      <c r="BIS51"/>
      <c r="BIT51"/>
      <c r="BIU51"/>
      <c r="BIV51"/>
      <c r="BIW51"/>
      <c r="BIX51"/>
      <c r="BIY51"/>
      <c r="BIZ51"/>
      <c r="BJA51"/>
      <c r="BJB51"/>
      <c r="BJC51"/>
      <c r="BJD51"/>
      <c r="BJE51"/>
      <c r="BJF51"/>
      <c r="BJG51"/>
      <c r="BJH51"/>
      <c r="BJI51"/>
      <c r="BJJ51"/>
      <c r="BJK51"/>
      <c r="BJL51"/>
      <c r="BJM51"/>
      <c r="BJN51"/>
      <c r="BJO51"/>
      <c r="BJP51"/>
      <c r="BJQ51"/>
      <c r="BJR51"/>
      <c r="BJS51"/>
      <c r="BJT51"/>
      <c r="BJU51"/>
      <c r="BJV51"/>
      <c r="BJW51"/>
      <c r="BJX51"/>
      <c r="BJY51"/>
      <c r="BJZ51"/>
      <c r="BKA51"/>
      <c r="BKB51"/>
      <c r="BKC51"/>
      <c r="BKD51"/>
      <c r="BKE51"/>
      <c r="BKF51"/>
      <c r="BKG51"/>
      <c r="BKH51"/>
      <c r="BKI51"/>
      <c r="BKJ51"/>
      <c r="BKK51"/>
      <c r="BKL51"/>
      <c r="BKM51"/>
      <c r="BKN51"/>
      <c r="BKO51"/>
      <c r="BKP51"/>
      <c r="BKQ51"/>
      <c r="BKR51"/>
      <c r="BKS51"/>
      <c r="BKT51"/>
      <c r="BKU51"/>
      <c r="BKV51"/>
      <c r="BKW51"/>
      <c r="BKX51"/>
      <c r="BKY51"/>
      <c r="BKZ51"/>
      <c r="BLA51"/>
      <c r="BLB51"/>
      <c r="BLC51"/>
      <c r="BLD51"/>
      <c r="BLE51"/>
      <c r="BLF51"/>
      <c r="BLG51"/>
      <c r="BLH51"/>
      <c r="BLI51"/>
      <c r="BLJ51"/>
      <c r="BLK51"/>
      <c r="BLL51"/>
      <c r="BLM51"/>
      <c r="BLN51"/>
      <c r="BLO51"/>
      <c r="BLP51"/>
      <c r="BLQ51"/>
      <c r="BLR51"/>
      <c r="BLS51"/>
      <c r="BLT51"/>
      <c r="BLU51"/>
      <c r="BLV51"/>
      <c r="BLW51"/>
      <c r="BLX51"/>
      <c r="BLY51"/>
      <c r="BLZ51"/>
      <c r="BMA51"/>
      <c r="BMB51"/>
      <c r="BMC51"/>
      <c r="BMD51"/>
      <c r="BME51"/>
      <c r="BMF51"/>
      <c r="BMG51"/>
      <c r="BMH51"/>
      <c r="BMI51"/>
      <c r="BMJ51"/>
      <c r="BMK51"/>
      <c r="BML51"/>
      <c r="BMM51"/>
      <c r="BMN51"/>
      <c r="BMO51"/>
      <c r="BMP51"/>
      <c r="BMQ51"/>
      <c r="BMR51"/>
      <c r="BMS51"/>
      <c r="BMT51"/>
      <c r="BMU51"/>
      <c r="BMV51"/>
      <c r="BMW51"/>
      <c r="BMX51"/>
      <c r="BMY51"/>
      <c r="BMZ51"/>
      <c r="BNA51"/>
      <c r="BNB51"/>
      <c r="BNC51"/>
      <c r="BND51"/>
      <c r="BNE51"/>
      <c r="BNF51"/>
      <c r="BNG51"/>
      <c r="BNH51"/>
      <c r="BNI51"/>
      <c r="BNJ51"/>
      <c r="BNK51"/>
      <c r="BNL51"/>
      <c r="BNM51"/>
      <c r="BNN51"/>
      <c r="BNO51"/>
      <c r="BNP51"/>
      <c r="BNQ51"/>
      <c r="BNR51"/>
      <c r="BNS51"/>
      <c r="BNT51"/>
      <c r="BNU51"/>
      <c r="BNV51"/>
      <c r="BNW51"/>
      <c r="BNX51"/>
      <c r="BNY51"/>
      <c r="BNZ51"/>
      <c r="BOA51"/>
      <c r="BOB51"/>
      <c r="BOC51"/>
      <c r="BOD51"/>
      <c r="BOE51"/>
      <c r="BOF51"/>
      <c r="BOG51"/>
      <c r="BOH51"/>
      <c r="BOI51"/>
      <c r="BOJ51"/>
      <c r="BOK51"/>
      <c r="BOL51"/>
      <c r="BOM51"/>
      <c r="BON51"/>
      <c r="BOO51"/>
      <c r="BOP51"/>
      <c r="BOQ51"/>
      <c r="BOR51"/>
      <c r="BOS51"/>
      <c r="BOT51"/>
      <c r="BOU51"/>
      <c r="BOV51"/>
      <c r="BOW51"/>
      <c r="BOX51"/>
      <c r="BOY51"/>
      <c r="BOZ51"/>
      <c r="BPA51"/>
      <c r="BPB51"/>
      <c r="BPC51"/>
      <c r="BPD51"/>
      <c r="BPE51"/>
      <c r="BPF51"/>
      <c r="BPG51"/>
      <c r="BPH51"/>
      <c r="BPI51"/>
      <c r="BPJ51"/>
      <c r="BPK51"/>
      <c r="BPL51"/>
      <c r="BPM51"/>
      <c r="BPN51"/>
      <c r="BPO51"/>
      <c r="BPP51"/>
      <c r="BPQ51"/>
      <c r="BPR51"/>
      <c r="BPS51"/>
      <c r="BPT51"/>
      <c r="BPU51"/>
      <c r="BPV51"/>
      <c r="BPW51"/>
      <c r="BPX51"/>
      <c r="BPY51"/>
      <c r="BPZ51"/>
      <c r="BQA51"/>
      <c r="BQB51"/>
      <c r="BQC51"/>
      <c r="BQD51"/>
      <c r="BQE51"/>
      <c r="BQF51"/>
      <c r="BQG51"/>
      <c r="BQH51"/>
      <c r="BQI51"/>
      <c r="BQJ51"/>
      <c r="BQK51"/>
      <c r="BQL51"/>
      <c r="BQM51"/>
      <c r="BQN51"/>
      <c r="BQO51"/>
      <c r="BQP51"/>
      <c r="BQQ51"/>
      <c r="BQR51"/>
      <c r="BQS51"/>
      <c r="BQT51"/>
      <c r="BQU51"/>
      <c r="BQV51"/>
      <c r="BQW51"/>
      <c r="BQX51"/>
      <c r="BQY51"/>
      <c r="BQZ51"/>
      <c r="BRA51"/>
      <c r="BRB51"/>
      <c r="BRC51"/>
      <c r="BRD51"/>
      <c r="BRE51"/>
      <c r="BRF51"/>
      <c r="BRG51"/>
      <c r="BRH51"/>
      <c r="BRI51"/>
      <c r="BRJ51"/>
      <c r="BRK51"/>
      <c r="BRL51"/>
      <c r="BRM51"/>
      <c r="BRN51"/>
      <c r="BRO51"/>
      <c r="BRP51"/>
      <c r="BRQ51"/>
      <c r="BRR51"/>
      <c r="BRS51"/>
      <c r="BRT51"/>
      <c r="BRU51"/>
      <c r="BRV51"/>
      <c r="BRW51"/>
      <c r="BRX51"/>
      <c r="BRY51"/>
      <c r="BRZ51"/>
      <c r="BSA51"/>
      <c r="BSB51"/>
      <c r="BSC51"/>
      <c r="BSD51"/>
      <c r="BSE51"/>
      <c r="BSF51"/>
      <c r="BSG51"/>
      <c r="BSH51"/>
      <c r="BSI51"/>
      <c r="BSJ51"/>
      <c r="BSK51"/>
      <c r="BSL51"/>
      <c r="BSM51"/>
      <c r="BSN51"/>
      <c r="BSO51"/>
      <c r="BSP51"/>
      <c r="BSQ51"/>
      <c r="BSR51"/>
      <c r="BSS51"/>
      <c r="BST51"/>
      <c r="BSU51"/>
      <c r="BSV51"/>
      <c r="BSW51"/>
      <c r="BSX51"/>
      <c r="BSY51"/>
      <c r="BSZ51"/>
      <c r="BTA51"/>
      <c r="BTB51"/>
      <c r="BTC51"/>
      <c r="BTD51"/>
      <c r="BTE51"/>
      <c r="BTF51"/>
      <c r="BTG51"/>
      <c r="BTH51"/>
      <c r="BTI51"/>
      <c r="BTJ51"/>
      <c r="BTK51"/>
      <c r="BTL51"/>
      <c r="BTM51"/>
      <c r="BTN51"/>
      <c r="BTO51"/>
      <c r="BTP51"/>
      <c r="BTQ51"/>
      <c r="BTR51"/>
      <c r="BTS51"/>
      <c r="BTT51"/>
      <c r="BTU51"/>
      <c r="BTV51"/>
      <c r="BTW51"/>
      <c r="BTX51"/>
      <c r="BTY51"/>
      <c r="BTZ51"/>
      <c r="BUA51"/>
      <c r="BUB51"/>
      <c r="BUC51"/>
      <c r="BUD51"/>
      <c r="BUE51"/>
      <c r="BUF51"/>
      <c r="BUG51"/>
      <c r="BUH51"/>
      <c r="BUI51"/>
      <c r="BUJ51"/>
      <c r="BUK51"/>
      <c r="BUL51"/>
      <c r="BUM51"/>
      <c r="BUN51"/>
      <c r="BUO51"/>
      <c r="BUP51"/>
      <c r="BUQ51"/>
      <c r="BUR51"/>
      <c r="BUS51"/>
      <c r="BUT51"/>
      <c r="BUU51"/>
      <c r="BUV51"/>
      <c r="BUW51"/>
      <c r="BUX51"/>
      <c r="BUY51"/>
      <c r="BUZ51"/>
      <c r="BVA51"/>
      <c r="BVB51"/>
      <c r="BVC51"/>
      <c r="BVD51"/>
      <c r="BVE51"/>
      <c r="BVF51"/>
      <c r="BVG51"/>
      <c r="BVH51"/>
      <c r="BVI51"/>
      <c r="BVJ51"/>
      <c r="BVK51"/>
      <c r="BVL51"/>
      <c r="BVM51"/>
      <c r="BVN51"/>
      <c r="BVO51"/>
      <c r="BVP51"/>
      <c r="BVQ51"/>
      <c r="BVR51"/>
      <c r="BVS51"/>
      <c r="BVT51"/>
      <c r="BVU51"/>
      <c r="BVV51"/>
      <c r="BVW51"/>
      <c r="BVX51"/>
      <c r="BVY51"/>
      <c r="BVZ51"/>
      <c r="BWA51"/>
      <c r="BWB51"/>
      <c r="BWC51"/>
      <c r="BWD51"/>
      <c r="BWE51"/>
      <c r="BWF51"/>
      <c r="BWG51"/>
      <c r="BWH51"/>
      <c r="BWI51"/>
      <c r="BWJ51"/>
      <c r="BWK51"/>
      <c r="BWL51"/>
      <c r="BWM51"/>
      <c r="BWN51"/>
      <c r="BWO51"/>
      <c r="BWP51"/>
      <c r="BWQ51"/>
      <c r="BWR51"/>
      <c r="BWS51"/>
      <c r="BWT51"/>
      <c r="BWU51"/>
      <c r="BWV51"/>
      <c r="BWW51"/>
      <c r="BWX51"/>
      <c r="BWY51"/>
      <c r="BWZ51"/>
      <c r="BXA51"/>
      <c r="BXB51"/>
      <c r="BXC51"/>
      <c r="BXD51"/>
      <c r="BXE51"/>
      <c r="BXF51"/>
      <c r="BXG51"/>
      <c r="BXH51"/>
      <c r="BXI51"/>
      <c r="BXJ51"/>
      <c r="BXK51"/>
      <c r="BXL51"/>
      <c r="BXM51"/>
      <c r="BXN51"/>
      <c r="BXO51"/>
      <c r="BXP51"/>
      <c r="BXQ51"/>
      <c r="BXR51"/>
      <c r="BXS51"/>
      <c r="BXT51"/>
      <c r="BXU51"/>
      <c r="BXV51"/>
      <c r="BXW51"/>
      <c r="BXX51"/>
      <c r="BXY51"/>
      <c r="BXZ51"/>
      <c r="BYA51"/>
      <c r="BYB51"/>
      <c r="BYC51"/>
      <c r="BYD51"/>
      <c r="BYE51"/>
      <c r="BYF51"/>
      <c r="BYG51"/>
      <c r="BYH51"/>
      <c r="BYI51"/>
      <c r="BYJ51"/>
      <c r="BYK51"/>
      <c r="BYL51"/>
      <c r="BYM51"/>
      <c r="BYN51"/>
      <c r="BYO51"/>
      <c r="BYP51"/>
      <c r="BYQ51"/>
      <c r="BYR51"/>
      <c r="BYS51"/>
      <c r="BYT51"/>
      <c r="BYU51"/>
      <c r="BYV51"/>
      <c r="BYW51"/>
      <c r="BYX51"/>
      <c r="BYY51"/>
      <c r="BYZ51"/>
      <c r="BZA51"/>
      <c r="BZB51"/>
      <c r="BZC51"/>
      <c r="BZD51"/>
      <c r="BZE51"/>
      <c r="BZF51"/>
      <c r="BZG51"/>
      <c r="BZH51"/>
      <c r="BZI51"/>
      <c r="BZJ51"/>
      <c r="BZK51"/>
      <c r="BZL51"/>
      <c r="BZM51"/>
      <c r="BZN51"/>
      <c r="BZO51"/>
      <c r="BZP51"/>
      <c r="BZQ51"/>
      <c r="BZR51"/>
      <c r="BZS51"/>
      <c r="BZT51"/>
      <c r="BZU51"/>
      <c r="BZV51"/>
      <c r="BZW51"/>
      <c r="BZX51"/>
      <c r="BZY51"/>
      <c r="BZZ51"/>
      <c r="CAA51"/>
      <c r="CAB51"/>
      <c r="CAC51"/>
      <c r="CAD51"/>
      <c r="CAE51"/>
      <c r="CAF51"/>
      <c r="CAG51"/>
      <c r="CAH51"/>
      <c r="CAI51"/>
      <c r="CAJ51"/>
      <c r="CAK51"/>
      <c r="CAL51"/>
      <c r="CAM51"/>
      <c r="CAN51"/>
      <c r="CAO51"/>
      <c r="CAP51"/>
      <c r="CAQ51"/>
      <c r="CAR51"/>
      <c r="CAS51"/>
      <c r="CAT51"/>
      <c r="CAU51"/>
      <c r="CAV51"/>
      <c r="CAW51"/>
      <c r="CAX51"/>
      <c r="CAY51"/>
      <c r="CAZ51"/>
      <c r="CBA51"/>
      <c r="CBB51"/>
      <c r="CBC51"/>
      <c r="CBD51"/>
      <c r="CBE51"/>
      <c r="CBF51"/>
      <c r="CBG51"/>
      <c r="CBH51"/>
      <c r="CBI51"/>
      <c r="CBJ51"/>
      <c r="CBK51"/>
      <c r="CBL51"/>
      <c r="CBM51"/>
      <c r="CBN51"/>
      <c r="CBO51"/>
      <c r="CBP51"/>
      <c r="CBQ51"/>
      <c r="CBR51"/>
      <c r="CBS51"/>
      <c r="CBT51"/>
      <c r="CBU51"/>
      <c r="CBV51"/>
      <c r="CBW51"/>
      <c r="CBX51"/>
      <c r="CBY51"/>
      <c r="CBZ51"/>
      <c r="CCA51"/>
      <c r="CCB51"/>
      <c r="CCC51"/>
      <c r="CCD51"/>
      <c r="CCE51"/>
      <c r="CCF51"/>
      <c r="CCG51"/>
      <c r="CCH51"/>
      <c r="CCI51"/>
      <c r="CCJ51"/>
      <c r="CCK51"/>
      <c r="CCL51"/>
      <c r="CCM51"/>
      <c r="CCN51"/>
      <c r="CCO51"/>
      <c r="CCP51"/>
      <c r="CCQ51"/>
      <c r="CCR51"/>
      <c r="CCS51"/>
      <c r="CCT51"/>
      <c r="CCU51"/>
      <c r="CCV51"/>
      <c r="CCW51"/>
      <c r="CCX51"/>
      <c r="CCY51"/>
      <c r="CCZ51"/>
      <c r="CDA51"/>
      <c r="CDB51"/>
      <c r="CDC51"/>
      <c r="CDD51"/>
      <c r="CDE51"/>
      <c r="CDF51"/>
      <c r="CDG51"/>
      <c r="CDH51"/>
      <c r="CDI51"/>
      <c r="CDJ51"/>
      <c r="CDK51"/>
      <c r="CDL51"/>
      <c r="CDM51"/>
      <c r="CDN51"/>
      <c r="CDO51"/>
      <c r="CDP51"/>
      <c r="CDQ51"/>
      <c r="CDR51"/>
      <c r="CDS51"/>
      <c r="CDT51"/>
      <c r="CDU51"/>
      <c r="CDV51"/>
      <c r="CDW51"/>
      <c r="CDX51"/>
      <c r="CDY51"/>
      <c r="CDZ51"/>
      <c r="CEA51"/>
      <c r="CEB51"/>
      <c r="CEC51"/>
      <c r="CED51"/>
      <c r="CEE51"/>
      <c r="CEF51"/>
      <c r="CEG51"/>
      <c r="CEH51"/>
      <c r="CEI51"/>
      <c r="CEJ51"/>
      <c r="CEK51"/>
      <c r="CEL51"/>
      <c r="CEM51"/>
      <c r="CEN51"/>
      <c r="CEO51"/>
      <c r="CEP51"/>
      <c r="CEQ51"/>
      <c r="CER51"/>
      <c r="CES51"/>
      <c r="CET51"/>
      <c r="CEU51"/>
      <c r="CEV51"/>
      <c r="CEW51"/>
      <c r="CEX51"/>
      <c r="CEY51"/>
      <c r="CEZ51"/>
      <c r="CFA51"/>
      <c r="CFB51"/>
      <c r="CFC51"/>
      <c r="CFD51"/>
      <c r="CFE51"/>
      <c r="CFF51"/>
      <c r="CFG51"/>
      <c r="CFH51"/>
      <c r="CFI51"/>
      <c r="CFJ51"/>
      <c r="CFK51"/>
      <c r="CFL51"/>
      <c r="CFM51"/>
      <c r="CFN51"/>
      <c r="CFO51"/>
      <c r="CFP51"/>
      <c r="CFQ51"/>
      <c r="CFR51"/>
      <c r="CFS51"/>
      <c r="CFT51"/>
      <c r="CFU51"/>
      <c r="CFV51"/>
      <c r="CFW51"/>
      <c r="CFX51"/>
      <c r="CFY51"/>
      <c r="CFZ51"/>
      <c r="CGA51"/>
      <c r="CGB51"/>
      <c r="CGC51"/>
      <c r="CGD51"/>
      <c r="CGE51"/>
      <c r="CGF51"/>
      <c r="CGG51"/>
      <c r="CGH51"/>
      <c r="CGI51"/>
      <c r="CGJ51"/>
      <c r="CGK51"/>
      <c r="CGL51"/>
      <c r="CGM51"/>
      <c r="CGN51"/>
      <c r="CGO51"/>
      <c r="CGP51"/>
      <c r="CGQ51"/>
      <c r="CGR51"/>
      <c r="CGS51"/>
      <c r="CGT51"/>
      <c r="CGU51"/>
      <c r="CGV51"/>
      <c r="CGW51"/>
      <c r="CGX51"/>
      <c r="CGY51"/>
      <c r="CGZ51"/>
      <c r="CHA51"/>
      <c r="CHB51"/>
      <c r="CHC51"/>
      <c r="CHD51"/>
      <c r="CHE51"/>
      <c r="CHF51"/>
      <c r="CHG51"/>
      <c r="CHH51"/>
      <c r="CHI51"/>
      <c r="CHJ51"/>
      <c r="CHK51"/>
      <c r="CHL51"/>
      <c r="CHM51"/>
      <c r="CHN51"/>
      <c r="CHO51"/>
      <c r="CHP51"/>
      <c r="CHQ51"/>
      <c r="CHR51"/>
      <c r="CHS51"/>
      <c r="CHT51"/>
      <c r="CHU51"/>
      <c r="CHV51"/>
      <c r="CHW51"/>
      <c r="CHX51"/>
      <c r="CHY51"/>
      <c r="CHZ51"/>
      <c r="CIA51"/>
      <c r="CIB51"/>
      <c r="CIC51"/>
      <c r="CID51"/>
      <c r="CIE51"/>
      <c r="CIF51"/>
      <c r="CIG51"/>
      <c r="CIH51"/>
      <c r="CII51"/>
      <c r="CIJ51"/>
      <c r="CIK51"/>
      <c r="CIL51"/>
      <c r="CIM51"/>
      <c r="CIN51"/>
      <c r="CIO51"/>
      <c r="CIP51"/>
      <c r="CIQ51"/>
      <c r="CIR51"/>
      <c r="CIS51"/>
      <c r="CIT51"/>
      <c r="CIU51"/>
      <c r="CIV51"/>
      <c r="CIW51"/>
      <c r="CIX51"/>
      <c r="CIY51"/>
      <c r="CIZ51"/>
      <c r="CJA51"/>
      <c r="CJB51"/>
      <c r="CJC51"/>
      <c r="CJD51"/>
      <c r="CJE51"/>
      <c r="CJF51"/>
      <c r="CJG51"/>
      <c r="CJH51"/>
      <c r="CJI51"/>
      <c r="CJJ51"/>
      <c r="CJK51"/>
      <c r="CJL51"/>
      <c r="CJM51"/>
      <c r="CJN51"/>
      <c r="CJO51"/>
      <c r="CJP51"/>
      <c r="CJQ51"/>
      <c r="CJR51"/>
      <c r="CJS51"/>
      <c r="CJT51"/>
      <c r="CJU51"/>
      <c r="CJV51"/>
      <c r="CJW51"/>
      <c r="CJX51"/>
      <c r="CJY51"/>
      <c r="CJZ51"/>
      <c r="CKA51"/>
      <c r="CKB51"/>
      <c r="CKC51"/>
      <c r="CKD51"/>
      <c r="CKE51"/>
      <c r="CKF51"/>
      <c r="CKG51"/>
      <c r="CKH51"/>
      <c r="CKI51"/>
      <c r="CKJ51"/>
      <c r="CKK51"/>
      <c r="CKL51"/>
      <c r="CKM51"/>
      <c r="CKN51"/>
      <c r="CKO51"/>
      <c r="CKP51"/>
      <c r="CKQ51"/>
      <c r="CKR51"/>
      <c r="CKS51"/>
      <c r="CKT51"/>
      <c r="CKU51"/>
      <c r="CKV51"/>
      <c r="CKW51"/>
      <c r="CKX51"/>
      <c r="CKY51"/>
      <c r="CKZ51"/>
      <c r="CLA51"/>
      <c r="CLB51"/>
      <c r="CLC51"/>
      <c r="CLD51"/>
      <c r="CLE51"/>
      <c r="CLF51"/>
      <c r="CLG51"/>
      <c r="CLH51"/>
      <c r="CLI51"/>
      <c r="CLJ51"/>
      <c r="CLK51"/>
      <c r="CLL51"/>
      <c r="CLM51"/>
      <c r="CLN51"/>
      <c r="CLO51"/>
      <c r="CLP51"/>
      <c r="CLQ51"/>
      <c r="CLR51"/>
      <c r="CLS51"/>
      <c r="CLT51"/>
      <c r="CLU51"/>
      <c r="CLV51"/>
      <c r="CLW51"/>
      <c r="CLX51"/>
      <c r="CLY51"/>
      <c r="CLZ51"/>
      <c r="CMA51"/>
      <c r="CMB51"/>
      <c r="CMC51"/>
      <c r="CMD51"/>
      <c r="CME51"/>
      <c r="CMF51"/>
      <c r="CMG51"/>
      <c r="CMH51"/>
      <c r="CMI51"/>
      <c r="CMJ51"/>
      <c r="CMK51"/>
      <c r="CML51"/>
      <c r="CMM51"/>
      <c r="CMN51"/>
      <c r="CMO51"/>
      <c r="CMP51"/>
      <c r="CMQ51"/>
      <c r="CMR51"/>
      <c r="CMS51"/>
      <c r="CMT51"/>
      <c r="CMU51"/>
      <c r="CMV51"/>
      <c r="CMW51"/>
      <c r="CMX51"/>
      <c r="CMY51"/>
      <c r="CMZ51"/>
      <c r="CNA51"/>
      <c r="CNB51"/>
      <c r="CNC51"/>
      <c r="CND51"/>
      <c r="CNE51"/>
      <c r="CNF51"/>
      <c r="CNG51"/>
      <c r="CNH51"/>
      <c r="CNI51"/>
      <c r="CNJ51"/>
      <c r="CNK51"/>
      <c r="CNL51"/>
      <c r="CNM51"/>
      <c r="CNN51"/>
      <c r="CNO51"/>
      <c r="CNP51"/>
      <c r="CNQ51"/>
      <c r="CNR51"/>
      <c r="CNS51"/>
      <c r="CNT51"/>
      <c r="CNU51"/>
      <c r="CNV51"/>
      <c r="CNW51"/>
      <c r="CNX51"/>
      <c r="CNY51"/>
      <c r="CNZ51"/>
      <c r="COA51"/>
      <c r="COB51"/>
      <c r="COC51"/>
      <c r="COD51"/>
      <c r="COE51"/>
      <c r="COF51"/>
      <c r="COG51"/>
      <c r="COH51"/>
      <c r="COI51"/>
      <c r="COJ51"/>
      <c r="COK51"/>
      <c r="COL51"/>
      <c r="COM51"/>
      <c r="CON51"/>
      <c r="COO51"/>
      <c r="COP51"/>
      <c r="COQ51"/>
      <c r="COR51"/>
      <c r="COS51"/>
      <c r="COT51"/>
      <c r="COU51"/>
      <c r="COV51"/>
      <c r="COW51"/>
      <c r="COX51"/>
      <c r="COY51"/>
      <c r="COZ51"/>
      <c r="CPA51"/>
      <c r="CPB51"/>
      <c r="CPC51"/>
      <c r="CPD51"/>
      <c r="CPE51"/>
      <c r="CPF51"/>
      <c r="CPG51"/>
      <c r="CPH51"/>
      <c r="CPI51"/>
      <c r="CPJ51"/>
      <c r="CPK51"/>
      <c r="CPL51"/>
      <c r="CPM51"/>
      <c r="CPN51"/>
      <c r="CPO51"/>
      <c r="CPP51"/>
      <c r="CPQ51"/>
      <c r="CPR51"/>
      <c r="CPS51"/>
      <c r="CPT51"/>
      <c r="CPU51"/>
      <c r="CPV51"/>
      <c r="CPW51"/>
      <c r="CPX51"/>
      <c r="CPY51"/>
      <c r="CPZ51"/>
      <c r="CQA51"/>
      <c r="CQB51"/>
      <c r="CQC51"/>
      <c r="CQD51"/>
      <c r="CQE51"/>
      <c r="CQF51"/>
      <c r="CQG51"/>
      <c r="CQH51"/>
      <c r="CQI51"/>
      <c r="CQJ51"/>
      <c r="CQK51"/>
      <c r="CQL51"/>
      <c r="CQM51"/>
      <c r="CQN51"/>
      <c r="CQO51"/>
      <c r="CQP51"/>
      <c r="CQQ51"/>
      <c r="CQR51"/>
      <c r="CQS51"/>
      <c r="CQT51"/>
      <c r="CQU51"/>
      <c r="CQV51"/>
      <c r="CQW51"/>
      <c r="CQX51"/>
      <c r="CQY51"/>
      <c r="CQZ51"/>
      <c r="CRA51"/>
      <c r="CRB51"/>
      <c r="CRC51"/>
      <c r="CRD51"/>
      <c r="CRE51"/>
      <c r="CRF51"/>
      <c r="CRG51"/>
      <c r="CRH51"/>
      <c r="CRI51"/>
      <c r="CRJ51"/>
      <c r="CRK51"/>
      <c r="CRL51"/>
      <c r="CRM51"/>
      <c r="CRN51"/>
      <c r="CRO51"/>
      <c r="CRP51"/>
      <c r="CRQ51"/>
      <c r="CRR51"/>
      <c r="CRS51"/>
      <c r="CRT51"/>
      <c r="CRU51"/>
      <c r="CRV51"/>
      <c r="CRW51"/>
      <c r="CRX51"/>
      <c r="CRY51"/>
      <c r="CRZ51"/>
      <c r="CSA51"/>
      <c r="CSB51"/>
      <c r="CSC51"/>
      <c r="CSD51"/>
      <c r="CSE51"/>
      <c r="CSF51"/>
      <c r="CSG51"/>
      <c r="CSH51"/>
      <c r="CSI51"/>
      <c r="CSJ51"/>
      <c r="CSK51"/>
      <c r="CSL51"/>
      <c r="CSM51"/>
      <c r="CSN51"/>
      <c r="CSO51"/>
      <c r="CSP51"/>
      <c r="CSQ51"/>
      <c r="CSR51"/>
      <c r="CSS51"/>
      <c r="CST51"/>
      <c r="CSU51"/>
      <c r="CSV51"/>
      <c r="CSW51"/>
      <c r="CSX51"/>
      <c r="CSY51"/>
      <c r="CSZ51"/>
      <c r="CTA51"/>
      <c r="CTB51"/>
      <c r="CTC51"/>
      <c r="CTD51"/>
      <c r="CTE51"/>
      <c r="CTF51"/>
      <c r="CTG51"/>
      <c r="CTH51"/>
      <c r="CTI51"/>
      <c r="CTJ51"/>
      <c r="CTK51"/>
      <c r="CTL51"/>
      <c r="CTM51"/>
      <c r="CTN51"/>
      <c r="CTO51"/>
      <c r="CTP51"/>
      <c r="CTQ51"/>
      <c r="CTR51"/>
      <c r="CTS51"/>
      <c r="CTT51"/>
      <c r="CTU51"/>
      <c r="CTV51"/>
      <c r="CTW51"/>
      <c r="CTX51"/>
      <c r="CTY51"/>
      <c r="CTZ51"/>
      <c r="CUA51"/>
      <c r="CUB51"/>
      <c r="CUC51"/>
      <c r="CUD51"/>
      <c r="CUE51"/>
      <c r="CUF51"/>
      <c r="CUG51"/>
      <c r="CUH51"/>
      <c r="CUI51"/>
      <c r="CUJ51"/>
      <c r="CUK51"/>
      <c r="CUL51"/>
      <c r="CUM51"/>
      <c r="CUN51"/>
      <c r="CUO51"/>
      <c r="CUP51"/>
      <c r="CUQ51"/>
      <c r="CUR51"/>
      <c r="CUS51"/>
      <c r="CUT51"/>
      <c r="CUU51"/>
      <c r="CUV51"/>
      <c r="CUW51"/>
      <c r="CUX51"/>
      <c r="CUY51"/>
      <c r="CUZ51"/>
      <c r="CVA51"/>
      <c r="CVB51"/>
      <c r="CVC51"/>
      <c r="CVD51"/>
      <c r="CVE51"/>
      <c r="CVF51"/>
      <c r="CVG51"/>
      <c r="CVH51"/>
      <c r="CVI51"/>
      <c r="CVJ51"/>
      <c r="CVK51"/>
      <c r="CVL51"/>
      <c r="CVM51"/>
      <c r="CVN51"/>
      <c r="CVO51"/>
      <c r="CVP51"/>
      <c r="CVQ51"/>
      <c r="CVR51"/>
      <c r="CVS51"/>
      <c r="CVT51"/>
      <c r="CVU51"/>
      <c r="CVV51"/>
      <c r="CVW51"/>
      <c r="CVX51"/>
      <c r="CVY51"/>
      <c r="CVZ51"/>
      <c r="CWA51"/>
      <c r="CWB51"/>
      <c r="CWC51"/>
      <c r="CWD51"/>
      <c r="CWE51"/>
      <c r="CWF51"/>
      <c r="CWG51"/>
      <c r="CWH51"/>
      <c r="CWI51"/>
      <c r="CWJ51"/>
      <c r="CWK51"/>
      <c r="CWL51"/>
      <c r="CWM51"/>
      <c r="CWN51"/>
      <c r="CWO51"/>
      <c r="CWP51"/>
      <c r="CWQ51"/>
      <c r="CWR51"/>
      <c r="CWS51"/>
      <c r="CWT51"/>
      <c r="CWU51"/>
      <c r="CWV51"/>
      <c r="CWW51"/>
      <c r="CWX51"/>
      <c r="CWY51"/>
      <c r="CWZ51"/>
      <c r="CXA51"/>
      <c r="CXB51"/>
      <c r="CXC51"/>
      <c r="CXD51"/>
      <c r="CXE51"/>
      <c r="CXF51"/>
      <c r="CXG51"/>
      <c r="CXH51"/>
      <c r="CXI51"/>
      <c r="CXJ51"/>
      <c r="CXK51"/>
      <c r="CXL51"/>
      <c r="CXM51"/>
      <c r="CXN51"/>
      <c r="CXO51"/>
      <c r="CXP51"/>
      <c r="CXQ51"/>
      <c r="CXR51"/>
      <c r="CXS51"/>
      <c r="CXT51"/>
      <c r="CXU51"/>
      <c r="CXV51"/>
      <c r="CXW51"/>
      <c r="CXX51"/>
      <c r="CXY51"/>
      <c r="CXZ51"/>
      <c r="CYA51"/>
      <c r="CYB51"/>
      <c r="CYC51"/>
      <c r="CYD51"/>
      <c r="CYE51"/>
      <c r="CYF51"/>
      <c r="CYG51"/>
      <c r="CYH51"/>
      <c r="CYI51"/>
      <c r="CYJ51"/>
      <c r="CYK51"/>
      <c r="CYL51"/>
      <c r="CYM51"/>
      <c r="CYN51"/>
      <c r="CYO51"/>
      <c r="CYP51"/>
      <c r="CYQ51"/>
      <c r="CYR51"/>
      <c r="CYS51"/>
      <c r="CYT51"/>
      <c r="CYU51"/>
      <c r="CYV51"/>
      <c r="CYW51"/>
      <c r="CYX51"/>
      <c r="CYY51"/>
      <c r="CYZ51"/>
      <c r="CZA51"/>
      <c r="CZB51"/>
      <c r="CZC51"/>
      <c r="CZD51"/>
      <c r="CZE51"/>
      <c r="CZF51"/>
      <c r="CZG51"/>
      <c r="CZH51"/>
      <c r="CZI51"/>
      <c r="CZJ51"/>
      <c r="CZK51"/>
      <c r="CZL51"/>
      <c r="CZM51"/>
      <c r="CZN51"/>
      <c r="CZO51"/>
      <c r="CZP51"/>
      <c r="CZQ51"/>
      <c r="CZR51"/>
      <c r="CZS51"/>
      <c r="CZT51"/>
      <c r="CZU51"/>
      <c r="CZV51"/>
      <c r="CZW51"/>
      <c r="CZX51"/>
      <c r="CZY51"/>
      <c r="CZZ51"/>
      <c r="DAA51"/>
      <c r="DAB51"/>
      <c r="DAC51"/>
      <c r="DAD51"/>
      <c r="DAE51"/>
      <c r="DAF51"/>
      <c r="DAG51"/>
      <c r="DAH51"/>
      <c r="DAI51"/>
      <c r="DAJ51"/>
      <c r="DAK51"/>
      <c r="DAL51"/>
      <c r="DAM51"/>
      <c r="DAN51"/>
      <c r="DAO51"/>
      <c r="DAP51"/>
      <c r="DAQ51"/>
      <c r="DAR51"/>
      <c r="DAS51"/>
      <c r="DAT51"/>
      <c r="DAU51"/>
      <c r="DAV51"/>
      <c r="DAW51"/>
      <c r="DAX51"/>
      <c r="DAY51"/>
      <c r="DAZ51"/>
      <c r="DBA51"/>
      <c r="DBB51"/>
      <c r="DBC51"/>
      <c r="DBD51"/>
      <c r="DBE51"/>
      <c r="DBF51"/>
      <c r="DBG51"/>
      <c r="DBH51"/>
      <c r="DBI51"/>
      <c r="DBJ51"/>
      <c r="DBK51"/>
      <c r="DBL51"/>
      <c r="DBM51"/>
      <c r="DBN51"/>
      <c r="DBO51"/>
      <c r="DBP51"/>
      <c r="DBQ51"/>
      <c r="DBR51"/>
      <c r="DBS51"/>
      <c r="DBT51"/>
      <c r="DBU51"/>
      <c r="DBV51"/>
      <c r="DBW51"/>
      <c r="DBX51"/>
      <c r="DBY51"/>
      <c r="DBZ51"/>
      <c r="DCA51"/>
      <c r="DCB51"/>
      <c r="DCC51"/>
      <c r="DCD51"/>
      <c r="DCE51"/>
      <c r="DCF51"/>
      <c r="DCG51"/>
      <c r="DCH51"/>
      <c r="DCI51"/>
      <c r="DCJ51"/>
      <c r="DCK51"/>
      <c r="DCL51"/>
      <c r="DCM51"/>
      <c r="DCN51"/>
      <c r="DCO51"/>
      <c r="DCP51"/>
      <c r="DCQ51"/>
      <c r="DCR51"/>
      <c r="DCS51"/>
      <c r="DCT51"/>
      <c r="DCU51"/>
      <c r="DCV51"/>
      <c r="DCW51"/>
      <c r="DCX51"/>
      <c r="DCY51"/>
      <c r="DCZ51"/>
      <c r="DDA51"/>
      <c r="DDB51"/>
      <c r="DDC51"/>
      <c r="DDD51"/>
      <c r="DDE51"/>
      <c r="DDF51"/>
      <c r="DDG51"/>
      <c r="DDH51"/>
      <c r="DDI51"/>
      <c r="DDJ51"/>
      <c r="DDK51"/>
      <c r="DDL51"/>
      <c r="DDM51"/>
      <c r="DDN51"/>
      <c r="DDO51"/>
      <c r="DDP51"/>
      <c r="DDQ51"/>
      <c r="DDR51"/>
      <c r="DDS51"/>
      <c r="DDT51"/>
      <c r="DDU51"/>
      <c r="DDV51"/>
      <c r="DDW51"/>
      <c r="DDX51"/>
      <c r="DDY51"/>
      <c r="DDZ51"/>
      <c r="DEA51"/>
      <c r="DEB51"/>
      <c r="DEC51"/>
      <c r="DED51"/>
      <c r="DEE51"/>
      <c r="DEF51"/>
      <c r="DEG51"/>
      <c r="DEH51"/>
      <c r="DEI51"/>
      <c r="DEJ51"/>
      <c r="DEK51"/>
      <c r="DEL51"/>
      <c r="DEM51"/>
      <c r="DEN51"/>
      <c r="DEO51"/>
      <c r="DEP51"/>
      <c r="DEQ51"/>
      <c r="DER51"/>
      <c r="DES51"/>
      <c r="DET51"/>
      <c r="DEU51"/>
      <c r="DEV51"/>
      <c r="DEW51"/>
      <c r="DEX51"/>
      <c r="DEY51"/>
      <c r="DEZ51"/>
      <c r="DFA51"/>
      <c r="DFB51"/>
      <c r="DFC51"/>
      <c r="DFD51"/>
      <c r="DFE51"/>
      <c r="DFF51"/>
      <c r="DFG51"/>
      <c r="DFH51"/>
      <c r="DFI51"/>
      <c r="DFJ51"/>
      <c r="DFK51"/>
      <c r="DFL51"/>
      <c r="DFM51"/>
      <c r="DFN51"/>
      <c r="DFO51"/>
      <c r="DFP51"/>
      <c r="DFQ51"/>
      <c r="DFR51"/>
      <c r="DFS51"/>
      <c r="DFT51"/>
      <c r="DFU51"/>
      <c r="DFV51"/>
      <c r="DFW51"/>
      <c r="DFX51"/>
      <c r="DFY51"/>
      <c r="DFZ51"/>
      <c r="DGA51"/>
      <c r="DGB51"/>
      <c r="DGC51"/>
      <c r="DGD51"/>
      <c r="DGE51"/>
      <c r="DGF51"/>
      <c r="DGG51"/>
      <c r="DGH51"/>
      <c r="DGI51"/>
      <c r="DGJ51"/>
      <c r="DGK51"/>
      <c r="DGL51"/>
      <c r="DGM51"/>
      <c r="DGN51"/>
      <c r="DGO51"/>
      <c r="DGP51"/>
      <c r="DGQ51"/>
      <c r="DGR51"/>
      <c r="DGS51"/>
      <c r="DGT51"/>
      <c r="DGU51"/>
      <c r="DGV51"/>
      <c r="DGW51"/>
      <c r="DGX51"/>
      <c r="DGY51"/>
      <c r="DGZ51"/>
      <c r="DHA51"/>
      <c r="DHB51"/>
      <c r="DHC51"/>
      <c r="DHD51"/>
      <c r="DHE51"/>
      <c r="DHF51"/>
      <c r="DHG51"/>
      <c r="DHH51"/>
      <c r="DHI51"/>
      <c r="DHJ51"/>
      <c r="DHK51"/>
      <c r="DHL51"/>
      <c r="DHM51"/>
      <c r="DHN51"/>
      <c r="DHO51"/>
      <c r="DHP51"/>
      <c r="DHQ51"/>
      <c r="DHR51"/>
      <c r="DHS51"/>
      <c r="DHT51"/>
      <c r="DHU51"/>
      <c r="DHV51"/>
      <c r="DHW51"/>
      <c r="DHX51"/>
      <c r="DHY51"/>
      <c r="DHZ51"/>
      <c r="DIA51"/>
      <c r="DIB51"/>
      <c r="DIC51"/>
      <c r="DID51"/>
      <c r="DIE51"/>
      <c r="DIF51"/>
      <c r="DIG51"/>
      <c r="DIH51"/>
      <c r="DII51"/>
      <c r="DIJ51"/>
      <c r="DIK51"/>
      <c r="DIL51"/>
      <c r="DIM51"/>
      <c r="DIN51"/>
      <c r="DIO51"/>
      <c r="DIP51"/>
      <c r="DIQ51"/>
      <c r="DIR51"/>
      <c r="DIS51"/>
      <c r="DIT51"/>
      <c r="DIU51"/>
      <c r="DIV51"/>
      <c r="DIW51"/>
      <c r="DIX51"/>
      <c r="DIY51"/>
      <c r="DIZ51"/>
      <c r="DJA51"/>
      <c r="DJB51"/>
      <c r="DJC51"/>
      <c r="DJD51"/>
      <c r="DJE51"/>
      <c r="DJF51"/>
      <c r="DJG51"/>
      <c r="DJH51"/>
      <c r="DJI51"/>
      <c r="DJJ51"/>
      <c r="DJK51"/>
      <c r="DJL51"/>
      <c r="DJM51"/>
      <c r="DJN51"/>
      <c r="DJO51"/>
      <c r="DJP51"/>
      <c r="DJQ51"/>
      <c r="DJR51"/>
      <c r="DJS51"/>
      <c r="DJT51"/>
      <c r="DJU51"/>
      <c r="DJV51"/>
      <c r="DJW51"/>
      <c r="DJX51"/>
      <c r="DJY51"/>
      <c r="DJZ51"/>
      <c r="DKA51"/>
      <c r="DKB51"/>
      <c r="DKC51"/>
      <c r="DKD51"/>
      <c r="DKE51"/>
      <c r="DKF51"/>
      <c r="DKG51"/>
      <c r="DKH51"/>
      <c r="DKI51"/>
      <c r="DKJ51"/>
      <c r="DKK51"/>
      <c r="DKL51"/>
      <c r="DKM51"/>
      <c r="DKN51"/>
      <c r="DKO51"/>
      <c r="DKP51"/>
      <c r="DKQ51"/>
      <c r="DKR51"/>
      <c r="DKS51"/>
      <c r="DKT51"/>
      <c r="DKU51"/>
      <c r="DKV51"/>
      <c r="DKW51"/>
      <c r="DKX51"/>
      <c r="DKY51"/>
      <c r="DKZ51"/>
      <c r="DLA51"/>
      <c r="DLB51"/>
      <c r="DLC51"/>
      <c r="DLD51"/>
      <c r="DLE51"/>
      <c r="DLF51"/>
      <c r="DLG51"/>
      <c r="DLH51"/>
      <c r="DLI51"/>
      <c r="DLJ51"/>
      <c r="DLK51"/>
      <c r="DLL51"/>
      <c r="DLM51"/>
      <c r="DLN51"/>
      <c r="DLO51"/>
      <c r="DLP51"/>
      <c r="DLQ51"/>
      <c r="DLR51"/>
      <c r="DLS51"/>
      <c r="DLT51"/>
      <c r="DLU51"/>
      <c r="DLV51"/>
      <c r="DLW51"/>
      <c r="DLX51"/>
      <c r="DLY51"/>
      <c r="DLZ51"/>
      <c r="DMA51"/>
      <c r="DMB51"/>
      <c r="DMC51"/>
      <c r="DMD51"/>
      <c r="DME51"/>
      <c r="DMF51"/>
      <c r="DMG51"/>
      <c r="DMH51"/>
      <c r="DMI51"/>
      <c r="DMJ51"/>
      <c r="DMK51"/>
      <c r="DML51"/>
      <c r="DMM51"/>
      <c r="DMN51"/>
      <c r="DMO51"/>
      <c r="DMP51"/>
      <c r="DMQ51"/>
      <c r="DMR51"/>
      <c r="DMS51"/>
      <c r="DMT51"/>
      <c r="DMU51"/>
      <c r="DMV51"/>
      <c r="DMW51"/>
      <c r="DMX51"/>
      <c r="DMY51"/>
      <c r="DMZ51"/>
      <c r="DNA51"/>
      <c r="DNB51"/>
      <c r="DNC51"/>
      <c r="DND51"/>
      <c r="DNE51"/>
      <c r="DNF51"/>
      <c r="DNG51"/>
      <c r="DNH51"/>
      <c r="DNI51"/>
      <c r="DNJ51"/>
      <c r="DNK51"/>
      <c r="DNL51"/>
      <c r="DNM51"/>
      <c r="DNN51"/>
      <c r="DNO51"/>
      <c r="DNP51"/>
      <c r="DNQ51"/>
      <c r="DNR51"/>
      <c r="DNS51"/>
      <c r="DNT51"/>
      <c r="DNU51"/>
      <c r="DNV51"/>
      <c r="DNW51"/>
      <c r="DNX51"/>
      <c r="DNY51"/>
      <c r="DNZ51"/>
      <c r="DOA51"/>
      <c r="DOB51"/>
      <c r="DOC51"/>
      <c r="DOD51"/>
      <c r="DOE51"/>
      <c r="DOF51"/>
      <c r="DOG51"/>
      <c r="DOH51"/>
      <c r="DOI51"/>
      <c r="DOJ51"/>
      <c r="DOK51"/>
      <c r="DOL51"/>
      <c r="DOM51"/>
      <c r="DON51"/>
      <c r="DOO51"/>
      <c r="DOP51"/>
      <c r="DOQ51"/>
      <c r="DOR51"/>
      <c r="DOS51"/>
      <c r="DOT51"/>
      <c r="DOU51"/>
      <c r="DOV51"/>
      <c r="DOW51"/>
      <c r="DOX51"/>
      <c r="DOY51"/>
      <c r="DOZ51"/>
      <c r="DPA51"/>
      <c r="DPB51"/>
      <c r="DPC51"/>
      <c r="DPD51"/>
      <c r="DPE51"/>
      <c r="DPF51"/>
      <c r="DPG51"/>
      <c r="DPH51"/>
      <c r="DPI51"/>
      <c r="DPJ51"/>
      <c r="DPK51"/>
      <c r="DPL51"/>
      <c r="DPM51"/>
      <c r="DPN51"/>
      <c r="DPO51"/>
      <c r="DPP51"/>
      <c r="DPQ51"/>
      <c r="DPR51"/>
      <c r="DPS51"/>
      <c r="DPT51"/>
      <c r="DPU51"/>
      <c r="DPV51"/>
      <c r="DPW51"/>
      <c r="DPX51"/>
      <c r="DPY51"/>
      <c r="DPZ51"/>
      <c r="DQA51"/>
      <c r="DQB51"/>
      <c r="DQC51"/>
      <c r="DQD51"/>
      <c r="DQE51"/>
      <c r="DQF51"/>
      <c r="DQG51"/>
      <c r="DQH51"/>
      <c r="DQI51"/>
      <c r="DQJ51"/>
      <c r="DQK51"/>
      <c r="DQL51"/>
      <c r="DQM51"/>
      <c r="DQN51"/>
      <c r="DQO51"/>
      <c r="DQP51"/>
      <c r="DQQ51"/>
      <c r="DQR51"/>
      <c r="DQS51"/>
      <c r="DQT51"/>
      <c r="DQU51"/>
      <c r="DQV51"/>
      <c r="DQW51"/>
      <c r="DQX51"/>
      <c r="DQY51"/>
      <c r="DQZ51"/>
      <c r="DRA51"/>
      <c r="DRB51"/>
      <c r="DRC51"/>
      <c r="DRD51"/>
      <c r="DRE51"/>
      <c r="DRF51"/>
      <c r="DRG51"/>
      <c r="DRH51"/>
      <c r="DRI51"/>
      <c r="DRJ51"/>
      <c r="DRK51"/>
      <c r="DRL51"/>
      <c r="DRM51"/>
      <c r="DRN51"/>
      <c r="DRO51"/>
      <c r="DRP51"/>
      <c r="DRQ51"/>
      <c r="DRR51"/>
      <c r="DRS51"/>
      <c r="DRT51"/>
      <c r="DRU51"/>
      <c r="DRV51"/>
      <c r="DRW51"/>
      <c r="DRX51"/>
      <c r="DRY51"/>
      <c r="DRZ51"/>
      <c r="DSA51"/>
      <c r="DSB51"/>
      <c r="DSC51"/>
      <c r="DSD51"/>
      <c r="DSE51"/>
      <c r="DSF51"/>
      <c r="DSG51"/>
      <c r="DSH51"/>
      <c r="DSI51"/>
      <c r="DSJ51"/>
      <c r="DSK51"/>
      <c r="DSL51"/>
      <c r="DSM51"/>
      <c r="DSN51"/>
      <c r="DSO51"/>
      <c r="DSP51"/>
      <c r="DSQ51"/>
      <c r="DSR51"/>
      <c r="DSS51"/>
      <c r="DST51"/>
      <c r="DSU51"/>
      <c r="DSV51"/>
      <c r="DSW51"/>
      <c r="DSX51"/>
      <c r="DSY51"/>
      <c r="DSZ51"/>
      <c r="DTA51"/>
      <c r="DTB51"/>
      <c r="DTC51"/>
      <c r="DTD51"/>
      <c r="DTE51"/>
      <c r="DTF51"/>
      <c r="DTG51"/>
      <c r="DTH51"/>
      <c r="DTI51"/>
      <c r="DTJ51"/>
      <c r="DTK51"/>
      <c r="DTL51"/>
      <c r="DTM51"/>
      <c r="DTN51"/>
      <c r="DTO51"/>
      <c r="DTP51"/>
      <c r="DTQ51"/>
      <c r="DTR51"/>
      <c r="DTS51"/>
      <c r="DTT51"/>
      <c r="DTU51"/>
      <c r="DTV51"/>
      <c r="DTW51"/>
      <c r="DTX51"/>
      <c r="DTY51"/>
      <c r="DTZ51"/>
      <c r="DUA51"/>
      <c r="DUB51"/>
      <c r="DUC51"/>
      <c r="DUD51"/>
      <c r="DUE51"/>
      <c r="DUF51"/>
      <c r="DUG51"/>
      <c r="DUH51"/>
      <c r="DUI51"/>
      <c r="DUJ51"/>
      <c r="DUK51"/>
      <c r="DUL51"/>
      <c r="DUM51"/>
      <c r="DUN51"/>
      <c r="DUO51"/>
      <c r="DUP51"/>
      <c r="DUQ51"/>
      <c r="DUR51"/>
      <c r="DUS51"/>
      <c r="DUT51"/>
      <c r="DUU51"/>
      <c r="DUV51"/>
      <c r="DUW51"/>
      <c r="DUX51"/>
      <c r="DUY51"/>
      <c r="DUZ51"/>
      <c r="DVA51"/>
      <c r="DVB51"/>
      <c r="DVC51"/>
      <c r="DVD51"/>
      <c r="DVE51"/>
      <c r="DVF51"/>
      <c r="DVG51"/>
      <c r="DVH51"/>
      <c r="DVI51"/>
      <c r="DVJ51"/>
      <c r="DVK51"/>
      <c r="DVL51"/>
      <c r="DVM51"/>
      <c r="DVN51"/>
      <c r="DVO51"/>
      <c r="DVP51"/>
      <c r="DVQ51"/>
      <c r="DVR51"/>
      <c r="DVS51"/>
      <c r="DVT51"/>
      <c r="DVU51"/>
      <c r="DVV51"/>
      <c r="DVW51"/>
      <c r="DVX51"/>
      <c r="DVY51"/>
      <c r="DVZ51"/>
      <c r="DWA51"/>
      <c r="DWB51"/>
      <c r="DWC51"/>
      <c r="DWD51"/>
      <c r="DWE51"/>
      <c r="DWF51"/>
      <c r="DWG51"/>
      <c r="DWH51"/>
      <c r="DWI51"/>
      <c r="DWJ51"/>
      <c r="DWK51"/>
      <c r="DWL51"/>
      <c r="DWM51"/>
      <c r="DWN51"/>
      <c r="DWO51"/>
      <c r="DWP51"/>
      <c r="DWQ51"/>
      <c r="DWR51"/>
      <c r="DWS51"/>
      <c r="DWT51"/>
      <c r="DWU51"/>
      <c r="DWV51"/>
      <c r="DWW51"/>
      <c r="DWX51"/>
      <c r="DWY51"/>
      <c r="DWZ51"/>
      <c r="DXA51"/>
      <c r="DXB51"/>
      <c r="DXC51"/>
      <c r="DXD51"/>
      <c r="DXE51"/>
      <c r="DXF51"/>
      <c r="DXG51"/>
      <c r="DXH51"/>
      <c r="DXI51"/>
      <c r="DXJ51"/>
      <c r="DXK51"/>
      <c r="DXL51"/>
      <c r="DXM51"/>
      <c r="DXN51"/>
      <c r="DXO51"/>
      <c r="DXP51"/>
      <c r="DXQ51"/>
      <c r="DXR51"/>
      <c r="DXS51"/>
      <c r="DXT51"/>
      <c r="DXU51"/>
      <c r="DXV51"/>
      <c r="DXW51"/>
      <c r="DXX51"/>
      <c r="DXY51"/>
      <c r="DXZ51"/>
      <c r="DYA51"/>
      <c r="DYB51"/>
      <c r="DYC51"/>
      <c r="DYD51"/>
      <c r="DYE51"/>
      <c r="DYF51"/>
      <c r="DYG51"/>
      <c r="DYH51"/>
      <c r="DYI51"/>
      <c r="DYJ51"/>
      <c r="DYK51"/>
      <c r="DYL51"/>
      <c r="DYM51"/>
      <c r="DYN51"/>
      <c r="DYO51"/>
      <c r="DYP51"/>
      <c r="DYQ51"/>
      <c r="DYR51"/>
      <c r="DYS51"/>
      <c r="DYT51"/>
      <c r="DYU51"/>
      <c r="DYV51"/>
      <c r="DYW51"/>
      <c r="DYX51"/>
      <c r="DYY51"/>
      <c r="DYZ51"/>
      <c r="DZA51"/>
      <c r="DZB51"/>
      <c r="DZC51"/>
      <c r="DZD51"/>
      <c r="DZE51"/>
      <c r="DZF51"/>
      <c r="DZG51"/>
      <c r="DZH51"/>
      <c r="DZI51"/>
      <c r="DZJ51"/>
      <c r="DZK51"/>
      <c r="DZL51"/>
      <c r="DZM51"/>
      <c r="DZN51"/>
      <c r="DZO51"/>
      <c r="DZP51"/>
      <c r="DZQ51"/>
      <c r="DZR51"/>
      <c r="DZS51"/>
      <c r="DZT51"/>
      <c r="DZU51"/>
      <c r="DZV51"/>
      <c r="DZW51"/>
      <c r="DZX51"/>
      <c r="DZY51"/>
      <c r="DZZ51"/>
      <c r="EAA51"/>
      <c r="EAB51"/>
      <c r="EAC51"/>
      <c r="EAD51"/>
      <c r="EAE51"/>
      <c r="EAF51"/>
      <c r="EAG51"/>
      <c r="EAH51"/>
      <c r="EAI51"/>
      <c r="EAJ51"/>
      <c r="EAK51"/>
      <c r="EAL51"/>
      <c r="EAM51"/>
      <c r="EAN51"/>
      <c r="EAO51"/>
      <c r="EAP51"/>
      <c r="EAQ51"/>
      <c r="EAR51"/>
      <c r="EAS51"/>
      <c r="EAT51"/>
      <c r="EAU51"/>
      <c r="EAV51"/>
      <c r="EAW51"/>
      <c r="EAX51"/>
      <c r="EAY51"/>
      <c r="EAZ51"/>
      <c r="EBA51"/>
      <c r="EBB51"/>
      <c r="EBC51"/>
      <c r="EBD51"/>
      <c r="EBE51"/>
      <c r="EBF51"/>
      <c r="EBG51"/>
      <c r="EBH51"/>
      <c r="EBI51"/>
      <c r="EBJ51"/>
      <c r="EBK51"/>
      <c r="EBL51"/>
      <c r="EBM51"/>
      <c r="EBN51"/>
      <c r="EBO51"/>
      <c r="EBP51"/>
      <c r="EBQ51"/>
      <c r="EBR51"/>
      <c r="EBS51"/>
      <c r="EBT51"/>
      <c r="EBU51"/>
      <c r="EBV51"/>
      <c r="EBW51"/>
      <c r="EBX51"/>
      <c r="EBY51"/>
      <c r="EBZ51"/>
      <c r="ECA51"/>
      <c r="ECB51"/>
      <c r="ECC51"/>
      <c r="ECD51"/>
      <c r="ECE51"/>
      <c r="ECF51"/>
      <c r="ECG51"/>
      <c r="ECH51"/>
      <c r="ECI51"/>
      <c r="ECJ51"/>
      <c r="ECK51"/>
      <c r="ECL51"/>
      <c r="ECM51"/>
      <c r="ECN51"/>
      <c r="ECO51"/>
      <c r="ECP51"/>
      <c r="ECQ51"/>
      <c r="ECR51"/>
      <c r="ECS51"/>
      <c r="ECT51"/>
      <c r="ECU51"/>
      <c r="ECV51"/>
      <c r="ECW51"/>
      <c r="ECX51"/>
      <c r="ECY51"/>
      <c r="ECZ51"/>
      <c r="EDA51"/>
      <c r="EDB51"/>
      <c r="EDC51"/>
      <c r="EDD51"/>
      <c r="EDE51"/>
      <c r="EDF51"/>
      <c r="EDG51"/>
      <c r="EDH51"/>
      <c r="EDI51"/>
      <c r="EDJ51"/>
      <c r="EDK51"/>
      <c r="EDL51"/>
      <c r="EDM51"/>
      <c r="EDN51"/>
      <c r="EDO51"/>
      <c r="EDP51"/>
      <c r="EDQ51"/>
      <c r="EDR51"/>
      <c r="EDS51"/>
      <c r="EDT51"/>
      <c r="EDU51"/>
      <c r="EDV51"/>
      <c r="EDW51"/>
      <c r="EDX51"/>
      <c r="EDY51"/>
      <c r="EDZ51"/>
      <c r="EEA51"/>
      <c r="EEB51"/>
      <c r="EEC51"/>
      <c r="EED51"/>
      <c r="EEE51"/>
      <c r="EEF51"/>
      <c r="EEG51"/>
      <c r="EEH51"/>
      <c r="EEI51"/>
      <c r="EEJ51"/>
      <c r="EEK51"/>
      <c r="EEL51"/>
      <c r="EEM51"/>
      <c r="EEN51"/>
      <c r="EEO51"/>
      <c r="EEP51"/>
      <c r="EEQ51"/>
      <c r="EER51"/>
      <c r="EES51"/>
      <c r="EET51"/>
      <c r="EEU51"/>
      <c r="EEV51"/>
      <c r="EEW51"/>
      <c r="EEX51"/>
      <c r="EEY51"/>
      <c r="EEZ51"/>
      <c r="EFA51"/>
      <c r="EFB51"/>
      <c r="EFC51"/>
      <c r="EFD51"/>
      <c r="EFE51"/>
      <c r="EFF51"/>
      <c r="EFG51"/>
      <c r="EFH51"/>
      <c r="EFI51"/>
      <c r="EFJ51"/>
      <c r="EFK51"/>
      <c r="EFL51"/>
      <c r="EFM51"/>
      <c r="EFN51"/>
      <c r="EFO51"/>
      <c r="EFP51"/>
      <c r="EFQ51"/>
      <c r="EFR51"/>
      <c r="EFS51"/>
      <c r="EFT51"/>
      <c r="EFU51"/>
      <c r="EFV51"/>
      <c r="EFW51"/>
      <c r="EFX51"/>
      <c r="EFY51"/>
      <c r="EFZ51"/>
      <c r="EGA51"/>
      <c r="EGB51"/>
      <c r="EGC51"/>
      <c r="EGD51"/>
      <c r="EGE51"/>
      <c r="EGF51"/>
      <c r="EGG51"/>
      <c r="EGH51"/>
      <c r="EGI51"/>
      <c r="EGJ51"/>
      <c r="EGK51"/>
      <c r="EGL51"/>
      <c r="EGM51"/>
      <c r="EGN51"/>
      <c r="EGO51"/>
      <c r="EGP51"/>
      <c r="EGQ51"/>
      <c r="EGR51"/>
      <c r="EGS51"/>
      <c r="EGT51"/>
      <c r="EGU51"/>
      <c r="EGV51"/>
      <c r="EGW51"/>
      <c r="EGX51"/>
      <c r="EGY51"/>
      <c r="EGZ51"/>
      <c r="EHA51"/>
      <c r="EHB51"/>
      <c r="EHC51"/>
      <c r="EHD51"/>
      <c r="EHE51"/>
      <c r="EHF51"/>
      <c r="EHG51"/>
      <c r="EHH51"/>
      <c r="EHI51"/>
      <c r="EHJ51"/>
      <c r="EHK51"/>
      <c r="EHL51"/>
      <c r="EHM51"/>
      <c r="EHN51"/>
      <c r="EHO51"/>
      <c r="EHP51"/>
      <c r="EHQ51"/>
      <c r="EHR51"/>
      <c r="EHS51"/>
      <c r="EHT51"/>
      <c r="EHU51"/>
      <c r="EHV51"/>
      <c r="EHW51"/>
      <c r="EHX51"/>
      <c r="EHY51"/>
      <c r="EHZ51"/>
      <c r="EIA51"/>
      <c r="EIB51"/>
      <c r="EIC51"/>
      <c r="EID51"/>
      <c r="EIE51"/>
      <c r="EIF51"/>
      <c r="EIG51"/>
      <c r="EIH51"/>
      <c r="EII51"/>
      <c r="EIJ51"/>
      <c r="EIK51"/>
      <c r="EIL51"/>
      <c r="EIM51"/>
      <c r="EIN51"/>
      <c r="EIO51"/>
      <c r="EIP51"/>
      <c r="EIQ51"/>
      <c r="EIR51"/>
      <c r="EIS51"/>
      <c r="EIT51"/>
      <c r="EIU51"/>
      <c r="EIV51"/>
      <c r="EIW51"/>
      <c r="EIX51"/>
      <c r="EIY51"/>
      <c r="EIZ51"/>
      <c r="EJA51"/>
      <c r="EJB51"/>
      <c r="EJC51"/>
      <c r="EJD51"/>
      <c r="EJE51"/>
      <c r="EJF51"/>
      <c r="EJG51"/>
      <c r="EJH51"/>
      <c r="EJI51"/>
      <c r="EJJ51"/>
      <c r="EJK51"/>
      <c r="EJL51"/>
      <c r="EJM51"/>
      <c r="EJN51"/>
      <c r="EJO51"/>
      <c r="EJP51"/>
      <c r="EJQ51"/>
      <c r="EJR51"/>
      <c r="EJS51"/>
      <c r="EJT51"/>
      <c r="EJU51"/>
      <c r="EJV51"/>
      <c r="EJW51"/>
      <c r="EJX51"/>
      <c r="EJY51"/>
      <c r="EJZ51"/>
      <c r="EKA51"/>
      <c r="EKB51"/>
      <c r="EKC51"/>
      <c r="EKD51"/>
      <c r="EKE51"/>
      <c r="EKF51"/>
      <c r="EKG51"/>
      <c r="EKH51"/>
      <c r="EKI51"/>
      <c r="EKJ51"/>
      <c r="EKK51"/>
      <c r="EKL51"/>
      <c r="EKM51"/>
      <c r="EKN51"/>
      <c r="EKO51"/>
      <c r="EKP51"/>
      <c r="EKQ51"/>
      <c r="EKR51"/>
      <c r="EKS51"/>
      <c r="EKT51"/>
      <c r="EKU51"/>
      <c r="EKV51"/>
      <c r="EKW51"/>
      <c r="EKX51"/>
      <c r="EKY51"/>
      <c r="EKZ51"/>
      <c r="ELA51"/>
      <c r="ELB51"/>
      <c r="ELC51"/>
      <c r="ELD51"/>
      <c r="ELE51"/>
      <c r="ELF51"/>
      <c r="ELG51"/>
      <c r="ELH51"/>
      <c r="ELI51"/>
      <c r="ELJ51"/>
      <c r="ELK51"/>
      <c r="ELL51"/>
      <c r="ELM51"/>
      <c r="ELN51"/>
      <c r="ELO51"/>
      <c r="ELP51"/>
      <c r="ELQ51"/>
      <c r="ELR51"/>
      <c r="ELS51"/>
      <c r="ELT51"/>
      <c r="ELU51"/>
      <c r="ELV51"/>
      <c r="ELW51"/>
      <c r="ELX51"/>
      <c r="ELY51"/>
      <c r="ELZ51"/>
      <c r="EMA51"/>
      <c r="EMB51"/>
      <c r="EMC51"/>
      <c r="EMD51"/>
      <c r="EME51"/>
    </row>
    <row r="52" spans="1:3723" s="169" customFormat="1" ht="15" outlineLevel="1">
      <c r="A52" s="108" t="s">
        <v>987</v>
      </c>
      <c r="B52" s="30" t="s">
        <v>342</v>
      </c>
      <c r="C52" s="43" t="s">
        <v>245</v>
      </c>
      <c r="D52" s="43" t="s">
        <v>257</v>
      </c>
      <c r="E52" s="517">
        <v>0.59</v>
      </c>
      <c r="F52" s="600">
        <v>1</v>
      </c>
      <c r="G52" s="600">
        <v>1</v>
      </c>
      <c r="H52" s="600">
        <f>N52/F52*(1+$D$31)</f>
        <v>6.0092703090306321</v>
      </c>
      <c r="I52" s="628">
        <v>1E-3</v>
      </c>
      <c r="J52" s="517"/>
      <c r="K52" s="48"/>
      <c r="L52" s="516">
        <v>1</v>
      </c>
      <c r="M52" s="516">
        <f>IF(C52="","",SUMIFS(Energy_Balance!I$55:I$160,Energy_Balance!$C$55:$C$160,C52,Energy_Balance!$D$55:$D$160,D52)*L52)</f>
        <v>10.185203913611241</v>
      </c>
      <c r="N52" s="516">
        <f t="shared" si="28"/>
        <v>6.0092703090306321</v>
      </c>
      <c r="O52" s="25"/>
      <c r="P52" s="377">
        <f t="shared" si="30"/>
        <v>0.59</v>
      </c>
      <c r="Q52" s="377">
        <f t="shared" si="30"/>
        <v>0.59</v>
      </c>
      <c r="R52" s="377">
        <f t="shared" si="30"/>
        <v>0.59</v>
      </c>
      <c r="S52" s="377">
        <f t="shared" si="30"/>
        <v>0.59</v>
      </c>
      <c r="T52" s="208"/>
      <c r="U52" s="50"/>
      <c r="V52" s="50">
        <f t="shared" si="33"/>
        <v>0.64388049339272602</v>
      </c>
      <c r="W52" s="50">
        <f t="shared" si="33"/>
        <v>0.6417373854731997</v>
      </c>
      <c r="X52" s="50">
        <f>$V$32*W52+(1-$V$32)*Y52</f>
        <v>0.63999121440679618</v>
      </c>
      <c r="Y52" s="50">
        <f>IF($G$16=1,AQ52,IF($G$16=2,AQ52,IF($G$16=3,BC52,AQ52)))</f>
        <v>0.6370809292961237</v>
      </c>
      <c r="Z52" s="50">
        <f>$V$32*Y52+(1-$V$32)*AA52</f>
        <v>0.63533475822972019</v>
      </c>
      <c r="AA52" s="50">
        <f>IF($G$16=1,AR52,IF($G$16=2,AR52,IF($G$16=3,BD52,AR52)))</f>
        <v>0.6324244731190477</v>
      </c>
      <c r="AB52" s="50">
        <f>$V$32*AA52+(1-$V$32)*AC52</f>
        <v>0.63067830205264419</v>
      </c>
      <c r="AC52" s="50">
        <f>IF($G$16=1,AS52,IF($G$16=2,AS52,IF($G$16=3,BE52,AS52)))</f>
        <v>0.62776801694197171</v>
      </c>
      <c r="AD52" s="50"/>
      <c r="AE52" s="50">
        <f>IF($G$16=1,AU52,IF($G$16=2,AU52,IF($G$16=3,#REF!,AU52)))</f>
        <v>0.64278049339272603</v>
      </c>
      <c r="AF52" s="50">
        <f>IF($G$16=1,AV52,IF($G$16=2,AV52,IF($G$16=3,#REF!,AV52)))</f>
        <v>0.63458113665506632</v>
      </c>
      <c r="AG52" s="50">
        <f>$V$32*AF52+(1-$V$32)*AH52</f>
        <v>0.632109271800811</v>
      </c>
      <c r="AH52" s="50">
        <f>IF($G$16=1,AW52,IF($G$16=2,AW52,IF($G$16=3,BH52,AW52)))</f>
        <v>0.62798949704371865</v>
      </c>
      <c r="AI52" s="50">
        <f>$V$32*AH52+(1-$V$32)*AJ52</f>
        <v>0.62701763218946316</v>
      </c>
      <c r="AJ52" s="50">
        <f>IF($G$16=1,AX52,IF($G$16=2,AX52,IF($G$16=3,BI52,AX52)))</f>
        <v>0.62539785743237086</v>
      </c>
      <c r="AK52" s="50">
        <f>$V$32*AJ52+(1-$V$32)*AL52</f>
        <v>0.62367599257811546</v>
      </c>
      <c r="AL52" s="50">
        <f>IF($G$16=1,AY52,IF($G$16=2,AY52,IF($G$16=3,BJ52,AY52)))</f>
        <v>0.62080621782102319</v>
      </c>
      <c r="AM52"/>
      <c r="AN52"/>
      <c r="AO52" s="140">
        <f>(IFERROR(IF(N52/(SUMIF(RES!$D$39:$D$145,D52,$N$39:$N$145))=1,1,(N52/(SUMIF(RES!$D$39:$D$145,D52,$N$39:$N$145))+$AO$28)),0))</f>
        <v>0.64388049339272602</v>
      </c>
      <c r="AP52" s="296">
        <f>$AO52-RES!$AO$50*'Census 2011_17'!B$20*RES!$AO52/(1-RES!$AO$50)+$AO$28</f>
        <v>0.6417373854731997</v>
      </c>
      <c r="AQ52" s="296">
        <f>$AO52-RES!$AO$50*'Census 2011_17'!C$20*RES!$AO52/(1-RES!$AO$50)+$AO$28</f>
        <v>0.6370809292961237</v>
      </c>
      <c r="AR52" s="296">
        <f>$AO52-RES!$AO$50*'Census 2011_17'!D$20*RES!$AO52/(1-RES!$AO$50)+$AO$28</f>
        <v>0.6324244731190477</v>
      </c>
      <c r="AS52" s="296">
        <f>$AO52-RES!$AO$50*'Census 2011_17'!E$20*RES!$AO52/(1-RES!$AO$50)+$AO$28</f>
        <v>0.62776801694197171</v>
      </c>
      <c r="AT52" s="173"/>
      <c r="AU52" s="198">
        <f>(IFERROR(IF($N52/(SUMIF(RES!$D$39:$D$145,$D52,$N$39:$N$145))=1,1,($N52/(SUMIF(RES!$D$39:$D$145,$D52,$N$39:$N$145))-$AU$28)),0))</f>
        <v>0.64278049339272603</v>
      </c>
      <c r="AV52" s="297">
        <f>$AU52-RES!$AU$50*'Census 2011_17'!B$20*RES!$AU52/(1-RES!$AU$50)-AV$28-$AU$28</f>
        <v>0.63458113665506632</v>
      </c>
      <c r="AW52" s="297">
        <f>$AU52-RES!$AU$50*'Census 2011_17'!C$20*RES!$AU52/(1-RES!$AU$50)-AW$28-$AU$28</f>
        <v>0.62798949704371865</v>
      </c>
      <c r="AX52" s="297">
        <f>$AU52-RES!$AU$50*'Census 2011_17'!D$20*RES!$AU52/(1-RES!$AU$50)-AX$28-$AU$28</f>
        <v>0.62539785743237086</v>
      </c>
      <c r="AY52" s="297">
        <f>$AU52-RES!$AU$50*'Census 2011_17'!E$20*RES!$AU52/(1-RES!$AU$50)-AY$28-$AU$28</f>
        <v>0.62080621782102319</v>
      </c>
      <c r="AZ52" s="175"/>
      <c r="BA52" s="172"/>
      <c r="BB52" s="296">
        <f t="shared" si="34"/>
        <v>0.6417373854731997</v>
      </c>
      <c r="BC52" s="296">
        <f t="shared" si="35"/>
        <v>0.6370809292961237</v>
      </c>
      <c r="BD52" s="296">
        <f t="shared" si="36"/>
        <v>0.6324244731190477</v>
      </c>
      <c r="BE52" s="296">
        <f t="shared" si="37"/>
        <v>0.62776801694197171</v>
      </c>
      <c r="BF52" s="173" t="str">
        <f t="shared" si="38"/>
        <v/>
      </c>
      <c r="BG52" s="172"/>
      <c r="BH52" s="172">
        <f t="shared" si="22"/>
        <v>0.62798949704371865</v>
      </c>
      <c r="BI52" s="172">
        <f t="shared" si="23"/>
        <v>0.62539785743237086</v>
      </c>
      <c r="BJ52" s="172">
        <f t="shared" si="24"/>
        <v>0.62080621782102319</v>
      </c>
      <c r="BK52" s="175" t="str">
        <f t="shared" si="25"/>
        <v/>
      </c>
      <c r="BL52" s="183" t="s">
        <v>517</v>
      </c>
      <c r="BM52" s="527">
        <f>E52</f>
        <v>0.59</v>
      </c>
      <c r="BN52" s="377">
        <f>E52</f>
        <v>0.59</v>
      </c>
      <c r="BO52" s="377">
        <f>IF($BL52="","",($BQ52-$BN52)*1/3+$BN52)</f>
        <v>0.59</v>
      </c>
      <c r="BP52" s="377">
        <f>IF($BL52="","",($BQ52-$BN52)*2/3+$BN52)</f>
        <v>0.59</v>
      </c>
      <c r="BQ52" s="377">
        <f>IF($BL52="","",IF($BL52="*",$BM52*(1+$BN$29),E52))</f>
        <v>0.59</v>
      </c>
      <c r="BR52" s="183" t="s">
        <v>517</v>
      </c>
      <c r="BS52"/>
      <c r="BT52"/>
      <c r="BU52"/>
      <c r="BV52"/>
      <c r="BW52"/>
      <c r="BX52"/>
      <c r="BY52"/>
      <c r="BZ52"/>
      <c r="CA52"/>
      <c r="CB52"/>
      <c r="CC52"/>
      <c r="CD52"/>
      <c r="CE52"/>
      <c r="CF52"/>
    </row>
    <row r="53" spans="1:3723" ht="15.35" outlineLevel="1">
      <c r="A53" s="108" t="s">
        <v>988</v>
      </c>
      <c r="B53" s="30" t="s">
        <v>343</v>
      </c>
      <c r="C53" s="43" t="s">
        <v>246</v>
      </c>
      <c r="D53" s="43" t="s">
        <v>257</v>
      </c>
      <c r="E53" s="517">
        <v>0.59</v>
      </c>
      <c r="F53" s="600">
        <v>1</v>
      </c>
      <c r="G53" s="600">
        <v>1</v>
      </c>
      <c r="H53" s="600">
        <f>N53/F53*(1+$D$31)</f>
        <v>2.112623863608373</v>
      </c>
      <c r="I53" s="628">
        <v>1E-3</v>
      </c>
      <c r="J53" s="517"/>
      <c r="K53" s="48"/>
      <c r="L53" s="516">
        <v>1</v>
      </c>
      <c r="M53" s="516">
        <f>IF(C53="","",SUMIFS(Energy_Balance!I$55:I$160,Energy_Balance!$C$55:$C$160,C53,Energy_Balance!$D$55:$D$160,D53)*L53)</f>
        <v>3.5807184128955476</v>
      </c>
      <c r="N53" s="516">
        <f t="shared" si="28"/>
        <v>2.112623863608373</v>
      </c>
      <c r="O53" s="25"/>
      <c r="P53" s="377">
        <f t="shared" si="30"/>
        <v>0.59</v>
      </c>
      <c r="Q53" s="377">
        <f t="shared" si="30"/>
        <v>0.59</v>
      </c>
      <c r="R53" s="377">
        <f t="shared" si="30"/>
        <v>0.59</v>
      </c>
      <c r="S53" s="377">
        <f t="shared" si="30"/>
        <v>0.59</v>
      </c>
      <c r="T53" s="208"/>
      <c r="U53" s="50"/>
      <c r="V53" s="50">
        <f t="shared" si="33"/>
        <v>0.22701157910117151</v>
      </c>
      <c r="W53" s="50">
        <f t="shared" si="33"/>
        <v>0.22690342021234203</v>
      </c>
      <c r="X53" s="50">
        <f>$V$32*W53+(1-$V$32)*Y53</f>
        <v>0.22628777638521452</v>
      </c>
      <c r="Y53" s="50">
        <f>IF($G$16=1,AQ53,IF($G$16=2,AQ53,IF($G$16=3,BC53,AQ53)))</f>
        <v>0.22526170334000203</v>
      </c>
      <c r="Z53" s="50">
        <f>$V$32*Y53+(1-$V$32)*AA53</f>
        <v>0.22464605951287456</v>
      </c>
      <c r="AA53" s="50">
        <f>IF($G$16=1,AR53,IF($G$16=2,AR53,IF($G$16=3,BD53,AR53)))</f>
        <v>0.22361998646766207</v>
      </c>
      <c r="AB53" s="50">
        <f>$V$32*AA53+(1-$V$32)*AC53</f>
        <v>0.22300434264053456</v>
      </c>
      <c r="AC53" s="50">
        <f>IF($G$16=1,AS53,IF($G$16=2,AS53,IF($G$16=3,BE53,AS53)))</f>
        <v>0.22197826959532208</v>
      </c>
      <c r="AD53" s="50"/>
      <c r="AE53" s="50">
        <f>IF($G$16=1,AU53,IF($G$16=2,AU53,IF($G$16=3,#REF!,AU53)))</f>
        <v>0.22591157910117152</v>
      </c>
      <c r="AF53" s="50">
        <f>IF($G$16=1,AV53,IF($G$16=2,AV53,IF($G$16=3,#REF!,AV53)))</f>
        <v>0.21972227943822303</v>
      </c>
      <c r="AG53" s="50">
        <f>$V$32*AF53+(1-$V$32)*AH53</f>
        <v>0.2183671129588072</v>
      </c>
      <c r="AH53" s="50">
        <f>IF($G$16=1,AW53,IF($G$16=2,AW53,IF($G$16=3,BH53,AW53)))</f>
        <v>0.21610850215978084</v>
      </c>
      <c r="AI53" s="50">
        <f>$V$32*AH53+(1-$V$32)*AJ53</f>
        <v>0.13506781384986302</v>
      </c>
      <c r="AJ53" s="50">
        <f>IF($G$16=1,AX53,IF($G$16=2,AX53,IF($G$16=3,BI53,AX53)))</f>
        <v>0</v>
      </c>
      <c r="AK53" s="50">
        <f>$V$32*AJ53+(1-$V$32)*AL53</f>
        <v>0</v>
      </c>
      <c r="AL53" s="50">
        <f>IF($G$16=1,AY53,IF($G$16=2,AY53,IF($G$16=3,BJ53,AY53)))</f>
        <v>0</v>
      </c>
      <c r="AO53" s="140">
        <f>(IFERROR(IF(N53/(SUMIF(RES!$D$39:$D$145,D53,$N$39:$N$145))=1,1,(N53/(SUMIF(RES!$D$39:$D$145,D53,$N$39:$N$145))+$AO$28)),0))</f>
        <v>0.22701157910117151</v>
      </c>
      <c r="AP53" s="297">
        <f>$AO53-RES!$AO$50*'Census 2011_17'!B$20*RES!$AO53/(1-RES!$AO$50)+$AO$28</f>
        <v>0.22690342021234203</v>
      </c>
      <c r="AQ53" s="297">
        <f>$AO53-RES!$AO$50*'Census 2011_17'!C$20*RES!$AO53/(1-RES!$AO$50)+$AO$28</f>
        <v>0.22526170334000203</v>
      </c>
      <c r="AR53" s="297">
        <f>$AO53-RES!$AO$50*'Census 2011_17'!D$20*RES!$AO53/(1-RES!$AO$50)+$AO$28</f>
        <v>0.22361998646766207</v>
      </c>
      <c r="AS53" s="297">
        <f>$AO53-RES!$AO$50*'Census 2011_17'!E$20*RES!$AO53/(1-RES!$AO$50)+$AO$28</f>
        <v>0.22197826959532208</v>
      </c>
      <c r="AT53" s="21"/>
      <c r="AU53" s="198">
        <f>(IFERROR(IF($N53/(SUMIF(RES!$D$39:$D$145,$D53,$N$39:$N$145))=1,1,($N53/(SUMIF(RES!$D$39:$D$145,$D53,$N$39:$N$145))-$AU$28)),0))</f>
        <v>0.22591157910117152</v>
      </c>
      <c r="AV53" s="297">
        <f>$AU53-RES!$AU$50*'Census 2011_17'!B$20*RES!$AU53/(1-RES!$AU$50)-AV$28-$AU$28</f>
        <v>0.21972227943822303</v>
      </c>
      <c r="AW53" s="297">
        <f>$AU53-RES!$AU$50*'Census 2011_17'!C$20*RES!$AU53/(1-RES!$AU$50)-AW$28-$AU$28</f>
        <v>0.21610850215978084</v>
      </c>
      <c r="AX53" s="459">
        <v>0</v>
      </c>
      <c r="AY53" s="459">
        <v>0</v>
      </c>
      <c r="AZ53" s="125"/>
      <c r="BA53" s="140"/>
      <c r="BB53" s="297">
        <f t="shared" si="34"/>
        <v>0.22690342021234203</v>
      </c>
      <c r="BC53" s="297">
        <f t="shared" si="35"/>
        <v>0.22526170334000203</v>
      </c>
      <c r="BD53" s="297">
        <f t="shared" si="36"/>
        <v>0.22361998646766207</v>
      </c>
      <c r="BE53" s="297">
        <f t="shared" si="37"/>
        <v>0.22197826959532208</v>
      </c>
      <c r="BF53" s="21" t="str">
        <f t="shared" si="38"/>
        <v/>
      </c>
      <c r="BG53" s="172"/>
      <c r="BH53" s="140">
        <f t="shared" si="22"/>
        <v>0.21610850215978084</v>
      </c>
      <c r="BI53" s="140">
        <f t="shared" si="23"/>
        <v>0</v>
      </c>
      <c r="BJ53" s="140">
        <f t="shared" si="24"/>
        <v>0</v>
      </c>
      <c r="BK53" s="125" t="str">
        <f t="shared" si="25"/>
        <v/>
      </c>
      <c r="BL53" s="183" t="s">
        <v>517</v>
      </c>
      <c r="BM53" s="527">
        <f>E53</f>
        <v>0.59</v>
      </c>
      <c r="BN53" s="377">
        <f>E53</f>
        <v>0.59</v>
      </c>
      <c r="BO53" s="377">
        <f>IF($BL53="","",($BQ53-$BN53)*1/3+$BN53)</f>
        <v>0.59</v>
      </c>
      <c r="BP53" s="377">
        <f>IF($BL53="","",($BQ53-$BN53)*2/3+$BN53)</f>
        <v>0.59</v>
      </c>
      <c r="BQ53" s="377">
        <f>IF($BL53="","",IF($BL53="*",$BM53*(1+$BN$29),E53))</f>
        <v>0.59</v>
      </c>
      <c r="BR53" s="183" t="s">
        <v>517</v>
      </c>
    </row>
    <row r="54" spans="1:3723" ht="15" outlineLevel="1">
      <c r="A54" s="108" t="s">
        <v>989</v>
      </c>
      <c r="B54" s="30" t="s">
        <v>344</v>
      </c>
      <c r="C54" s="43" t="s">
        <v>243</v>
      </c>
      <c r="D54" s="43" t="s">
        <v>257</v>
      </c>
      <c r="E54" s="517">
        <v>0.79</v>
      </c>
      <c r="F54" s="600">
        <v>1</v>
      </c>
      <c r="G54" s="600">
        <v>1</v>
      </c>
      <c r="H54" s="600">
        <f>N54/F54*(1+$D$31)</f>
        <v>6.4934054513460571E-2</v>
      </c>
      <c r="I54" s="628">
        <v>1E-3</v>
      </c>
      <c r="J54" s="517"/>
      <c r="K54" s="48"/>
      <c r="L54" s="516">
        <v>1</v>
      </c>
      <c r="M54" s="516">
        <f>IF(C54="","",SUMIFS(Energy_Balance!I$55:I$160,Energy_Balance!$C$55:$C$160,C54,Energy_Balance!$D$55:$D$160,D54)*L54)</f>
        <v>8.2195005713241232E-2</v>
      </c>
      <c r="N54" s="516">
        <f t="shared" si="28"/>
        <v>6.4934054513460571E-2</v>
      </c>
      <c r="O54" s="25"/>
      <c r="P54" s="377">
        <f t="shared" si="30"/>
        <v>0.79</v>
      </c>
      <c r="Q54" s="377">
        <f t="shared" si="30"/>
        <v>0.79</v>
      </c>
      <c r="R54" s="377">
        <f t="shared" si="30"/>
        <v>0.79</v>
      </c>
      <c r="S54" s="377">
        <f t="shared" si="30"/>
        <v>0.79</v>
      </c>
      <c r="T54" s="208"/>
      <c r="U54" s="50"/>
      <c r="V54" s="50">
        <f t="shared" si="33"/>
        <v>7.9467397632072313E-3</v>
      </c>
      <c r="W54" s="50">
        <f t="shared" si="33"/>
        <v>1.3907947687751519E-2</v>
      </c>
      <c r="X54" s="50">
        <f>$V$32*W54+(1-$V$32)*Y54</f>
        <v>1.388639653472057E-2</v>
      </c>
      <c r="Y54" s="50">
        <f>IF($G$16=1,AQ54,IF($G$16=2,AQ54,IF($G$16=3,BC54,AQ54)))</f>
        <v>1.3850477946335652E-2</v>
      </c>
      <c r="Z54" s="50">
        <f>$V$32*Y54+(1-$V$32)*AA54</f>
        <v>1.3828926793304702E-2</v>
      </c>
      <c r="AA54" s="50">
        <f>IF($G$16=1,AR54,IF($G$16=2,AR54,IF($G$16=3,BD54,AR54)))</f>
        <v>1.3793008204919785E-2</v>
      </c>
      <c r="AB54" s="50">
        <f>$V$32*AA54+(1-$V$32)*AC54</f>
        <v>1.3771457051888834E-2</v>
      </c>
      <c r="AC54" s="50">
        <f>IF($G$16=1,AS54,IF($G$16=2,AS54,IF($G$16=3,BE54,AS54)))</f>
        <v>1.3735538463503914E-2</v>
      </c>
      <c r="AD54" s="50"/>
      <c r="AE54" s="50">
        <f>IF($G$16=1,AU54,IF($G$16=2,AU54,IF($G$16=3,#REF!,AU54)))</f>
        <v>6.8467397632072319E-3</v>
      </c>
      <c r="AF54" s="50">
        <f>IF($G$16=1,AV54,IF($G$16=2,AV54,IF($G$16=3,#REF!,AV54)))</f>
        <v>0</v>
      </c>
      <c r="AG54" s="50">
        <f>$V$32*AF54+(1-$V$32)*AH54</f>
        <v>0</v>
      </c>
      <c r="AH54" s="50">
        <f>IF($G$16=1,AW54,IF($G$16=2,AW54,IF($G$16=3,BH54,AW54)))</f>
        <v>0</v>
      </c>
      <c r="AI54" s="50">
        <f>$V$32*AH54+(1-$V$32)*AJ54</f>
        <v>0</v>
      </c>
      <c r="AJ54" s="50">
        <f>IF($G$16=1,AX54,IF($G$16=2,AX54,IF($G$16=3,BI54,AX54)))</f>
        <v>0</v>
      </c>
      <c r="AK54" s="50">
        <f>$V$32*AJ54+(1-$V$32)*AL54</f>
        <v>0</v>
      </c>
      <c r="AL54" s="50">
        <f>IF($G$16=1,AY54,IF($G$16=2,AY54,IF($G$16=3,BJ54,AY54)))</f>
        <v>0</v>
      </c>
      <c r="AO54" s="140">
        <f>(IFERROR(IF(N54/(SUMIF(RES!$D$39:$D$145,D54,$N$39:$N$145))=1,1,(N54/(SUMIF(RES!$D$39:$D$145,D54,$N$39:$N$145))+$AO$28)),0))</f>
        <v>7.9467397632072313E-3</v>
      </c>
      <c r="AP54" s="297">
        <f>$AO54-RES!$AO$50*'Census 2011_17'!B$20*RES!$AO54/(1-RES!$AO$50)+$AO$28+AP28</f>
        <v>1.3907947687751519E-2</v>
      </c>
      <c r="AQ54" s="297">
        <f>$AO54-RES!$AO$50*'Census 2011_17'!C$20*RES!$AO54/(1-RES!$AO$50)+$AO$28+AQ28</f>
        <v>1.3850477946335652E-2</v>
      </c>
      <c r="AR54" s="297">
        <f>$AO54-RES!$AO$50*'Census 2011_17'!D$20*RES!$AO54/(1-RES!$AO$50)+$AO$28+AR28</f>
        <v>1.3793008204919785E-2</v>
      </c>
      <c r="AS54" s="297">
        <f>$AO54-RES!$AO$50*'Census 2011_17'!E$20*RES!$AO54/(1-RES!$AO$50)+$AO$28+AS28</f>
        <v>1.3735538463503914E-2</v>
      </c>
      <c r="AT54" s="21"/>
      <c r="AU54" s="198">
        <f>(IFERROR(IF($N54/(SUMIF(RES!$D$39:$D$145,$D54,$N$39:$N$145))=1,1,($N54/(SUMIF(RES!$D$39:$D$145,$D54,$N$39:$N$145))-$AU$28)),0))</f>
        <v>6.8467397632072319E-3</v>
      </c>
      <c r="AV54" s="297">
        <v>0</v>
      </c>
      <c r="AW54" s="346">
        <f t="shared" ref="AW54:AY54" si="39">AV54</f>
        <v>0</v>
      </c>
      <c r="AX54" s="346">
        <f t="shared" si="39"/>
        <v>0</v>
      </c>
      <c r="AY54" s="346">
        <f t="shared" si="39"/>
        <v>0</v>
      </c>
      <c r="AZ54" s="125"/>
      <c r="BA54" s="140"/>
      <c r="BB54" s="140">
        <f t="shared" si="34"/>
        <v>1.3907947687751519E-2</v>
      </c>
      <c r="BC54" s="140">
        <f t="shared" si="35"/>
        <v>1.3850477946335652E-2</v>
      </c>
      <c r="BD54" s="140">
        <f t="shared" si="36"/>
        <v>1.3793008204919785E-2</v>
      </c>
      <c r="BE54" s="140">
        <f t="shared" si="37"/>
        <v>1.3735538463503914E-2</v>
      </c>
      <c r="BF54" s="21" t="str">
        <f t="shared" si="38"/>
        <v/>
      </c>
      <c r="BG54" s="172"/>
      <c r="BH54" s="346">
        <f t="shared" si="22"/>
        <v>0</v>
      </c>
      <c r="BI54" s="346">
        <f t="shared" si="23"/>
        <v>0</v>
      </c>
      <c r="BJ54" s="346">
        <f t="shared" si="24"/>
        <v>0</v>
      </c>
      <c r="BK54" s="125" t="str">
        <f t="shared" si="25"/>
        <v/>
      </c>
      <c r="BL54" s="183" t="s">
        <v>517</v>
      </c>
      <c r="BM54" s="527">
        <f>E54</f>
        <v>0.79</v>
      </c>
      <c r="BN54" s="377">
        <f>E54</f>
        <v>0.79</v>
      </c>
      <c r="BO54" s="377">
        <f>IF($BL54="","",($BQ54-$BN54)*1/3+$BN54)</f>
        <v>0.79</v>
      </c>
      <c r="BP54" s="377">
        <f>IF($BL54="","",($BQ54-$BN54)*2/3+$BN54)</f>
        <v>0.79</v>
      </c>
      <c r="BQ54" s="377">
        <f>IF($BL54="","",IF($BL54="*",$BM54*(1+$BN$29),E54))</f>
        <v>0.79</v>
      </c>
      <c r="BR54" s="183" t="s">
        <v>517</v>
      </c>
    </row>
    <row r="55" spans="1:3723" s="195" customFormat="1" ht="15" outlineLevel="1">
      <c r="A55" s="556" t="s">
        <v>974</v>
      </c>
      <c r="B55" s="557"/>
      <c r="C55" s="558"/>
      <c r="D55" s="558"/>
      <c r="E55" s="559" t="str">
        <f>IF(D55="","",IF(COUNTIF(#REF!,$B55)=1,SUMIF(#REF!,RES!B55,#REF!),SUMIF(#REF!,RES!$B55,#REF!)))</f>
        <v/>
      </c>
      <c r="F55" s="559"/>
      <c r="G55" s="559"/>
      <c r="H55" s="559"/>
      <c r="I55" s="629"/>
      <c r="J55" s="559"/>
      <c r="K55" s="560"/>
      <c r="L55" s="561"/>
      <c r="M55" s="561">
        <f>SUM(M50:M54)</f>
        <v>15.147640827667061</v>
      </c>
      <c r="N55" s="561">
        <f>SUM(N50:N54)</f>
        <v>9.3474142874010937</v>
      </c>
      <c r="O55" s="196"/>
      <c r="P55" s="562"/>
      <c r="Q55" s="562"/>
      <c r="R55" s="562"/>
      <c r="S55" s="562"/>
      <c r="T55" s="563"/>
      <c r="U55" s="564"/>
      <c r="V55" s="564">
        <f t="shared" ref="V55:V60" si="40">IF($G$16=1,AO55,IF($G$16=2,AO55,IF($G$16=3,BB55,AO55)))</f>
        <v>1.0049999999999999</v>
      </c>
      <c r="W55" s="564"/>
      <c r="X55" s="564"/>
      <c r="Y55" s="564"/>
      <c r="Z55" s="564"/>
      <c r="AA55" s="564"/>
      <c r="AB55" s="564"/>
      <c r="AC55" s="564"/>
      <c r="AD55" s="564"/>
      <c r="AE55" s="564">
        <f t="shared" ref="AE55:AE60" si="41">IF($G$16=1,AU55,IF($G$16=2,AU55,IF($G$16=3,BH55,AU55)))</f>
        <v>0.99949999999999994</v>
      </c>
      <c r="AF55" s="564"/>
      <c r="AG55" s="564"/>
      <c r="AH55" s="564"/>
      <c r="AI55" s="564"/>
      <c r="AJ55" s="564"/>
      <c r="AK55" s="564"/>
      <c r="AL55" s="564"/>
      <c r="AO55" s="566">
        <f>SUM(AO50:AO54)</f>
        <v>1.0049999999999999</v>
      </c>
      <c r="AP55" s="566">
        <f>SUM(AP50:AP54)</f>
        <v>1.014975592458913</v>
      </c>
      <c r="AQ55" s="566">
        <f>SUM(AQ50:AQ54)</f>
        <v>1.014939433138784</v>
      </c>
      <c r="AR55" s="566">
        <f>SUM(AR50:AR54)</f>
        <v>1.6967172509504975</v>
      </c>
      <c r="AS55" s="566">
        <f>SUM(AS50:AS54)</f>
        <v>1.7901707570265819</v>
      </c>
      <c r="AT55" s="567"/>
      <c r="AU55" s="574">
        <f>SUM(AU50:AU54)</f>
        <v>0.99949999999999994</v>
      </c>
      <c r="AV55" s="574">
        <f>SUM(AV50:AV54)</f>
        <v>0.97638868472091911</v>
      </c>
      <c r="AW55" s="574">
        <f>SUM(AW50:AW54)</f>
        <v>0.9704411654381434</v>
      </c>
      <c r="AX55" s="574">
        <f>SUM(AX50:AX54)</f>
        <v>0.74029187377524286</v>
      </c>
      <c r="AY55" s="574">
        <f>SUM(AY50:AY54)</f>
        <v>0.74213879062738808</v>
      </c>
      <c r="AZ55" s="568"/>
      <c r="BA55" s="566"/>
      <c r="BB55" s="566">
        <f t="shared" si="34"/>
        <v>1.014975592458913</v>
      </c>
      <c r="BC55" s="566">
        <f t="shared" si="35"/>
        <v>1.014939433138784</v>
      </c>
      <c r="BD55" s="566">
        <f t="shared" si="36"/>
        <v>1.6967172509504975</v>
      </c>
      <c r="BE55" s="566">
        <f t="shared" si="37"/>
        <v>1.7901707570265819</v>
      </c>
      <c r="BF55" s="567" t="str">
        <f t="shared" si="38"/>
        <v/>
      </c>
      <c r="BG55" s="569"/>
      <c r="BH55" s="569">
        <f t="shared" si="22"/>
        <v>0.9704411654381434</v>
      </c>
      <c r="BI55" s="569">
        <f t="shared" si="23"/>
        <v>0.74029187377524286</v>
      </c>
      <c r="BJ55" s="569">
        <f t="shared" si="24"/>
        <v>0.74213879062738808</v>
      </c>
      <c r="BK55" s="568" t="str">
        <f t="shared" si="25"/>
        <v/>
      </c>
      <c r="BL55" s="567"/>
      <c r="BN55" s="562" t="str">
        <f>IF($BL55="","",($BP55-$BM55)*5/25+$BM55)</f>
        <v/>
      </c>
      <c r="BO55" s="562" t="str">
        <f>IF($BL55="","",($BP55-$BM55)*15/25+$BM55)</f>
        <v/>
      </c>
      <c r="BP55" s="562" t="str">
        <f>IF($BL55="","",IF($BL55="*",$BM55*(1+$BN$29),E55))</f>
        <v/>
      </c>
      <c r="BQ55" s="562" t="str">
        <f>IF(G55="","",IF(COUNTIF(#REF!,$B55)=1,SUMIF(#REF!,RES!$B55,#REF!),SUMIF(#REF!,RES!$B55,#REF!)))</f>
        <v/>
      </c>
    </row>
    <row r="56" spans="1:3723" s="612" customFormat="1" ht="15" outlineLevel="1" collapsed="1">
      <c r="A56" s="602" t="s">
        <v>990</v>
      </c>
      <c r="B56" s="603" t="s">
        <v>334</v>
      </c>
      <c r="C56" s="604"/>
      <c r="D56" s="604"/>
      <c r="E56" s="605"/>
      <c r="F56" s="605"/>
      <c r="G56" s="605"/>
      <c r="H56" s="605"/>
      <c r="I56" s="631"/>
      <c r="J56" s="605"/>
      <c r="K56" s="606"/>
      <c r="L56" s="607"/>
      <c r="M56" s="607"/>
      <c r="N56" s="607"/>
      <c r="O56" s="608"/>
      <c r="P56" s="609"/>
      <c r="Q56" s="609"/>
      <c r="R56" s="609"/>
      <c r="S56" s="609"/>
      <c r="T56" s="610"/>
      <c r="U56" s="611"/>
      <c r="V56" s="611">
        <f t="shared" si="40"/>
        <v>0</v>
      </c>
      <c r="W56" s="611"/>
      <c r="X56" s="611"/>
      <c r="Y56" s="611"/>
      <c r="Z56" s="611"/>
      <c r="AA56" s="611"/>
      <c r="AB56" s="611"/>
      <c r="AC56" s="611"/>
      <c r="AD56" s="611"/>
      <c r="AE56" s="611">
        <f t="shared" si="41"/>
        <v>0</v>
      </c>
      <c r="AF56" s="611"/>
      <c r="AG56" s="611"/>
      <c r="AH56" s="611"/>
      <c r="AI56" s="611"/>
      <c r="AJ56" s="611"/>
      <c r="AK56" s="611"/>
      <c r="AL56" s="611"/>
      <c r="AO56" s="613"/>
      <c r="AP56" s="613"/>
      <c r="AQ56" s="613"/>
      <c r="AR56" s="613"/>
      <c r="AS56" s="613"/>
      <c r="AT56" s="614"/>
      <c r="AU56" s="615">
        <f>(IFERROR(IF($N56/(SUMIF(RES!$D$39:$D$145,$D56,$N$39:$N$145))=1,1,($N56/(SUMIF(RES!$D$39:$D$145,$D56,$N$39:$N$145))-$AU$28)),0))</f>
        <v>0</v>
      </c>
      <c r="AV56" s="613"/>
      <c r="AW56" s="613"/>
      <c r="AX56" s="613"/>
      <c r="AY56" s="613"/>
      <c r="AZ56" s="616"/>
      <c r="BA56" s="613"/>
      <c r="BB56" s="613" t="str">
        <f t="shared" si="34"/>
        <v/>
      </c>
      <c r="BC56" s="613" t="str">
        <f t="shared" si="35"/>
        <v/>
      </c>
      <c r="BD56" s="613" t="str">
        <f t="shared" si="36"/>
        <v/>
      </c>
      <c r="BE56" s="613" t="str">
        <f t="shared" si="37"/>
        <v/>
      </c>
      <c r="BF56" s="614" t="str">
        <f t="shared" si="38"/>
        <v/>
      </c>
      <c r="BG56" s="613"/>
      <c r="BH56" s="613" t="str">
        <f t="shared" si="22"/>
        <v/>
      </c>
      <c r="BI56" s="613" t="str">
        <f t="shared" si="23"/>
        <v/>
      </c>
      <c r="BJ56" s="613" t="str">
        <f t="shared" si="24"/>
        <v/>
      </c>
      <c r="BK56" s="616" t="str">
        <f t="shared" si="25"/>
        <v/>
      </c>
      <c r="BL56" s="614"/>
      <c r="BN56" s="609" t="str">
        <f>IF($BL56="","",($BP56-$BM56)*5/25+$BM56)</f>
        <v/>
      </c>
      <c r="BO56" s="609" t="str">
        <f>IF($BL56="","",($BP56-$BM56)*15/25+$BM56)</f>
        <v/>
      </c>
      <c r="BP56" s="609" t="str">
        <f>IF($BL56="","",IF($BL56="*",$BM56*(1+$BN$29),E56))</f>
        <v/>
      </c>
      <c r="BQ56" s="609" t="str">
        <f>IF(G56="","",IF(COUNTIF(#REF!,$B56)=1,SUMIF(#REF!,RES!$B56,#REF!),SUMIF(#REF!,RES!$B56,#REF!)))</f>
        <v/>
      </c>
    </row>
    <row r="57" spans="1:3723" s="612" customFormat="1" ht="15" outlineLevel="1">
      <c r="A57" s="617" t="s">
        <v>991</v>
      </c>
      <c r="B57" s="603" t="s">
        <v>346</v>
      </c>
      <c r="C57" s="604"/>
      <c r="D57" s="604" t="s">
        <v>590</v>
      </c>
      <c r="E57" s="605"/>
      <c r="F57" s="605"/>
      <c r="G57" s="605"/>
      <c r="H57" s="605"/>
      <c r="I57" s="631"/>
      <c r="J57" s="605"/>
      <c r="K57" s="606"/>
      <c r="L57" s="607"/>
      <c r="M57" s="607" t="str">
        <f>IF(C57="","",SUMIFS(Energy_Balance!I$55:I$160,Energy_Balance!$C$55:$C$160,C57,Energy_Balance!$D$55:$D$160,D57)*L57)</f>
        <v/>
      </c>
      <c r="N57" s="607"/>
      <c r="O57" s="608"/>
      <c r="P57" s="609"/>
      <c r="Q57" s="609"/>
      <c r="R57" s="609"/>
      <c r="S57" s="609"/>
      <c r="T57" s="610"/>
      <c r="U57" s="611"/>
      <c r="V57" s="611">
        <f t="shared" si="40"/>
        <v>0</v>
      </c>
      <c r="W57" s="611">
        <f>IF($G$16=1,AP57,IF($G$16=2,AP57,IF($G$16=3,BB57,AP57)))</f>
        <v>0</v>
      </c>
      <c r="X57" s="611">
        <f>$V$32*W57+(1-$V$32)*Y57</f>
        <v>0</v>
      </c>
      <c r="Y57" s="611">
        <f>IF($G$16=1,AQ57,IF($G$16=2,AQ57,IF($G$16=3,BC57,AQ57)))</f>
        <v>0</v>
      </c>
      <c r="Z57" s="611">
        <f>$V$32*Y57+(1-$V$32)*AA57</f>
        <v>0</v>
      </c>
      <c r="AA57" s="611">
        <f>IF($G$16=1,AR57,IF($G$16=2,AR57,IF($G$16=3,BD57,AR57)))</f>
        <v>0</v>
      </c>
      <c r="AB57" s="611">
        <f>$V$32*AA57+(1-$V$32)*AC57</f>
        <v>0</v>
      </c>
      <c r="AC57" s="611">
        <f>IF($G$16=1,AS57,IF($G$16=2,AS57,IF($G$16=3,BE57,AS57)))</f>
        <v>0</v>
      </c>
      <c r="AD57" s="611"/>
      <c r="AE57" s="611">
        <f t="shared" si="41"/>
        <v>0</v>
      </c>
      <c r="AF57" s="611">
        <f>IF($G$16=1,AV57,IF($G$16=2,AV57,IF($G$16=3,#REF!,AV57)))</f>
        <v>0</v>
      </c>
      <c r="AG57" s="611">
        <f>$V$32*AF57+(1-$V$32)*AH57</f>
        <v>0</v>
      </c>
      <c r="AH57" s="611">
        <f>IF($G$16=1,AW57,IF($G$16=2,AW57,IF($G$16=3,BH57,AW57)))</f>
        <v>0</v>
      </c>
      <c r="AI57" s="611">
        <f>$V$32*AH57+(1-$V$32)*AJ57</f>
        <v>0</v>
      </c>
      <c r="AJ57" s="611">
        <f>IF($G$16=1,AX57,IF($G$16=2,AX57,IF($G$16=3,BI57,AX57)))</f>
        <v>0</v>
      </c>
      <c r="AK57" s="611">
        <f>$V$32*AJ57+(1-$V$32)*AL57</f>
        <v>0</v>
      </c>
      <c r="AL57" s="611">
        <f>IF($G$16=1,AY57,IF($G$16=2,AY57,IF($G$16=3,BJ57,AY57)))</f>
        <v>0</v>
      </c>
      <c r="AO57" s="613">
        <f>(IFERROR(IF(N57/(SUMIF(RES!$D$39:$D$145,D57,$N$39:$N$145))=1,1,(N57/(SUMIF(RES!$D$39:$D$145,D57,$N$39:$N$145))+$AO$28)),0))</f>
        <v>0</v>
      </c>
      <c r="AP57" s="613">
        <f>(IFERROR(IF(O57/(SUMIF(RES!$D$39:$D$145,E57,$N$39:$N$145))=1,1,(O57/(SUMIF(RES!$D$39:$D$145,E57,$N$39:$N$145))+$AO$28)),0))</f>
        <v>0</v>
      </c>
      <c r="AQ57" s="613">
        <f>(IFERROR(IF(P57/(SUMIF(RES!$D$39:$D$145,F57,$N$39:$N$145))=1,1,(P57/(SUMIF(RES!$D$39:$D$145,F57,$N$39:$N$145))+$AO$28)),0))</f>
        <v>0</v>
      </c>
      <c r="AR57" s="613">
        <f>(IFERROR(IF(Q57/(SUMIF(RES!$D$39:$D$145,G57,$N$39:$N$145))=1,1,(Q57/(SUMIF(RES!$D$39:$D$145,G57,$N$39:$N$145))+$AO$28)),0))</f>
        <v>0</v>
      </c>
      <c r="AS57" s="613">
        <f>(IFERROR(IF(R57/(SUMIF(RES!$D$39:$D$145,H57,$N$39:$N$145))=1,1,(R57/(SUMIF(RES!$D$39:$D$145,H57,$N$39:$N$145))+$AO$28)),0))</f>
        <v>0</v>
      </c>
      <c r="AT57" s="614"/>
      <c r="AU57" s="615">
        <f>(IFERROR(IF($N57/(SUMIF(RES!$D$39:$D$145,$D57,$N$39:$N$145))=1,1,($N57/(SUMIF(RES!$D$39:$D$145,$D57,$N$39:$N$145))-$AU$28)),0))</f>
        <v>0</v>
      </c>
      <c r="AV57" s="618">
        <v>0</v>
      </c>
      <c r="AW57" s="618">
        <v>0</v>
      </c>
      <c r="AX57" s="618">
        <v>0</v>
      </c>
      <c r="AY57" s="618">
        <v>0</v>
      </c>
      <c r="AZ57" s="616"/>
      <c r="BA57" s="613"/>
      <c r="BB57" s="613">
        <f t="shared" si="34"/>
        <v>0</v>
      </c>
      <c r="BC57" s="613">
        <f t="shared" si="35"/>
        <v>0</v>
      </c>
      <c r="BD57" s="613">
        <f t="shared" si="36"/>
        <v>0</v>
      </c>
      <c r="BE57" s="613">
        <f t="shared" si="37"/>
        <v>0</v>
      </c>
      <c r="BF57" s="614" t="str">
        <f t="shared" si="38"/>
        <v/>
      </c>
      <c r="BG57" s="613"/>
      <c r="BH57" s="619">
        <f t="shared" si="22"/>
        <v>0</v>
      </c>
      <c r="BI57" s="619">
        <f t="shared" si="23"/>
        <v>0</v>
      </c>
      <c r="BJ57" s="619">
        <f t="shared" si="24"/>
        <v>0</v>
      </c>
      <c r="BK57" s="616" t="str">
        <f t="shared" si="25"/>
        <v/>
      </c>
      <c r="BL57" s="612" t="s">
        <v>110</v>
      </c>
      <c r="BM57" s="620">
        <f>E57</f>
        <v>0</v>
      </c>
      <c r="BN57" s="609">
        <f>INDEX('Electrical efficiency'!$M$8:$M$23,MATCH(RES!D57,'Electrical efficiency'!$K$8:$K$23,0))</f>
        <v>0.73684210526315785</v>
      </c>
      <c r="BO57" s="609">
        <f>INDEX('Electrical efficiency'!$N$8:$N$23,MATCH(RES!D57,'Electrical efficiency'!$K$8:$K$23,0))</f>
        <v>0.79545454545454553</v>
      </c>
      <c r="BP57" s="609">
        <f>INDEX('Electrical efficiency'!$O$8:$O$23,MATCH(RES!D57,'Electrical efficiency'!$K$8:$K$23,0))</f>
        <v>0.81395348837209303</v>
      </c>
      <c r="BQ57" s="609">
        <f>INDEX('Electrical efficiency'!$P$8:$P$23,MATCH(RES!D57,'Electrical efficiency'!$K$8:$K$23,0))</f>
        <v>0.81395348837209303</v>
      </c>
      <c r="BR57" s="612" t="s">
        <v>110</v>
      </c>
    </row>
    <row r="58" spans="1:3723" s="612" customFormat="1" ht="15" outlineLevel="1">
      <c r="A58" s="617" t="s">
        <v>992</v>
      </c>
      <c r="B58" s="603" t="s">
        <v>347</v>
      </c>
      <c r="C58" s="604"/>
      <c r="D58" s="604" t="s">
        <v>590</v>
      </c>
      <c r="E58" s="605"/>
      <c r="F58" s="605"/>
      <c r="G58" s="605"/>
      <c r="H58" s="605"/>
      <c r="I58" s="631"/>
      <c r="J58" s="605"/>
      <c r="K58" s="606"/>
      <c r="L58" s="607"/>
      <c r="M58" s="607" t="str">
        <f>IF(C58="","",SUMIFS(Energy_Balance!I$55:I$160,Energy_Balance!$C$55:$C$160,C58,Energy_Balance!$D$55:$D$160,D58)*L58)</f>
        <v/>
      </c>
      <c r="N58" s="607"/>
      <c r="O58" s="608"/>
      <c r="P58" s="609"/>
      <c r="Q58" s="609"/>
      <c r="R58" s="609"/>
      <c r="S58" s="609"/>
      <c r="T58" s="610"/>
      <c r="U58" s="611"/>
      <c r="V58" s="611">
        <f t="shared" si="40"/>
        <v>0</v>
      </c>
      <c r="W58" s="611">
        <f>IF($G$16=1,AP58,IF($G$16=2,AP58,IF($G$16=3,BB58,IF($G$16=4,BB58,AP58))))</f>
        <v>6.0000000000000001E-3</v>
      </c>
      <c r="X58" s="611">
        <f>$V$32*W58+(1-$V$32)*Y58</f>
        <v>6.0000000000000001E-3</v>
      </c>
      <c r="Y58" s="611">
        <f>IF($G$16=1,AQ58,IF($G$16=2,AQ58,IF($G$16=3,BC58,IF($G$16=4,BC58,AQ58))))</f>
        <v>6.0000000000000001E-3</v>
      </c>
      <c r="Z58" s="611">
        <f>$V$32*Y58+(1-$V$32)*AA58</f>
        <v>6.0000000000000001E-3</v>
      </c>
      <c r="AA58" s="611">
        <f>IF($G$16=1,AR58,IF($G$16=2,AR58,IF($G$16=3,BD58,IF($G$16=4,BD58,AR58))))</f>
        <v>6.0000000000000001E-3</v>
      </c>
      <c r="AB58" s="611">
        <f>$V$32*AA58+(1-$V$32)*AC58</f>
        <v>6.0000000000000001E-3</v>
      </c>
      <c r="AC58" s="611">
        <f>IF($G$16=1,AS58,IF($G$16=2,AS58,IF($G$16=3,BE58,IF($G$16=4,BE58,AS58))))</f>
        <v>6.0000000000000001E-3</v>
      </c>
      <c r="AD58" s="611"/>
      <c r="AE58" s="611">
        <f t="shared" si="41"/>
        <v>0</v>
      </c>
      <c r="AF58" s="611">
        <f>IF($G$16=1,AW58,IF($G$16=2,AW58,IF($G$16=3,BI58,AW58)))</f>
        <v>0</v>
      </c>
      <c r="AG58" s="611">
        <f>IF($G$16=1,AX58,IF($G$16=2,AX58,IF($G$16=3,BJ58,AX58)))</f>
        <v>0</v>
      </c>
      <c r="AH58" s="611">
        <f>IF($G$16=1,AY58,IF($G$16=2,AY58,IF($G$16=3,BK58,AY58)))</f>
        <v>0</v>
      </c>
      <c r="AI58" s="611">
        <f>IF($G$16=1,AZ58,IF($G$16=2,AZ58,IF($G$16=3,BL58,AZ58)))</f>
        <v>0</v>
      </c>
      <c r="AJ58" s="611">
        <f>IF($G$16=1,AX58,IF($G$16=2,AX58,IF($G$16=3,BI58,IF($G$16=4,BI58,AX58))))</f>
        <v>0</v>
      </c>
      <c r="AK58" s="611">
        <f>$V$32*AJ58+(1-$V$32)*AL58</f>
        <v>0</v>
      </c>
      <c r="AL58" s="611">
        <f>IF($G$16=1,AY58,IF($G$16=2,AY58,IF($G$16=3,BJ58,IF($G$16=4,BJ58,AY58))))</f>
        <v>0</v>
      </c>
      <c r="AO58" s="613">
        <f>(IFERROR(IF(N58/(SUMIF(RES!$D$39:$D$145,D58,$N$39:$N$145))=1,1,(N58/(SUMIF(RES!$D$39:$D$145,D58,$N$39:$N$145))+$AO$28)),0))</f>
        <v>0</v>
      </c>
      <c r="AP58" s="618">
        <f>$AO58*(1+'Census 2011_17'!B$20)+$AO$28+AP28</f>
        <v>6.0000000000000001E-3</v>
      </c>
      <c r="AQ58" s="618">
        <f>$AO58*(1+'Census 2011_17'!C$20)+$AO$28+AQ28</f>
        <v>6.0000000000000001E-3</v>
      </c>
      <c r="AR58" s="618">
        <f>$AO58*(1+'Census 2011_17'!D$20)+$AO$28+AR28</f>
        <v>6.0000000000000001E-3</v>
      </c>
      <c r="AS58" s="618">
        <f>$AO58*(1+'Census 2011_17'!E$20)+$AO$28+AS28</f>
        <v>6.0000000000000001E-3</v>
      </c>
      <c r="AT58" s="614"/>
      <c r="AU58" s="615">
        <f>(IFERROR(IF($N58/(SUMIF(RES!$D$39:$D$145,$D58,$N$39:$N$145))=1,1,($N58/(SUMIF(RES!$D$39:$D$145,$D58,$N$39:$N$145))-$AU$28)),0))</f>
        <v>0</v>
      </c>
      <c r="AV58" s="618">
        <v>0</v>
      </c>
      <c r="AW58" s="618">
        <v>0</v>
      </c>
      <c r="AX58" s="618">
        <v>0</v>
      </c>
      <c r="AY58" s="618">
        <v>0</v>
      </c>
      <c r="AZ58" s="616"/>
      <c r="BA58" s="613"/>
      <c r="BB58" s="613">
        <f t="shared" si="34"/>
        <v>6.0000000000000001E-3</v>
      </c>
      <c r="BC58" s="613">
        <f t="shared" si="35"/>
        <v>6.0000000000000001E-3</v>
      </c>
      <c r="BD58" s="613">
        <f t="shared" si="36"/>
        <v>6.0000000000000001E-3</v>
      </c>
      <c r="BE58" s="613">
        <f t="shared" si="37"/>
        <v>6.0000000000000001E-3</v>
      </c>
      <c r="BF58" s="614" t="str">
        <f t="shared" si="38"/>
        <v/>
      </c>
      <c r="BG58" s="613"/>
      <c r="BH58" s="619">
        <f t="shared" si="22"/>
        <v>0</v>
      </c>
      <c r="BI58" s="619">
        <f t="shared" si="23"/>
        <v>0</v>
      </c>
      <c r="BJ58" s="619">
        <f t="shared" si="24"/>
        <v>0</v>
      </c>
      <c r="BK58" s="616" t="str">
        <f t="shared" si="25"/>
        <v/>
      </c>
      <c r="BL58" s="614" t="s">
        <v>871</v>
      </c>
      <c r="BM58" s="620">
        <f>E58</f>
        <v>0</v>
      </c>
      <c r="BN58" s="609">
        <f>E58</f>
        <v>0</v>
      </c>
      <c r="BO58" s="609">
        <f>IF($BL58="","",($BQ58-$BN58)*1/3+$BN58)</f>
        <v>0</v>
      </c>
      <c r="BP58" s="609">
        <f>IF($BL58="","",($BQ58-$BN58)*2/3+$BN58)</f>
        <v>0</v>
      </c>
      <c r="BQ58" s="609">
        <f>IF($BL58="","",IF($BL58="*",$BM58*(1+$BN$29),E58))</f>
        <v>0</v>
      </c>
      <c r="BR58" s="612" t="s">
        <v>871</v>
      </c>
    </row>
    <row r="59" spans="1:3723" s="612" customFormat="1" ht="15" outlineLevel="1">
      <c r="A59" s="617" t="s">
        <v>974</v>
      </c>
      <c r="B59" s="603"/>
      <c r="C59" s="604"/>
      <c r="D59" s="604"/>
      <c r="E59" s="605" t="str">
        <f>IF(D59="","",IF(COUNTIF(#REF!,$B59)=1,SUMIF(#REF!,RES!B59,#REF!),SUMIF(#REF!,RES!$B59,#REF!)))</f>
        <v/>
      </c>
      <c r="F59" s="605"/>
      <c r="G59" s="605"/>
      <c r="H59" s="605"/>
      <c r="I59" s="631"/>
      <c r="J59" s="605"/>
      <c r="K59" s="606"/>
      <c r="L59" s="607"/>
      <c r="M59" s="607"/>
      <c r="N59" s="607"/>
      <c r="O59" s="608"/>
      <c r="P59" s="609"/>
      <c r="Q59" s="609"/>
      <c r="R59" s="609"/>
      <c r="S59" s="609"/>
      <c r="T59" s="610"/>
      <c r="U59" s="611"/>
      <c r="V59" s="611">
        <f t="shared" si="40"/>
        <v>0.43401280593729746</v>
      </c>
      <c r="W59" s="611"/>
      <c r="X59" s="611"/>
      <c r="Y59" s="611"/>
      <c r="Z59" s="611"/>
      <c r="AA59" s="611"/>
      <c r="AB59" s="611"/>
      <c r="AC59" s="611"/>
      <c r="AD59" s="611"/>
      <c r="AE59" s="611">
        <f t="shared" si="41"/>
        <v>0.43291280593729747</v>
      </c>
      <c r="AF59" s="611"/>
      <c r="AG59" s="611"/>
      <c r="AH59" s="611"/>
      <c r="AI59" s="611"/>
      <c r="AJ59" s="611"/>
      <c r="AK59" s="611"/>
      <c r="AL59" s="611"/>
      <c r="AO59" s="621">
        <f>SUM(AO57:AO58)+AO62</f>
        <v>0.43401280593729746</v>
      </c>
      <c r="AP59" s="621">
        <f t="shared" ref="AP59:AS59" si="42">SUM(AP57:AP58)+AP62</f>
        <v>0.46012919380076739</v>
      </c>
      <c r="AQ59" s="621">
        <f t="shared" si="42"/>
        <v>0.48844976841331528</v>
      </c>
      <c r="AR59" s="621">
        <f t="shared" si="42"/>
        <v>0.90600000000000003</v>
      </c>
      <c r="AS59" s="621">
        <f t="shared" si="42"/>
        <v>0.90600000000000003</v>
      </c>
      <c r="AT59" s="614"/>
      <c r="AU59" s="621">
        <f>SUM(AU57:AU58)+AU62</f>
        <v>0.43291280593729747</v>
      </c>
      <c r="AV59" s="621">
        <f t="shared" ref="AV59:AY59" si="43">SUM(AV57:AV58)+AV62</f>
        <v>0.45212919380076738</v>
      </c>
      <c r="AW59" s="621">
        <f t="shared" si="43"/>
        <v>0.48044976841331527</v>
      </c>
      <c r="AX59" s="621">
        <f t="shared" si="43"/>
        <v>0.50877034302586321</v>
      </c>
      <c r="AY59" s="621">
        <f t="shared" si="43"/>
        <v>0.53709091763841121</v>
      </c>
      <c r="AZ59" s="616"/>
      <c r="BA59" s="622"/>
      <c r="BB59" s="622">
        <f t="shared" si="34"/>
        <v>0.46012919380076739</v>
      </c>
      <c r="BC59" s="622">
        <f t="shared" si="35"/>
        <v>0.48844976841331528</v>
      </c>
      <c r="BD59" s="622">
        <f t="shared" si="36"/>
        <v>0.90600000000000003</v>
      </c>
      <c r="BE59" s="622">
        <f t="shared" si="37"/>
        <v>0.90600000000000003</v>
      </c>
      <c r="BF59" s="614" t="str">
        <f t="shared" si="38"/>
        <v/>
      </c>
      <c r="BG59" s="613"/>
      <c r="BH59" s="613">
        <f t="shared" si="22"/>
        <v>0.48044976841331527</v>
      </c>
      <c r="BI59" s="613">
        <f t="shared" si="23"/>
        <v>0.50877034302586321</v>
      </c>
      <c r="BJ59" s="613">
        <f t="shared" si="24"/>
        <v>0.53709091763841121</v>
      </c>
      <c r="BK59" s="616" t="str">
        <f t="shared" si="25"/>
        <v/>
      </c>
      <c r="BL59" s="614"/>
      <c r="BN59" s="609" t="str">
        <f>IF($BL59="","",($BP59-$BM59)*5/25+$BM59)</f>
        <v/>
      </c>
      <c r="BO59" s="609" t="str">
        <f>IF($BL59="","",($BP59-$BM59)*15/25+$BM59)</f>
        <v/>
      </c>
      <c r="BP59" s="609" t="str">
        <f>IF($BL59="","",IF($BL59="*",$BM59*(1+$BN$29),E59))</f>
        <v/>
      </c>
      <c r="BQ59" s="609" t="str">
        <f>IF(G59="","",IF(COUNTIF(#REF!,$B59)=1,SUMIF(#REF!,RES!$B59,#REF!),SUMIF(#REF!,RES!$B59,#REF!)))</f>
        <v/>
      </c>
    </row>
    <row r="60" spans="1:3723" s="237" customFormat="1" ht="15" outlineLevel="1">
      <c r="A60" s="597" t="s">
        <v>993</v>
      </c>
      <c r="B60" s="578"/>
      <c r="C60" s="588"/>
      <c r="D60" s="588"/>
      <c r="E60" s="590"/>
      <c r="F60" s="590"/>
      <c r="G60" s="590"/>
      <c r="H60" s="590"/>
      <c r="I60" s="630"/>
      <c r="J60" s="590"/>
      <c r="K60" s="579"/>
      <c r="L60" s="592"/>
      <c r="M60" s="592"/>
      <c r="N60" s="592"/>
      <c r="O60" s="584"/>
      <c r="P60" s="593"/>
      <c r="Q60" s="593"/>
      <c r="R60" s="593"/>
      <c r="S60" s="593"/>
      <c r="T60" s="594"/>
      <c r="U60" s="595"/>
      <c r="V60" s="595">
        <f t="shared" si="40"/>
        <v>0</v>
      </c>
      <c r="W60" s="595"/>
      <c r="X60" s="595"/>
      <c r="Y60" s="595"/>
      <c r="Z60" s="595"/>
      <c r="AA60" s="595"/>
      <c r="AB60" s="595"/>
      <c r="AC60" s="595"/>
      <c r="AD60" s="595"/>
      <c r="AE60" s="595">
        <f t="shared" si="41"/>
        <v>0</v>
      </c>
      <c r="AF60" s="595"/>
      <c r="AG60" s="595"/>
      <c r="AH60" s="595"/>
      <c r="AI60" s="595"/>
      <c r="AJ60" s="595"/>
      <c r="AK60" s="595"/>
      <c r="AL60" s="595"/>
      <c r="AO60" s="596"/>
      <c r="AP60" s="596"/>
      <c r="AQ60" s="596"/>
      <c r="AR60" s="596"/>
      <c r="AS60" s="596"/>
      <c r="AT60" s="586"/>
      <c r="AU60" s="596"/>
      <c r="AV60" s="596"/>
      <c r="AW60" s="596"/>
      <c r="AX60" s="596"/>
      <c r="AY60" s="596"/>
      <c r="AZ60" s="587"/>
      <c r="BA60" s="596"/>
      <c r="BB60" s="596" t="str">
        <f t="shared" si="34"/>
        <v/>
      </c>
      <c r="BC60" s="596" t="str">
        <f t="shared" si="35"/>
        <v/>
      </c>
      <c r="BD60" s="596" t="str">
        <f t="shared" si="36"/>
        <v/>
      </c>
      <c r="BE60" s="596" t="str">
        <f t="shared" si="37"/>
        <v/>
      </c>
      <c r="BF60" s="586" t="str">
        <f t="shared" si="38"/>
        <v/>
      </c>
      <c r="BG60" s="596"/>
      <c r="BH60" s="596" t="str">
        <f t="shared" si="22"/>
        <v/>
      </c>
      <c r="BI60" s="596" t="str">
        <f t="shared" si="23"/>
        <v/>
      </c>
      <c r="BJ60" s="596" t="str">
        <f t="shared" si="24"/>
        <v/>
      </c>
      <c r="BK60" s="587" t="str">
        <f t="shared" si="25"/>
        <v/>
      </c>
      <c r="BN60" s="593" t="str">
        <f>IF($BL60="","",($BP60-$BM60)*5/25+$BM60)</f>
        <v/>
      </c>
      <c r="BO60" s="593" t="str">
        <f>IF($BL60="","",($BP60-$BM60)*15/25+$BM60)</f>
        <v/>
      </c>
      <c r="BP60" s="593" t="str">
        <f>IF($BL60="","",IF($BL60="*",$BM60*(1+$BN$29),E60))</f>
        <v/>
      </c>
      <c r="BQ60" s="593" t="str">
        <f>IF(G60="","",IF(COUNTIF(#REF!,$B60)=1,SUMIF(#REF!,RES!$B60,#REF!),SUMIF(#REF!,RES!$B60,#REF!)))</f>
        <v/>
      </c>
    </row>
    <row r="61" spans="1:3723" s="169" customFormat="1" ht="15.35" outlineLevel="1">
      <c r="A61" s="108" t="s">
        <v>994</v>
      </c>
      <c r="B61" s="30" t="s">
        <v>348</v>
      </c>
      <c r="C61" s="43" t="s">
        <v>244</v>
      </c>
      <c r="D61" s="43" t="s">
        <v>258</v>
      </c>
      <c r="E61" s="517">
        <v>0.44</v>
      </c>
      <c r="F61" s="600">
        <v>1</v>
      </c>
      <c r="G61" s="600">
        <v>1</v>
      </c>
      <c r="H61" s="600">
        <f>N61/F61*(1+$D$31)</f>
        <v>1.2483539120184379</v>
      </c>
      <c r="I61" s="628">
        <v>1E-3</v>
      </c>
      <c r="J61" s="517"/>
      <c r="K61" s="48" t="s">
        <v>931</v>
      </c>
      <c r="L61" s="516">
        <v>1</v>
      </c>
      <c r="M61" s="516">
        <f>IF(C61="","",SUMIFS(Energy_Balance!I$55:I$160,Energy_Balance!$C$55:$C$160,C61,Energy_Balance!$D$55:$D$160,D61)*L61)</f>
        <v>2.8371679818600861</v>
      </c>
      <c r="N61" s="516">
        <f t="shared" si="28"/>
        <v>1.2483539120184379</v>
      </c>
      <c r="O61" s="25"/>
      <c r="P61" s="623">
        <f t="shared" ref="P61:S65" si="44">IF($G$16=0,BN61,IF($G$16=1,BS61,IF($G$16=2,BX61,IF($G$16=3,BN61,IF($G$16=4,BS61,"NA")))))</f>
        <v>0.44</v>
      </c>
      <c r="Q61" s="623">
        <f t="shared" si="44"/>
        <v>0.44</v>
      </c>
      <c r="R61" s="623">
        <f t="shared" si="44"/>
        <v>0.44</v>
      </c>
      <c r="S61" s="623">
        <f t="shared" si="44"/>
        <v>0.44</v>
      </c>
      <c r="T61" s="208"/>
      <c r="U61" s="280"/>
      <c r="V61" s="682">
        <f>IF($G$16=1,AO61,IF($G$16=2,AO61,IF($G$16=3,BA61,AO61)))</f>
        <v>0.2632763185635752</v>
      </c>
      <c r="W61" s="280">
        <f>IF($G$16=1,AP61,IF($G$16=2,AP61,IF($G$16=3,BB61,AP61)))</f>
        <v>0.2632763185635752</v>
      </c>
      <c r="X61" s="50">
        <f>$V$32*W61+(1-$V$32)*Y61</f>
        <v>0.2632763185635752</v>
      </c>
      <c r="Y61" s="280">
        <f>IF($G$16=1,AQ61,IF($G$16=2,AQ61,IF($G$16=3,BC61,AQ61)))</f>
        <v>0.2632763185635752</v>
      </c>
      <c r="Z61" s="50">
        <f>$V$32*Y61+(1-$V$32)*AA61</f>
        <v>0.2632763185635752</v>
      </c>
      <c r="AA61" s="280">
        <f>IF($G$16=1,AR61,IF($G$16=2,AR61,IF($G$16=3,BD61,AR61)))</f>
        <v>0.2632763185635752</v>
      </c>
      <c r="AB61" s="50">
        <f>$V$32*AA61+(1-$V$32)*AC61</f>
        <v>0.2632763185635752</v>
      </c>
      <c r="AC61" s="280">
        <f>IF($G$16=1,AS61,IF($G$16=2,AS61,IF($G$16=3,BE61,AS61)))</f>
        <v>0.2632763185635752</v>
      </c>
      <c r="AD61" s="280"/>
      <c r="AE61" s="682">
        <f>IF($G$16=1,AU61,IF($G$16=2,AU61,IF($G$16=3,#REF!,AU61)))</f>
        <v>0.26217631856357521</v>
      </c>
      <c r="AF61" s="280">
        <f>IF($G$16=1,AV61,IF($G$16=2,AV61,IF($G$16=3,#REF!,AV61)))</f>
        <v>0.25326081057850736</v>
      </c>
      <c r="AG61" s="50">
        <f>$V$32*AF61+(1-$V$32)*AH61</f>
        <v>0.24836330614235858</v>
      </c>
      <c r="AH61" s="280">
        <f>IF($G$16=1,AW61,IF($G$16=2,AW61,IF($G$16=3,BH61,AW61)))</f>
        <v>0.24020079874877728</v>
      </c>
      <c r="AI61" s="50">
        <f>$V$32*AH61+(1-$V$32)*AJ61</f>
        <v>0.15012549921798579</v>
      </c>
      <c r="AJ61" s="280">
        <f>IF($G$16=1,AX61,IF($G$16=2,AX61,IF($G$16=3,BI61,AX61)))</f>
        <v>0</v>
      </c>
      <c r="AK61" s="50">
        <f>$V$32*AJ61+(1-$V$32)*AL61</f>
        <v>0</v>
      </c>
      <c r="AL61" s="280">
        <f>IF($G$16=1,AY61,IF($G$16=2,AY61,IF($G$16=3,BJ61,AY61)))</f>
        <v>0</v>
      </c>
      <c r="AM61"/>
      <c r="AN61"/>
      <c r="AO61" s="140">
        <f>(IFERROR(IF(N61/(SUMIF(RES!$D$39:$D$145,D61,$N$39:$N$145))=1,1,(N61/(SUMIF(RES!$D$39:$D$145,D61,$N$39:$N$145))+$AO$28)),0))</f>
        <v>0.2632763185635752</v>
      </c>
      <c r="AP61" s="140">
        <f t="shared" ref="AP61:AQ65" si="45">AO61</f>
        <v>0.2632763185635752</v>
      </c>
      <c r="AQ61" s="140">
        <f t="shared" si="45"/>
        <v>0.2632763185635752</v>
      </c>
      <c r="AR61" s="140">
        <f t="shared" ref="AR61" si="46">AQ61</f>
        <v>0.2632763185635752</v>
      </c>
      <c r="AS61" s="140">
        <f t="shared" ref="AS61" si="47">AR61</f>
        <v>0.2632763185635752</v>
      </c>
      <c r="AT61" s="21"/>
      <c r="AU61" s="198">
        <f>(IFERROR(IF($N61/(SUMIF(RES!$D$39:$D$145,$D61,$N$39:$N$145))=1,1,($N61/(SUMIF(RES!$D$39:$D$145,$D61,$N$39:$N$145))-$AU$28)),0))</f>
        <v>0.26217631856357521</v>
      </c>
      <c r="AV61" s="297">
        <f>$AU61-RES!$AU$59*'Census 2011_17'!B$20*RES!$AU61/(1-RES!$AU$59)-$AU$28</f>
        <v>0.25326081057850736</v>
      </c>
      <c r="AW61" s="297">
        <f>$AU61-RES!$AU$59*'Census 2011_17'!C$20*RES!$AU61/(1-RES!$AU$59)-$AU$28</f>
        <v>0.24020079874877728</v>
      </c>
      <c r="AX61" s="459">
        <v>0</v>
      </c>
      <c r="AY61" s="459">
        <v>0</v>
      </c>
      <c r="AZ61" s="21"/>
      <c r="BA61" s="172"/>
      <c r="BB61" s="296">
        <f t="shared" si="34"/>
        <v>0.2632763185635752</v>
      </c>
      <c r="BC61" s="296">
        <f t="shared" si="35"/>
        <v>0.2632763185635752</v>
      </c>
      <c r="BD61" s="296">
        <f t="shared" si="36"/>
        <v>0.2632763185635752</v>
      </c>
      <c r="BE61" s="296">
        <f t="shared" si="37"/>
        <v>0.2632763185635752</v>
      </c>
      <c r="BF61" s="173" t="str">
        <f t="shared" si="38"/>
        <v/>
      </c>
      <c r="BG61" s="172"/>
      <c r="BH61" s="172">
        <f t="shared" si="22"/>
        <v>0.24020079874877728</v>
      </c>
      <c r="BI61" s="172">
        <f t="shared" si="23"/>
        <v>0</v>
      </c>
      <c r="BJ61" s="172">
        <f t="shared" si="24"/>
        <v>0</v>
      </c>
      <c r="BK61" s="175" t="str">
        <f t="shared" si="25"/>
        <v/>
      </c>
      <c r="BL61" s="183" t="s">
        <v>517</v>
      </c>
      <c r="BM61" s="527">
        <f>E61</f>
        <v>0.44</v>
      </c>
      <c r="BN61" s="377">
        <f>E61</f>
        <v>0.44</v>
      </c>
      <c r="BO61" s="377">
        <f>IF($BL61="","",($BQ61-$BN61)*1/3+$BN61)</f>
        <v>0.44</v>
      </c>
      <c r="BP61" s="377">
        <f>IF($BL61="","",($BQ61-$BN61)*2/3+$BN61)</f>
        <v>0.44</v>
      </c>
      <c r="BQ61" s="377">
        <f>IF($BL61="","",IF($BL61="*",$BM61*(1+$BN$29),E61))</f>
        <v>0.44</v>
      </c>
      <c r="BR61" s="183" t="s">
        <v>517</v>
      </c>
      <c r="BS61"/>
      <c r="BT61"/>
      <c r="BU61"/>
      <c r="BV61"/>
      <c r="BW61"/>
      <c r="BX61"/>
      <c r="BY61"/>
      <c r="BZ61"/>
      <c r="CA61"/>
      <c r="CB61"/>
      <c r="CC61"/>
      <c r="CD61"/>
      <c r="CE61"/>
      <c r="CF61"/>
    </row>
    <row r="62" spans="1:3723" ht="15.35" outlineLevel="1">
      <c r="A62" s="108" t="s">
        <v>995</v>
      </c>
      <c r="B62" s="30" t="s">
        <v>345</v>
      </c>
      <c r="C62" s="43" t="s">
        <v>242</v>
      </c>
      <c r="D62" s="43" t="s">
        <v>258</v>
      </c>
      <c r="E62" s="525">
        <v>0.95</v>
      </c>
      <c r="F62" s="600">
        <v>1</v>
      </c>
      <c r="G62" s="600">
        <v>1</v>
      </c>
      <c r="H62" s="600">
        <f>N62/F62*(1+$D$31)</f>
        <v>2.0610066254032655</v>
      </c>
      <c r="I62" s="628">
        <v>1E-3</v>
      </c>
      <c r="J62" s="517"/>
      <c r="K62" s="48"/>
      <c r="L62" s="516">
        <v>1</v>
      </c>
      <c r="M62" s="516">
        <f>IF(C62="","",SUMIFS(Energy_Balance!I$55:I$160,Energy_Balance!$C$55:$C$160,C62,Energy_Balance!$D$55:$D$160,D62)*L62)</f>
        <v>2.1694806583192268</v>
      </c>
      <c r="N62" s="516">
        <f t="shared" ref="N62" si="48">E62*M62</f>
        <v>2.0610066254032655</v>
      </c>
      <c r="O62" s="25"/>
      <c r="P62" s="377">
        <f t="shared" si="44"/>
        <v>0.95</v>
      </c>
      <c r="Q62" s="377">
        <f t="shared" si="44"/>
        <v>0.95</v>
      </c>
      <c r="R62" s="377">
        <f t="shared" si="44"/>
        <v>0.95</v>
      </c>
      <c r="S62" s="377">
        <f t="shared" si="44"/>
        <v>0.95</v>
      </c>
      <c r="T62" s="208"/>
      <c r="U62" s="280"/>
      <c r="V62" s="682">
        <f>IF($G$16=1,AO62,IF($G$16=2,AO62,IF($G$16=3,BA62,AO62)))</f>
        <v>0.43401280593729746</v>
      </c>
      <c r="W62" s="280">
        <f>IF($G$16=1,AP62,IF($G$16=2,AP62,IF($G$16=3,BB62,AP62)))</f>
        <v>0.45412919380076738</v>
      </c>
      <c r="X62" s="50">
        <f>$V$32*W62+(1-$V$32)*Y62</f>
        <v>0.46474940928047281</v>
      </c>
      <c r="Y62" s="280">
        <f>IF($G$16=1,AQ62,IF($G$16=2,AQ62,IF($G$16=3,BC62,AQ62)))</f>
        <v>0.48244976841331527</v>
      </c>
      <c r="Z62" s="50">
        <f>$V$32*Y62+(1-$V$32)*AA62</f>
        <v>0.63903110525832207</v>
      </c>
      <c r="AA62" s="280">
        <f>IF($G$16=1,AR62,IF($G$16=2,AR62,IF($G$16=3,BD62,AR62)))</f>
        <v>0.9</v>
      </c>
      <c r="AB62" s="50">
        <f>$V$32*AA62+(1-$V$32)*AC62</f>
        <v>0.9</v>
      </c>
      <c r="AC62" s="280">
        <f>IF($G$16=1,AS62,IF($G$16=2,AS62,IF($G$16=3,BE62,AS62)))</f>
        <v>0.9</v>
      </c>
      <c r="AD62" s="280"/>
      <c r="AE62" s="682">
        <f>IF($G$16=1,AU62,IF($G$16=2,AU62,IF($G$16=3,#REF!,AU62)))</f>
        <v>0.43291280593729747</v>
      </c>
      <c r="AF62" s="280">
        <f>IF($G$16=1,AV62,IF($G$16=2,AV62,IF($G$16=3,#REF!,AV62)))</f>
        <v>0.45212919380076738</v>
      </c>
      <c r="AG62" s="50">
        <f>$V$32*AF62+(1-$V$32)*AH62</f>
        <v>0.46274940928047281</v>
      </c>
      <c r="AH62" s="280">
        <f>IF($G$16=1,AW62,IF($G$16=2,AW62,IF($G$16=3,BH62,AW62)))</f>
        <v>0.48044976841331527</v>
      </c>
      <c r="AI62" s="50">
        <f>$V$32*AH62+(1-$V$32)*AJ62</f>
        <v>0.4910699838930207</v>
      </c>
      <c r="AJ62" s="280">
        <f>IF($G$16=1,AX62,IF($G$16=2,AX62,IF($G$16=3,BI62,AX62)))</f>
        <v>0.50877034302586321</v>
      </c>
      <c r="AK62" s="50">
        <f>$V$32*AJ62+(1-$V$32)*AL62</f>
        <v>0.5193905585055687</v>
      </c>
      <c r="AL62" s="280">
        <f>IF($G$16=1,AY62,IF($G$16=2,AY62,IF($G$16=3,BJ62,AY62)))</f>
        <v>0.53709091763841121</v>
      </c>
      <c r="AO62" s="140">
        <f>(IFERROR(IF(N62/(SUMIF(RES!$D$39:$D$145,D62,$N$39:$N$145))=1,1,(N62/(SUMIF(RES!$D$39:$D$145,D62,$N$39:$N$145))+$AO$28)),0))</f>
        <v>0.43401280593729746</v>
      </c>
      <c r="AP62" s="297">
        <f>$AO62*(1+'Census 2011_17'!B$20)+$AO$28+AP38</f>
        <v>0.45412919380076738</v>
      </c>
      <c r="AQ62" s="297">
        <f>$AO62*(1+'Census 2011_17'!C$20)+$AO$28+AQ38</f>
        <v>0.48244976841331527</v>
      </c>
      <c r="AR62" s="459">
        <v>0.9</v>
      </c>
      <c r="AS62" s="459">
        <v>0.9</v>
      </c>
      <c r="AT62" s="21"/>
      <c r="AU62" s="198">
        <f>(IFERROR(IF($N62/(SUMIF(RES!$D$39:$D$145,$D62,$N$39:$N$145))=1,1,($N62/(SUMIF(RES!$D$39:$D$145,$D62,$N$39:$N$145))-$AU$28)),0))</f>
        <v>0.43291280593729747</v>
      </c>
      <c r="AV62" s="297">
        <f>$AO62*(1+'Census 2011_17'!B$20)-$AO$28</f>
        <v>0.45212919380076738</v>
      </c>
      <c r="AW62" s="297">
        <f>$AO62*(1+'Census 2011_17'!C$20)-$AO$28</f>
        <v>0.48044976841331527</v>
      </c>
      <c r="AX62" s="297">
        <f>$AO62*(1+'Census 2011_17'!D$20)-$AO$28</f>
        <v>0.50877034302586321</v>
      </c>
      <c r="AY62" s="297">
        <f>$AO62*(1+'Census 2011_17'!E$20)-$AO$28</f>
        <v>0.53709091763841121</v>
      </c>
      <c r="AZ62" s="125"/>
      <c r="BA62" s="140"/>
      <c r="BB62" s="140">
        <f t="shared" si="34"/>
        <v>0.45412919380076738</v>
      </c>
      <c r="BC62" s="140">
        <f t="shared" si="35"/>
        <v>0.48244976841331527</v>
      </c>
      <c r="BD62" s="140">
        <f t="shared" si="36"/>
        <v>0.9</v>
      </c>
      <c r="BE62" s="140">
        <f t="shared" si="37"/>
        <v>0.9</v>
      </c>
      <c r="BF62" s="21" t="str">
        <f t="shared" si="38"/>
        <v/>
      </c>
      <c r="BG62" s="172"/>
      <c r="BH62" s="140">
        <f t="shared" si="22"/>
        <v>0.48044976841331527</v>
      </c>
      <c r="BI62" s="140">
        <f t="shared" si="23"/>
        <v>0.50877034302586321</v>
      </c>
      <c r="BJ62" s="140">
        <f t="shared" si="24"/>
        <v>0.53709091763841121</v>
      </c>
      <c r="BK62" s="125" t="str">
        <f t="shared" si="25"/>
        <v/>
      </c>
      <c r="BL62" s="183" t="s">
        <v>517</v>
      </c>
      <c r="BM62" s="527">
        <f>E62</f>
        <v>0.95</v>
      </c>
      <c r="BN62" s="377">
        <f>E62</f>
        <v>0.95</v>
      </c>
      <c r="BO62" s="377">
        <f>IF($BL62="","",($BQ62-$BN62)*1/3+$BN62)</f>
        <v>0.95</v>
      </c>
      <c r="BP62" s="377">
        <f>IF($BL62="","",($BQ62-$BN62)*2/3+$BN62)</f>
        <v>0.95</v>
      </c>
      <c r="BQ62" s="377">
        <f>IF($BL62="","",IF($BL62="*",$BM62*(1+$BN$29),E62))</f>
        <v>0.95</v>
      </c>
      <c r="BR62" s="183" t="s">
        <v>517</v>
      </c>
    </row>
    <row r="63" spans="1:3723" ht="15" outlineLevel="1">
      <c r="A63" s="108" t="s">
        <v>996</v>
      </c>
      <c r="B63" s="30" t="s">
        <v>349</v>
      </c>
      <c r="C63" s="43" t="s">
        <v>245</v>
      </c>
      <c r="D63" s="43" t="s">
        <v>258</v>
      </c>
      <c r="E63" s="517">
        <v>0.11</v>
      </c>
      <c r="F63" s="600">
        <v>1</v>
      </c>
      <c r="G63" s="600">
        <v>1</v>
      </c>
      <c r="H63" s="600">
        <f>N63/F63*(1+$D$31)</f>
        <v>1.0329443830208256</v>
      </c>
      <c r="I63" s="628">
        <v>1E-3</v>
      </c>
      <c r="J63" s="517"/>
      <c r="K63" s="48"/>
      <c r="L63" s="516">
        <v>1</v>
      </c>
      <c r="M63" s="516">
        <f>IF(C63="","",SUMIFS(Energy_Balance!I$55:I$160,Energy_Balance!$C$55:$C$160,C63,Energy_Balance!$D$55:$D$160,D63)*L63)</f>
        <v>9.3904034820075051</v>
      </c>
      <c r="N63" s="516">
        <f t="shared" si="28"/>
        <v>1.0329443830208256</v>
      </c>
      <c r="O63" s="25"/>
      <c r="P63" s="377">
        <f t="shared" si="44"/>
        <v>0.11</v>
      </c>
      <c r="Q63" s="377">
        <f t="shared" si="44"/>
        <v>0.11</v>
      </c>
      <c r="R63" s="377">
        <f t="shared" si="44"/>
        <v>0.11</v>
      </c>
      <c r="S63" s="377">
        <f t="shared" si="44"/>
        <v>0.11</v>
      </c>
      <c r="T63" s="208"/>
      <c r="U63" s="280"/>
      <c r="V63" s="682">
        <f>IF($G$16=1,AO63,IF($G$16=2,AO63,IF($G$16=3,BA63,AO63)))</f>
        <v>0.21801926629250976</v>
      </c>
      <c r="W63" s="280">
        <f>IF($G$16=1,AP63,IF($G$16=2,AP63,IF($G$16=3,BB63,AP63)))</f>
        <v>0.21801926629250976</v>
      </c>
      <c r="X63" s="50">
        <f>$V$32*W63+(1-$V$32)*Y63</f>
        <v>0.21801926629250973</v>
      </c>
      <c r="Y63" s="280">
        <f>IF($G$16=1,AQ63,IF($G$16=2,AQ63,IF($G$16=3,BC63,AQ63)))</f>
        <v>0.21801926629250976</v>
      </c>
      <c r="Z63" s="50">
        <f>$V$32*Y63+(1-$V$32)*AA63</f>
        <v>0.21801926629250973</v>
      </c>
      <c r="AA63" s="280">
        <f>IF($G$16=1,AR63,IF($G$16=2,AR63,IF($G$16=3,BD63,AR63)))</f>
        <v>0.21801926629250976</v>
      </c>
      <c r="AB63" s="50">
        <f>$V$32*AA63+(1-$V$32)*AC63</f>
        <v>0.21801926629250973</v>
      </c>
      <c r="AC63" s="280">
        <f>IF($G$16=1,AS63,IF($G$16=2,AS63,IF($G$16=3,BE63,AS63)))</f>
        <v>0.21801926629250976</v>
      </c>
      <c r="AD63" s="280"/>
      <c r="AE63" s="682">
        <f>IF($G$16=1,AU63,IF($G$16=2,AU63,IF($G$16=3,#REF!,AU63)))</f>
        <v>0.21691926629250977</v>
      </c>
      <c r="AF63" s="280">
        <f>IF($G$16=1,AV63,IF($G$16=2,AV63,IF($G$16=3,#REF!,AV63)))</f>
        <v>0.20952549721911051</v>
      </c>
      <c r="AG63" s="50">
        <f>$V$32*AF63+(1-$V$32)*AH63</f>
        <v>0.20547340328944427</v>
      </c>
      <c r="AH63" s="280">
        <f>IF($G$16=1,AW63,IF($G$16=2,AW63,IF($G$16=3,BH63,AW63)))</f>
        <v>0.1987199134066672</v>
      </c>
      <c r="AI63" s="50">
        <f>$V$32*AH63+(1-$V$32)*AJ63</f>
        <v>0.19466781947700096</v>
      </c>
      <c r="AJ63" s="280">
        <f>IF($G$16=1,AX63,IF($G$16=2,AX63,IF($G$16=3,BI63,AX63)))</f>
        <v>0.18791432959422386</v>
      </c>
      <c r="AK63" s="50">
        <f>$V$32*AJ63+(1-$V$32)*AL63</f>
        <v>0.18386223566455762</v>
      </c>
      <c r="AL63" s="280">
        <f>IF($G$16=1,AY63,IF($G$16=2,AY63,IF($G$16=3,BJ63,AY63)))</f>
        <v>0.17710874578178054</v>
      </c>
      <c r="AO63" s="140">
        <f>(IFERROR(IF(N63/(SUMIF(RES!$D$39:$D$145,D63,$N$39:$N$145))=1,1,(N63/(SUMIF(RES!$D$39:$D$145,D63,$N$39:$N$145))+$AO$28)),0))</f>
        <v>0.21801926629250976</v>
      </c>
      <c r="AP63" s="140">
        <f t="shared" si="45"/>
        <v>0.21801926629250976</v>
      </c>
      <c r="AQ63" s="140">
        <f t="shared" si="45"/>
        <v>0.21801926629250976</v>
      </c>
      <c r="AR63" s="140">
        <f t="shared" ref="AR63:AR65" si="49">AQ63</f>
        <v>0.21801926629250976</v>
      </c>
      <c r="AS63" s="140">
        <f t="shared" ref="AS63:AS65" si="50">AR63</f>
        <v>0.21801926629250976</v>
      </c>
      <c r="AT63" s="21"/>
      <c r="AU63" s="198">
        <f>(IFERROR(IF($N63/(SUMIF(RES!$D$39:$D$145,$D63,$N$39:$N$145))=1,1,($N63/(SUMIF(RES!$D$39:$D$145,$D63,$N$39:$N$145))-$AU$28)),0))</f>
        <v>0.21691926629250977</v>
      </c>
      <c r="AV63" s="297">
        <f>$AU63-RES!$AU$59*'Census 2011_17'!B$20*RES!$AU63/(1-RES!$AU$59)-$AU$28</f>
        <v>0.20952549721911051</v>
      </c>
      <c r="AW63" s="297">
        <f>$AU63-RES!$AU$59*'Census 2011_17'!C$20*RES!$AU63/(1-RES!$AU$59)-$AU$28</f>
        <v>0.1987199134066672</v>
      </c>
      <c r="AX63" s="297">
        <f>$AU63-RES!$AU$59*'Census 2011_17'!D$20*RES!$AU63/(1-RES!$AU$59)-$AU$28</f>
        <v>0.18791432959422386</v>
      </c>
      <c r="AY63" s="297">
        <f>$AU63-RES!$AU$59*'Census 2011_17'!E$20*RES!$AU63/(1-RES!$AU$59)-$AU$28</f>
        <v>0.17710874578178054</v>
      </c>
      <c r="AZ63" s="125"/>
      <c r="BA63" s="140"/>
      <c r="BB63" s="297">
        <f t="shared" si="34"/>
        <v>0.21801926629250976</v>
      </c>
      <c r="BC63" s="297">
        <f t="shared" si="35"/>
        <v>0.21801926629250976</v>
      </c>
      <c r="BD63" s="297">
        <f t="shared" si="36"/>
        <v>0.21801926629250976</v>
      </c>
      <c r="BE63" s="297">
        <f t="shared" si="37"/>
        <v>0.21801926629250976</v>
      </c>
      <c r="BF63" s="21" t="str">
        <f t="shared" si="38"/>
        <v/>
      </c>
      <c r="BG63" s="172"/>
      <c r="BH63" s="140">
        <f t="shared" ref="BH63:BH87" si="51">IF(AW63="","",AW63)</f>
        <v>0.1987199134066672</v>
      </c>
      <c r="BI63" s="140">
        <f t="shared" ref="BI63:BI87" si="52">IF(AX63="","",AX63)</f>
        <v>0.18791432959422386</v>
      </c>
      <c r="BJ63" s="140">
        <f t="shared" ref="BJ63:BJ87" si="53">IF(AY63="","",AY63)</f>
        <v>0.17710874578178054</v>
      </c>
      <c r="BK63" s="125" t="str">
        <f t="shared" ref="BK63:BK87" si="54">IF(AZ63="","",AZ63)</f>
        <v/>
      </c>
      <c r="BL63" s="183" t="s">
        <v>517</v>
      </c>
      <c r="BM63" s="527">
        <f>E63</f>
        <v>0.11</v>
      </c>
      <c r="BN63" s="377">
        <f>E63</f>
        <v>0.11</v>
      </c>
      <c r="BO63" s="377">
        <f>IF($BL63="","",($BQ63-$BN63)*1/3+$BN63)</f>
        <v>0.11</v>
      </c>
      <c r="BP63" s="377">
        <f>IF($BL63="","",($BQ63-$BN63)*2/3+$BN63)</f>
        <v>0.11</v>
      </c>
      <c r="BQ63" s="377">
        <f>IF($BL63="","",IF($BL63="*",$BM63*(1+$BN$29),E63))</f>
        <v>0.11</v>
      </c>
      <c r="BR63" s="183" t="s">
        <v>517</v>
      </c>
    </row>
    <row r="64" spans="1:3723" s="14" customFormat="1" ht="15.35" outlineLevel="1">
      <c r="A64" s="251" t="s">
        <v>997</v>
      </c>
      <c r="B64" s="251" t="s">
        <v>395</v>
      </c>
      <c r="C64" s="252" t="s">
        <v>246</v>
      </c>
      <c r="D64" s="252" t="s">
        <v>258</v>
      </c>
      <c r="E64" s="517">
        <v>0.11</v>
      </c>
      <c r="F64" s="600">
        <v>1</v>
      </c>
      <c r="G64" s="600">
        <v>1</v>
      </c>
      <c r="H64" s="600">
        <f>N64/F64*(1+$D$31)</f>
        <v>6.1013249681946165E-2</v>
      </c>
      <c r="I64" s="628">
        <v>1E-3</v>
      </c>
      <c r="J64" s="517"/>
      <c r="K64" s="48"/>
      <c r="L64" s="516">
        <v>1</v>
      </c>
      <c r="M64" s="516">
        <f>IF(C64="","",SUMIFS(Energy_Balance!I$55:I$160,Energy_Balance!$C$55:$C$160,C64,Energy_Balance!$D$55:$D$160,D64)*L64)</f>
        <v>0.55466590619951062</v>
      </c>
      <c r="N64" s="516">
        <f t="shared" si="28"/>
        <v>6.1013249681946165E-2</v>
      </c>
      <c r="O64" s="25"/>
      <c r="P64" s="377">
        <f t="shared" si="44"/>
        <v>0.11</v>
      </c>
      <c r="Q64" s="377">
        <f t="shared" si="44"/>
        <v>0.11</v>
      </c>
      <c r="R64" s="377">
        <f t="shared" si="44"/>
        <v>0.11</v>
      </c>
      <c r="S64" s="377">
        <f t="shared" si="44"/>
        <v>0.11</v>
      </c>
      <c r="T64" s="208"/>
      <c r="U64" s="280"/>
      <c r="V64" s="682">
        <f>IF($G$16=1,AO64,IF($G$16=2,AO64,IF($G$16=3,BA64,AO64)))</f>
        <v>1.3818745033856002E-2</v>
      </c>
      <c r="W64" s="280">
        <f>IF($G$16=1,AP64,IF($G$16=2,AP64,IF($G$16=3,BB64,AP64)))</f>
        <v>1.3818745033856002E-2</v>
      </c>
      <c r="X64" s="50">
        <f>$V$32*W64+(1-$V$32)*Y64</f>
        <v>1.3818745033856002E-2</v>
      </c>
      <c r="Y64" s="280">
        <f>IF($G$16=1,AQ64,IF($G$16=2,AQ64,IF($G$16=3,BC64,AQ64)))</f>
        <v>1.3818745033856002E-2</v>
      </c>
      <c r="Z64" s="50">
        <f>$V$32*Y64+(1-$V$32)*AA64</f>
        <v>1.3818745033856002E-2</v>
      </c>
      <c r="AA64" s="280">
        <f>IF($G$16=1,AR64,IF($G$16=2,AR64,IF($G$16=3,BD64,AR64)))</f>
        <v>1.3818745033856002E-2</v>
      </c>
      <c r="AB64" s="50">
        <f>$V$32*AA64+(1-$V$32)*AC64</f>
        <v>1.3818745033856002E-2</v>
      </c>
      <c r="AC64" s="280">
        <f>IF($G$16=1,AS64,IF($G$16=2,AS64,IF($G$16=3,BE64,AS64)))</f>
        <v>1.3818745033856002E-2</v>
      </c>
      <c r="AD64" s="280"/>
      <c r="AE64" s="682">
        <f>IF($G$16=1,AU64,IF($G$16=2,AU64,IF($G$16=3,#REF!,AU64)))</f>
        <v>1.3718745033856002E-2</v>
      </c>
      <c r="AF64" s="280">
        <f>IF($G$16=1,AV64,IF($G$16=2,AV64,IF($G$16=3,#REF!,AV64)))</f>
        <v>1.3157461165604031E-2</v>
      </c>
      <c r="AG64" s="50">
        <f>$V$32*AF64+(1-$V$32)*AH64</f>
        <v>1.2901192349908492E-2</v>
      </c>
      <c r="AH64" s="280">
        <f>IF($G$16=1,AW64,IF($G$16=2,AW64,IF($G$16=3,BH64,AW64)))</f>
        <v>1.2474077657082592E-2</v>
      </c>
      <c r="AI64" s="50">
        <f>$V$32*AH64+(1-$V$32)*AJ64</f>
        <v>7.7962985356766195E-3</v>
      </c>
      <c r="AJ64" s="280">
        <f>IF($G$16=1,AX64,IF($G$16=2,AX64,IF($G$16=3,BI64,AX64)))</f>
        <v>0</v>
      </c>
      <c r="AK64" s="50">
        <f>$V$32*AJ64+(1-$V$32)*AL64</f>
        <v>0</v>
      </c>
      <c r="AL64" s="280">
        <f>IF($G$16=1,AY64,IF($G$16=2,AY64,IF($G$16=3,BJ64,AY64)))</f>
        <v>0</v>
      </c>
      <c r="AM64"/>
      <c r="AN64"/>
      <c r="AO64" s="297">
        <f>(IFERROR(IF(N64/(SUMIF(RES!$D$39:$D$145,D64,$N$39:$N$145))=1,1,(N64/(SUMIF(RES!$D$39:$D$145,D64,$N$39:$N$145))+$AO$28)),0))</f>
        <v>1.3818745033856002E-2</v>
      </c>
      <c r="AP64" s="297">
        <f t="shared" si="45"/>
        <v>1.3818745033856002E-2</v>
      </c>
      <c r="AQ64" s="297">
        <f t="shared" si="45"/>
        <v>1.3818745033856002E-2</v>
      </c>
      <c r="AR64" s="297">
        <f t="shared" si="49"/>
        <v>1.3818745033856002E-2</v>
      </c>
      <c r="AS64" s="297">
        <f t="shared" si="50"/>
        <v>1.3818745033856002E-2</v>
      </c>
      <c r="AT64" s="133"/>
      <c r="AU64" s="198">
        <f>AO64-AU$28</f>
        <v>1.3718745033856002E-2</v>
      </c>
      <c r="AV64" s="297">
        <f>$AU64-RES!$AU$59*'Census 2011_17'!B$20*RES!$AU64/(1-RES!$AU$59)-$AU$28</f>
        <v>1.3157461165604031E-2</v>
      </c>
      <c r="AW64" s="297">
        <f>$AU64-RES!$AU$59*'Census 2011_17'!C$20*RES!$AU64/(1-RES!$AU$59)-$AU$28</f>
        <v>1.2474077657082592E-2</v>
      </c>
      <c r="AX64" s="459">
        <v>0</v>
      </c>
      <c r="AY64" s="459">
        <v>0</v>
      </c>
      <c r="AZ64" s="255"/>
      <c r="BA64" s="140"/>
      <c r="BB64" s="297">
        <f t="shared" si="34"/>
        <v>1.3818745033856002E-2</v>
      </c>
      <c r="BC64" s="297">
        <f t="shared" si="35"/>
        <v>1.3818745033856002E-2</v>
      </c>
      <c r="BD64" s="297">
        <f t="shared" si="36"/>
        <v>1.3818745033856002E-2</v>
      </c>
      <c r="BE64" s="297">
        <f t="shared" si="37"/>
        <v>1.3818745033856002E-2</v>
      </c>
      <c r="BF64" s="133" t="str">
        <f t="shared" si="38"/>
        <v/>
      </c>
      <c r="BG64" s="254"/>
      <c r="BH64" s="253">
        <f t="shared" si="51"/>
        <v>1.2474077657082592E-2</v>
      </c>
      <c r="BI64" s="253">
        <f t="shared" si="52"/>
        <v>0</v>
      </c>
      <c r="BJ64" s="253">
        <f t="shared" si="53"/>
        <v>0</v>
      </c>
      <c r="BK64" s="255" t="str">
        <f t="shared" si="54"/>
        <v/>
      </c>
      <c r="BL64" s="183" t="s">
        <v>517</v>
      </c>
      <c r="BM64" s="527">
        <f>E64</f>
        <v>0.11</v>
      </c>
      <c r="BN64" s="377">
        <f>E64</f>
        <v>0.11</v>
      </c>
      <c r="BO64" s="377">
        <f>IF($BL64="","",($BQ64-$BN64)*1/3+$BN64)</f>
        <v>0.11</v>
      </c>
      <c r="BP64" s="377">
        <f>IF($BL64="","",($BQ64-$BN64)*2/3+$BN64)</f>
        <v>0.11</v>
      </c>
      <c r="BQ64" s="377">
        <f>IF($BL64="","",IF($BL64="*",$BM64*(1+$BN$29),E64))</f>
        <v>0.11</v>
      </c>
      <c r="BR64" s="183" t="s">
        <v>517</v>
      </c>
      <c r="BS64"/>
      <c r="BT64"/>
      <c r="BU64"/>
      <c r="BV64"/>
      <c r="BW64"/>
      <c r="BX64"/>
      <c r="BY64"/>
      <c r="BZ64"/>
      <c r="CA64"/>
      <c r="CB64"/>
      <c r="CC64"/>
      <c r="CD64"/>
      <c r="CE64"/>
      <c r="CF64"/>
    </row>
    <row r="65" spans="1:3723" ht="15.35" outlineLevel="1">
      <c r="A65" s="108" t="s">
        <v>998</v>
      </c>
      <c r="B65" s="30" t="s">
        <v>350</v>
      </c>
      <c r="C65" s="43" t="s">
        <v>243</v>
      </c>
      <c r="D65" s="43" t="s">
        <v>258</v>
      </c>
      <c r="E65" s="517">
        <v>0.61</v>
      </c>
      <c r="F65" s="600">
        <v>1</v>
      </c>
      <c r="G65" s="600">
        <v>1</v>
      </c>
      <c r="H65" s="600">
        <f>N65/F65*(1+$D$31)</f>
        <v>0.35637160612133489</v>
      </c>
      <c r="I65" s="628">
        <v>1E-3</v>
      </c>
      <c r="J65" s="517"/>
      <c r="K65" s="48"/>
      <c r="L65" s="516">
        <v>1</v>
      </c>
      <c r="M65" s="516">
        <f>IF(C65="","",SUMIFS(Energy_Balance!I$55:I$160,Energy_Balance!$C$55:$C$160,C65,Energy_Balance!$D$55:$D$160,D65)*L65)</f>
        <v>0.58421574773989327</v>
      </c>
      <c r="N65" s="516">
        <f t="shared" si="28"/>
        <v>0.35637160612133489</v>
      </c>
      <c r="O65" s="25"/>
      <c r="P65" s="377">
        <f t="shared" si="44"/>
        <v>0.61</v>
      </c>
      <c r="Q65" s="377">
        <f t="shared" si="44"/>
        <v>0.61</v>
      </c>
      <c r="R65" s="377">
        <f t="shared" si="44"/>
        <v>0.61</v>
      </c>
      <c r="S65" s="377">
        <f t="shared" si="44"/>
        <v>0.61</v>
      </c>
      <c r="T65" s="208"/>
      <c r="U65" s="280"/>
      <c r="V65" s="682">
        <f>IF($G$16=1,AO65,IF($G$16=2,AO65,IF($G$16=3,BA65,AO65)))</f>
        <v>7.5872864172761664E-2</v>
      </c>
      <c r="W65" s="280">
        <f>IF($G$16=1,AP65,IF($G$16=2,AP65,IF($G$16=3,BB65,AP65)))</f>
        <v>7.5872864172761664E-2</v>
      </c>
      <c r="X65" s="50">
        <f>$V$32*W65+(1-$V$32)*Y65</f>
        <v>7.5872864172761664E-2</v>
      </c>
      <c r="Y65" s="280">
        <f>IF($G$16=1,AQ65,IF($G$16=2,AQ65,IF($G$16=3,BC65,AQ65)))</f>
        <v>7.5872864172761664E-2</v>
      </c>
      <c r="Z65" s="50">
        <f>$V$32*Y65+(1-$V$32)*AA65</f>
        <v>7.5872864172761664E-2</v>
      </c>
      <c r="AA65" s="280">
        <f>IF($G$16=1,AR65,IF($G$16=2,AR65,IF($G$16=3,BD65,AR65)))</f>
        <v>7.5872864172761664E-2</v>
      </c>
      <c r="AB65" s="50">
        <f>$V$32*AA65+(1-$V$32)*AC65</f>
        <v>7.5872864172761664E-2</v>
      </c>
      <c r="AC65" s="280">
        <f>IF($G$16=1,AS65,IF($G$16=2,AS65,IF($G$16=3,BE65,AS65)))</f>
        <v>7.5872864172761664E-2</v>
      </c>
      <c r="AD65" s="280"/>
      <c r="AE65" s="682">
        <f>IF($G$16=1,AU65,IF($G$16=2,AU65,IF($G$16=3,#REF!,AU65)))</f>
        <v>7.4772864172761661E-2</v>
      </c>
      <c r="AF65" s="280">
        <f>IF($G$16=1,AV65,IF($G$16=2,AV65,IF($G$16=3,#REF!,AV65)))</f>
        <v>7.2158675306304085E-2</v>
      </c>
      <c r="AG65" s="50">
        <f>$V$32*AF65+(1-$V$32)*AH65</f>
        <v>7.0761903713827665E-2</v>
      </c>
      <c r="AH65" s="280">
        <f>IF($G$16=1,AW65,IF($G$16=2,AW65,IF($G$16=3,BH65,AW65)))</f>
        <v>6.8433951059700293E-2</v>
      </c>
      <c r="AI65" s="50">
        <f>$V$32*AH65+(1-$V$32)*AJ65</f>
        <v>4.2771219412312683E-2</v>
      </c>
      <c r="AJ65" s="280">
        <f>IF($G$16=1,AX65,IF($G$16=2,AX65,IF($G$16=3,BI65,AX65)))</f>
        <v>0</v>
      </c>
      <c r="AK65" s="50">
        <f>$V$32*AJ65+(1-$V$32)*AL65</f>
        <v>0</v>
      </c>
      <c r="AL65" s="280">
        <f>IF($G$16=1,AY65,IF($G$16=2,AY65,IF($G$16=3,BJ65,AY65)))</f>
        <v>0</v>
      </c>
      <c r="AO65" s="140">
        <f>(IFERROR(IF(N65/(SUMIF(RES!$D$39:$D$145,D65,$N$39:$N$145))=1,1,(N65/(SUMIF(RES!$D$39:$D$145,D65,$N$39:$N$145))+$AO$28)),0))</f>
        <v>7.5872864172761664E-2</v>
      </c>
      <c r="AP65" s="140">
        <f t="shared" si="45"/>
        <v>7.5872864172761664E-2</v>
      </c>
      <c r="AQ65" s="140">
        <f t="shared" si="45"/>
        <v>7.5872864172761664E-2</v>
      </c>
      <c r="AR65" s="140">
        <f t="shared" si="49"/>
        <v>7.5872864172761664E-2</v>
      </c>
      <c r="AS65" s="140">
        <f t="shared" si="50"/>
        <v>7.5872864172761664E-2</v>
      </c>
      <c r="AT65" s="21"/>
      <c r="AU65" s="198">
        <f>(IFERROR(IF($N65/(SUMIF(RES!$D$39:$D$145,$D65,$N$39:$N$145))=1,1,($N65/(SUMIF(RES!$D$39:$D$145,$D65,$N$39:$N$145))-$AU$28)),0))</f>
        <v>7.4772864172761661E-2</v>
      </c>
      <c r="AV65" s="296">
        <f>$AU65-RES!$AU$59*'Census 2011_17'!B$20*RES!$AU65/(1-RES!$AU$59)-$AU$28</f>
        <v>7.2158675306304085E-2</v>
      </c>
      <c r="AW65" s="296">
        <f>$AU65-RES!$AU$59*'Census 2011_17'!C$20*RES!$AU65/(1-RES!$AU$59)-$AU$28</f>
        <v>6.8433951059700293E-2</v>
      </c>
      <c r="AX65" s="459">
        <v>0</v>
      </c>
      <c r="AY65" s="459">
        <v>0</v>
      </c>
      <c r="AZ65" s="125"/>
      <c r="BA65" s="140"/>
      <c r="BB65" s="140">
        <f t="shared" si="34"/>
        <v>7.5872864172761664E-2</v>
      </c>
      <c r="BC65" s="140">
        <f t="shared" si="35"/>
        <v>7.5872864172761664E-2</v>
      </c>
      <c r="BD65" s="140">
        <f t="shared" si="36"/>
        <v>7.5872864172761664E-2</v>
      </c>
      <c r="BE65" s="140">
        <f t="shared" si="37"/>
        <v>7.5872864172761664E-2</v>
      </c>
      <c r="BF65" s="21" t="str">
        <f t="shared" si="38"/>
        <v/>
      </c>
      <c r="BG65" s="172"/>
      <c r="BH65" s="140">
        <f t="shared" si="51"/>
        <v>6.8433951059700293E-2</v>
      </c>
      <c r="BI65" s="140">
        <f t="shared" si="52"/>
        <v>0</v>
      </c>
      <c r="BJ65" s="140">
        <f t="shared" si="53"/>
        <v>0</v>
      </c>
      <c r="BK65" s="125" t="str">
        <f t="shared" si="54"/>
        <v/>
      </c>
      <c r="BL65" s="183" t="s">
        <v>517</v>
      </c>
      <c r="BM65" s="527">
        <f>E65</f>
        <v>0.61</v>
      </c>
      <c r="BN65" s="377">
        <f>E65</f>
        <v>0.61</v>
      </c>
      <c r="BO65" s="377">
        <f>IF($BL65="","",($BQ65-$BN65)*1/3+$BN65)</f>
        <v>0.61</v>
      </c>
      <c r="BP65" s="377">
        <f>IF($BL65="","",($BQ65-$BN65)*2/3+$BN65)</f>
        <v>0.61</v>
      </c>
      <c r="BQ65" s="377">
        <f>IF($BL65="","",IF($BL65="*",$BM65*(1+$BN$29),E65))</f>
        <v>0.61</v>
      </c>
      <c r="BR65" s="183" t="s">
        <v>517</v>
      </c>
    </row>
    <row r="66" spans="1:3723" s="195" customFormat="1" ht="15" outlineLevel="1">
      <c r="A66" s="556" t="s">
        <v>974</v>
      </c>
      <c r="B66" s="557"/>
      <c r="C66" s="558"/>
      <c r="D66" s="558"/>
      <c r="E66" s="559" t="str">
        <f>IF(D66="","",IF(COUNTIF(#REF!,$B66)=1,SUMIF(#REF!,RES!B66,#REF!),SUMIF(#REF!,RES!$B66,#REF!)))</f>
        <v/>
      </c>
      <c r="F66" s="559"/>
      <c r="G66" s="559"/>
      <c r="H66" s="559"/>
      <c r="I66" s="629"/>
      <c r="J66" s="559"/>
      <c r="K66" s="560"/>
      <c r="L66" s="561"/>
      <c r="M66" s="561">
        <f>SUM(M61:M65)</f>
        <v>15.535933776126221</v>
      </c>
      <c r="N66" s="561">
        <f>SUM(N61:N65)</f>
        <v>4.7596897762458097</v>
      </c>
      <c r="O66" s="196"/>
      <c r="P66" s="562"/>
      <c r="Q66" s="562"/>
      <c r="R66" s="562"/>
      <c r="S66" s="562"/>
      <c r="T66" s="563"/>
      <c r="U66" s="564"/>
      <c r="V66" s="564">
        <f t="shared" ref="V66:V77" si="55">IF($G$16=1,AO66,IF($G$16=2,AO66,IF($G$16=3,BB66,AO66)))</f>
        <v>1.0050000000000003</v>
      </c>
      <c r="W66" s="564"/>
      <c r="X66" s="564"/>
      <c r="Y66" s="564"/>
      <c r="Z66" s="564"/>
      <c r="AA66" s="564"/>
      <c r="AB66" s="564"/>
      <c r="AC66" s="564"/>
      <c r="AD66" s="564"/>
      <c r="AE66" s="564">
        <f t="shared" ref="AE66:AE77" si="56">IF($G$16=1,AU66,IF($G$16=2,AU66,IF($G$16=3,BH66,AU66)))</f>
        <v>1.0004999999999999</v>
      </c>
      <c r="AF66" s="564"/>
      <c r="AG66" s="564"/>
      <c r="AH66" s="564"/>
      <c r="AI66" s="564"/>
      <c r="AJ66" s="564"/>
      <c r="AK66" s="564"/>
      <c r="AL66" s="564"/>
      <c r="AO66" s="566">
        <f>SUM(AO59:AO65)-AO62</f>
        <v>1.0050000000000003</v>
      </c>
      <c r="AP66" s="566">
        <f t="shared" ref="AP66:AS66" si="57">SUM(AP59:AP65)-AP62</f>
        <v>1.0311163878634702</v>
      </c>
      <c r="AQ66" s="566">
        <f t="shared" si="57"/>
        <v>1.059436962476018</v>
      </c>
      <c r="AR66" s="566">
        <f t="shared" si="57"/>
        <v>1.4769871940627031</v>
      </c>
      <c r="AS66" s="566">
        <f t="shared" si="57"/>
        <v>1.4769871940627031</v>
      </c>
      <c r="AT66" s="567"/>
      <c r="AU66" s="566">
        <f>SUM(AU59:AU65)-AU62</f>
        <v>1.0004999999999999</v>
      </c>
      <c r="AV66" s="566">
        <f t="shared" ref="AV66:AY66" si="58">SUM(AV59:AV65)-AV62</f>
        <v>1.0002316380702934</v>
      </c>
      <c r="AW66" s="566">
        <f t="shared" si="58"/>
        <v>1.0002785092855426</v>
      </c>
      <c r="AX66" s="566">
        <f t="shared" si="58"/>
        <v>0.69668467262008704</v>
      </c>
      <c r="AY66" s="566">
        <f t="shared" si="58"/>
        <v>0.71419966342019181</v>
      </c>
      <c r="AZ66" s="568"/>
      <c r="BA66" s="566"/>
      <c r="BB66" s="566">
        <f t="shared" si="34"/>
        <v>1.0311163878634702</v>
      </c>
      <c r="BC66" s="566">
        <f t="shared" si="35"/>
        <v>1.059436962476018</v>
      </c>
      <c r="BD66" s="566">
        <f t="shared" si="36"/>
        <v>1.4769871940627031</v>
      </c>
      <c r="BE66" s="566">
        <f t="shared" si="37"/>
        <v>1.4769871940627031</v>
      </c>
      <c r="BF66" s="567" t="str">
        <f t="shared" si="38"/>
        <v/>
      </c>
      <c r="BG66" s="569"/>
      <c r="BH66" s="569">
        <f t="shared" si="51"/>
        <v>1.0002785092855426</v>
      </c>
      <c r="BI66" s="569">
        <f t="shared" si="52"/>
        <v>0.69668467262008704</v>
      </c>
      <c r="BJ66" s="569">
        <f t="shared" si="53"/>
        <v>0.71419966342019181</v>
      </c>
      <c r="BK66" s="568" t="str">
        <f t="shared" si="54"/>
        <v/>
      </c>
      <c r="BN66" s="562" t="str">
        <f>IF($BL66="","",($BP66-$BM66)*5/25+$BM66)</f>
        <v/>
      </c>
      <c r="BO66" s="562" t="str">
        <f>IF($BL66="","",($BP66-$BM66)*15/25+$BM66)</f>
        <v/>
      </c>
      <c r="BP66" s="562" t="str">
        <f>IF($BL66="","",IF($BL66="*",$BM66*(1+$BN$29),E66))</f>
        <v/>
      </c>
      <c r="BQ66" s="562" t="str">
        <f>IF(G66="","",IF(COUNTIF(#REF!,$B66)=1,SUMIF(#REF!,RES!$B66,#REF!),SUMIF(#REF!,RES!$B66,#REF!)))</f>
        <v/>
      </c>
    </row>
    <row r="67" spans="1:3723" s="237" customFormat="1" ht="15">
      <c r="A67" s="577" t="s">
        <v>999</v>
      </c>
      <c r="B67" s="578" t="s">
        <v>334</v>
      </c>
      <c r="C67" s="588"/>
      <c r="D67" s="588"/>
      <c r="E67" s="590" t="str">
        <f>IF(D67="","",IF(COUNTIF(#REF!,$B67)=1,SUMIF(#REF!,RES!B67,#REF!),SUMIF(#REF!,RES!$B67,#REF!)))</f>
        <v/>
      </c>
      <c r="F67" s="590"/>
      <c r="G67" s="590"/>
      <c r="H67" s="590"/>
      <c r="I67" s="630"/>
      <c r="J67" s="590"/>
      <c r="K67" s="579"/>
      <c r="L67" s="592"/>
      <c r="M67" s="592"/>
      <c r="N67" s="592"/>
      <c r="O67" s="584"/>
      <c r="P67" s="593"/>
      <c r="Q67" s="593"/>
      <c r="R67" s="593"/>
      <c r="S67" s="593"/>
      <c r="T67" s="594"/>
      <c r="U67" s="595"/>
      <c r="V67" s="595">
        <f t="shared" si="55"/>
        <v>0</v>
      </c>
      <c r="W67" s="595"/>
      <c r="X67" s="595"/>
      <c r="Y67" s="595"/>
      <c r="Z67" s="595"/>
      <c r="AA67" s="595"/>
      <c r="AB67" s="595"/>
      <c r="AC67" s="595"/>
      <c r="AD67" s="595"/>
      <c r="AE67" s="595">
        <f t="shared" si="56"/>
        <v>0</v>
      </c>
      <c r="AF67" s="595"/>
      <c r="AG67" s="595"/>
      <c r="AH67" s="595"/>
      <c r="AI67" s="595"/>
      <c r="AJ67" s="595"/>
      <c r="AK67" s="595"/>
      <c r="AL67" s="595"/>
      <c r="AO67" s="596"/>
      <c r="AP67" s="596"/>
      <c r="AQ67" s="596"/>
      <c r="AR67" s="596"/>
      <c r="AS67" s="596"/>
      <c r="AT67" s="586"/>
      <c r="AU67" s="596"/>
      <c r="AV67" s="596"/>
      <c r="AW67" s="596"/>
      <c r="AX67" s="596"/>
      <c r="AY67" s="596"/>
      <c r="AZ67" s="587"/>
      <c r="BA67" s="596"/>
      <c r="BB67" s="596" t="str">
        <f t="shared" si="34"/>
        <v/>
      </c>
      <c r="BC67" s="596" t="str">
        <f t="shared" si="35"/>
        <v/>
      </c>
      <c r="BD67" s="596" t="str">
        <f t="shared" si="36"/>
        <v/>
      </c>
      <c r="BE67" s="596" t="str">
        <f t="shared" si="37"/>
        <v/>
      </c>
      <c r="BF67" s="586" t="str">
        <f t="shared" si="38"/>
        <v/>
      </c>
      <c r="BG67" s="596"/>
      <c r="BH67" s="596" t="str">
        <f t="shared" si="51"/>
        <v/>
      </c>
      <c r="BI67" s="596" t="str">
        <f t="shared" si="52"/>
        <v/>
      </c>
      <c r="BJ67" s="596" t="str">
        <f t="shared" si="53"/>
        <v/>
      </c>
      <c r="BK67" s="587" t="str">
        <f t="shared" si="54"/>
        <v/>
      </c>
      <c r="BL67" s="586"/>
      <c r="BN67" s="593" t="str">
        <f>IF($BL67="","",($BP67-$BM67)*5/25+$BM67)</f>
        <v/>
      </c>
      <c r="BO67" s="593" t="str">
        <f>IF($BL67="","",($BP67-$BM67)*15/25+$BM67)</f>
        <v/>
      </c>
      <c r="BP67" s="593" t="str">
        <f>IF($BL67="","",IF($BL67="*",$BM67*(1+$BN$29),E67))</f>
        <v/>
      </c>
      <c r="BQ67" s="593" t="str">
        <f>IF(G67="","",IF(COUNTIF(#REF!,$B67)=1,SUMIF(#REF!,RES!$B67,#REF!),SUMIF(#REF!,RES!$B67,#REF!)))</f>
        <v/>
      </c>
    </row>
    <row r="68" spans="1:3723" s="169" customFormat="1" ht="15" outlineLevel="1">
      <c r="A68" s="108" t="s">
        <v>1000</v>
      </c>
      <c r="B68" s="30" t="s">
        <v>351</v>
      </c>
      <c r="C68" s="43" t="s">
        <v>242</v>
      </c>
      <c r="D68" s="43" t="s">
        <v>259</v>
      </c>
      <c r="E68" s="525">
        <f>INDEX('Electrical efficiency'!$L$8:$L$23,MATCH(RES!D68,'Electrical efficiency'!$K$8:$K$23,0))</f>
        <v>0.4</v>
      </c>
      <c r="F68" s="600">
        <v>1</v>
      </c>
      <c r="G68" s="600">
        <v>1</v>
      </c>
      <c r="H68" s="600">
        <f>N68/F68*(1+$D$31)</f>
        <v>4.2989748368189522</v>
      </c>
      <c r="I68" s="628">
        <v>1E-3</v>
      </c>
      <c r="J68" s="517"/>
      <c r="K68" s="48" t="s">
        <v>931</v>
      </c>
      <c r="L68" s="516">
        <v>1</v>
      </c>
      <c r="M68" s="516">
        <f>IF(C68="","",SUMIFS(Energy_Balance!I$55:I$160,Energy_Balance!$C$55:$C$160,C68,Energy_Balance!$D$55:$D$160,D68)*L68)</f>
        <v>10.747437092047381</v>
      </c>
      <c r="N68" s="516">
        <f t="shared" si="28"/>
        <v>4.2989748368189522</v>
      </c>
      <c r="O68" s="25"/>
      <c r="P68" s="377">
        <f>IF($G$16=0,BN68,IF($G$16=1,BS68,IF($G$16=2,BX68,IF($G$16=3,BN68,IF($G$16=4,BS68,"NA")))))</f>
        <v>0.46511627906976749</v>
      </c>
      <c r="Q68" s="377">
        <f>IF($G$16=0,BO68,IF($G$16=1,BT68,IF($G$16=2,BY68,IF($G$16=3,BO68,IF($G$16=4,BT68,"NA")))))</f>
        <v>0.75471698113207542</v>
      </c>
      <c r="R68" s="377">
        <f>IF($G$16=0,BP68,IF($G$16=1,BU68,IF($G$16=2,BZ68,IF($G$16=3,BP68,IF($G$16=4,BU68,"NA")))))</f>
        <v>0.81632653061224492</v>
      </c>
      <c r="S68" s="377">
        <f>IF($G$16=0,BQ68,IF($G$16=1,BV68,IF($G$16=2,CA68,IF($G$16=3,BQ68,IF($G$16=4,BV68,"NA")))))</f>
        <v>0.81632653061224492</v>
      </c>
      <c r="T68" s="208"/>
      <c r="U68" s="50"/>
      <c r="V68" s="50">
        <f t="shared" si="55"/>
        <v>1</v>
      </c>
      <c r="W68" s="50">
        <f>IF($G$16=1,AP68,IF($G$16=2,AP68,IF($G$16=3,BB68,AP68)))</f>
        <v>1</v>
      </c>
      <c r="X68" s="50">
        <f>$V$32*W68+(1-$V$32)*Y68</f>
        <v>1</v>
      </c>
      <c r="Y68" s="50">
        <f>IF($G$16=1,AQ68,IF($G$16=2,AQ68,IF($G$16=3,BC68,AQ68)))</f>
        <v>1</v>
      </c>
      <c r="Z68" s="50">
        <f>$V$32*Y68+(1-$V$32)*AA68</f>
        <v>1</v>
      </c>
      <c r="AA68" s="50">
        <f>IF($G$16=1,AR68,IF($G$16=2,AR68,IF($G$16=3,BD68,AR68)))</f>
        <v>1</v>
      </c>
      <c r="AB68" s="50">
        <f>$V$32*AA68+(1-$V$32)*AC68</f>
        <v>1</v>
      </c>
      <c r="AC68" s="50">
        <f>IF($G$16=1,AS68,IF($G$16=2,AS68,IF($G$16=3,BE68,AS68)))</f>
        <v>1</v>
      </c>
      <c r="AD68" s="50"/>
      <c r="AE68" s="50">
        <f t="shared" si="56"/>
        <v>1</v>
      </c>
      <c r="AF68" s="50">
        <f>IF($G$16=1,AV68,IF($G$16=2,AV68,IF($G$16=3,#REF!,AV68)))</f>
        <v>1</v>
      </c>
      <c r="AG68" s="50">
        <f>$V$32*AF68+(1-$V$32)*AH68</f>
        <v>1</v>
      </c>
      <c r="AH68" s="50">
        <f>IF($G$16=1,AW68,IF($G$16=2,AW68,IF($G$16=3,BH68,AW68)))</f>
        <v>1</v>
      </c>
      <c r="AI68" s="50">
        <f>$V$32*AH68+(1-$V$32)*AJ68</f>
        <v>1</v>
      </c>
      <c r="AJ68" s="50">
        <f>IF($G$16=1,AX68,IF($G$16=2,AX68,IF($G$16=3,BI68,AX68)))</f>
        <v>1</v>
      </c>
      <c r="AK68" s="50">
        <f>$V$32*AJ68+(1-$V$32)*AL68</f>
        <v>1</v>
      </c>
      <c r="AL68" s="50">
        <f>IF($G$16=1,AY68,IF($G$16=2,AY68,IF($G$16=3,BJ68,AY68)))</f>
        <v>1</v>
      </c>
      <c r="AM68"/>
      <c r="AN68"/>
      <c r="AO68" s="140">
        <f>(IFERROR(IF(N68/(SUMIF(RES!$D$39:$D$145,D68,$N$39:$N$145))=1,1,(N68/(SUMIF(RES!$D$39:$D$145,D68,$N$39:$N$145))+$AO$28)),0))</f>
        <v>1</v>
      </c>
      <c r="AP68" s="172">
        <v>1</v>
      </c>
      <c r="AQ68" s="172">
        <v>1</v>
      </c>
      <c r="AR68" s="172">
        <v>1</v>
      </c>
      <c r="AS68" s="172">
        <v>1</v>
      </c>
      <c r="AT68" s="173"/>
      <c r="AU68" s="198">
        <f>(IFERROR(IF($N68/(SUMIF(RES!$D$39:$D$145,$D68,$N$39:$N$145))=1,1,($N68/(SUMIF(RES!$D$39:$D$145,$D68,$N$39:$N$145))-$AU$28)),0))</f>
        <v>1</v>
      </c>
      <c r="AV68" s="172">
        <v>1</v>
      </c>
      <c r="AW68" s="172">
        <v>1</v>
      </c>
      <c r="AX68" s="172">
        <v>1</v>
      </c>
      <c r="AY68" s="172">
        <v>1</v>
      </c>
      <c r="AZ68" s="175"/>
      <c r="BA68" s="172"/>
      <c r="BB68" s="172">
        <f t="shared" si="34"/>
        <v>1</v>
      </c>
      <c r="BC68" s="172">
        <f t="shared" si="35"/>
        <v>1</v>
      </c>
      <c r="BD68" s="172">
        <f t="shared" si="36"/>
        <v>1</v>
      </c>
      <c r="BE68" s="172">
        <f t="shared" si="37"/>
        <v>1</v>
      </c>
      <c r="BF68" s="173" t="str">
        <f t="shared" si="38"/>
        <v/>
      </c>
      <c r="BG68" s="172"/>
      <c r="BH68" s="172">
        <f t="shared" si="51"/>
        <v>1</v>
      </c>
      <c r="BI68" s="172">
        <f t="shared" si="52"/>
        <v>1</v>
      </c>
      <c r="BJ68" s="172">
        <f t="shared" si="53"/>
        <v>1</v>
      </c>
      <c r="BK68" s="175" t="str">
        <f t="shared" si="54"/>
        <v/>
      </c>
      <c r="BL68" s="257" t="s">
        <v>110</v>
      </c>
      <c r="BM68" s="527">
        <f>E68</f>
        <v>0.4</v>
      </c>
      <c r="BN68" s="377">
        <f>INDEX('Electrical efficiency'!$M$8:$M$23,MATCH(RES!D68,'Electrical efficiency'!$K$8:$K$23,0))</f>
        <v>0.46511627906976749</v>
      </c>
      <c r="BO68" s="377">
        <f>INDEX('Electrical efficiency'!$N$8:$N$23,MATCH(RES!D68,'Electrical efficiency'!$K$8:$K$23,0))</f>
        <v>0.75471698113207542</v>
      </c>
      <c r="BP68" s="377">
        <f>INDEX('Electrical efficiency'!$O$8:$O$23,MATCH(RES!D68,'Electrical efficiency'!$K$8:$K$23,0))</f>
        <v>0.81632653061224492</v>
      </c>
      <c r="BQ68" s="377">
        <f>INDEX('Electrical efficiency'!$P$8:$P$23,MATCH(RES!D68,'Electrical efficiency'!$K$8:$K$23,0))</f>
        <v>0.81632653061224492</v>
      </c>
      <c r="BR68" s="257" t="s">
        <v>110</v>
      </c>
      <c r="BS68"/>
      <c r="BT68"/>
      <c r="BU68"/>
      <c r="BV68"/>
      <c r="BW68"/>
      <c r="BX68"/>
      <c r="BY68"/>
      <c r="BZ68"/>
      <c r="CA68"/>
      <c r="CB68"/>
      <c r="CC68"/>
      <c r="CD68"/>
      <c r="CE68"/>
      <c r="CF68"/>
    </row>
    <row r="69" spans="1:3723" s="195" customFormat="1" ht="15" outlineLevel="1">
      <c r="A69" s="556" t="s">
        <v>974</v>
      </c>
      <c r="B69" s="557"/>
      <c r="C69" s="558"/>
      <c r="D69" s="558"/>
      <c r="E69" s="559" t="str">
        <f>IF(D69="","",IF(COUNTIF(#REF!,$B69)=1,SUMIF(#REF!,RES!B69,#REF!),SUMIF(#REF!,RES!$B69,#REF!)))</f>
        <v/>
      </c>
      <c r="F69" s="559"/>
      <c r="G69" s="559"/>
      <c r="H69" s="559"/>
      <c r="I69" s="629"/>
      <c r="J69" s="559"/>
      <c r="K69" s="560"/>
      <c r="L69" s="561"/>
      <c r="M69" s="561">
        <f>SUM(M68:M68)</f>
        <v>10.747437092047381</v>
      </c>
      <c r="N69" s="561">
        <f>SUM(N68:N68)</f>
        <v>4.2989748368189522</v>
      </c>
      <c r="O69" s="196"/>
      <c r="P69" s="562"/>
      <c r="Q69" s="562"/>
      <c r="R69" s="562"/>
      <c r="S69" s="562"/>
      <c r="T69" s="563"/>
      <c r="U69" s="564"/>
      <c r="V69" s="564">
        <f t="shared" si="55"/>
        <v>0</v>
      </c>
      <c r="W69" s="564"/>
      <c r="X69" s="564"/>
      <c r="Y69" s="564"/>
      <c r="Z69" s="564"/>
      <c r="AA69" s="564"/>
      <c r="AB69" s="564"/>
      <c r="AC69" s="564"/>
      <c r="AD69" s="564"/>
      <c r="AE69" s="564">
        <f t="shared" si="56"/>
        <v>0</v>
      </c>
      <c r="AF69" s="564"/>
      <c r="AG69" s="564"/>
      <c r="AH69" s="564"/>
      <c r="AI69" s="564"/>
      <c r="AJ69" s="564"/>
      <c r="AK69" s="564"/>
      <c r="AL69" s="564"/>
      <c r="AO69" s="569">
        <f>(IFERROR(IF(N69/(SUMIF(RES!$D$39:$D$145,D69,$N$39:$N$145))=1,1,(N69/(SUMIF(RES!$D$39:$D$145,D69,$N$39:$N$145))+$AO$28)),0))</f>
        <v>0</v>
      </c>
      <c r="AP69" s="566">
        <f>SUM(AP68:AP68)</f>
        <v>1</v>
      </c>
      <c r="AQ69" s="566">
        <f>SUM(AQ68:AQ68)</f>
        <v>1</v>
      </c>
      <c r="AR69" s="566">
        <f>SUM(AR68:AR68)</f>
        <v>1</v>
      </c>
      <c r="AS69" s="566">
        <f>SUM(AS68:AS68)</f>
        <v>1</v>
      </c>
      <c r="AT69" s="567"/>
      <c r="AU69" s="570">
        <f>(IFERROR(IF($N69/(SUMIF(RES!$D$39:$D$145,$D69,$N$39:$N$145))=1,1,($N69/(SUMIF(RES!$D$39:$D$145,$D69,$N$39:$N$145))-$AU$28)),0))</f>
        <v>0</v>
      </c>
      <c r="AV69" s="569"/>
      <c r="AW69" s="569"/>
      <c r="AX69" s="569"/>
      <c r="AY69" s="569"/>
      <c r="AZ69" s="568"/>
      <c r="BA69" s="566"/>
      <c r="BB69" s="566">
        <f t="shared" si="34"/>
        <v>1</v>
      </c>
      <c r="BC69" s="566">
        <f t="shared" si="35"/>
        <v>1</v>
      </c>
      <c r="BD69" s="566">
        <f t="shared" si="36"/>
        <v>1</v>
      </c>
      <c r="BE69" s="566">
        <f t="shared" si="37"/>
        <v>1</v>
      </c>
      <c r="BF69" s="567" t="str">
        <f t="shared" si="38"/>
        <v/>
      </c>
      <c r="BG69" s="569"/>
      <c r="BH69" s="569" t="str">
        <f t="shared" si="51"/>
        <v/>
      </c>
      <c r="BI69" s="569" t="str">
        <f t="shared" si="52"/>
        <v/>
      </c>
      <c r="BJ69" s="569" t="str">
        <f t="shared" si="53"/>
        <v/>
      </c>
      <c r="BK69" s="568" t="str">
        <f t="shared" si="54"/>
        <v/>
      </c>
      <c r="BL69" s="567"/>
      <c r="BN69" s="562" t="str">
        <f>IF($BL69="","",($BP69-$BM69)*5/25+$BM69)</f>
        <v/>
      </c>
      <c r="BO69" s="562" t="str">
        <f>IF($BL69="","",($BP69-$BM69)*15/25+$BM69)</f>
        <v/>
      </c>
      <c r="BP69" s="562" t="str">
        <f>IF($BL69="","",IF($BL69="*",$BM69*(1+$BN$29),E69))</f>
        <v/>
      </c>
      <c r="BQ69" s="562" t="str">
        <f>IF(G69="","",IF(COUNTIF(#REF!,$B69)=1,SUMIF(#REF!,RES!$B69,#REF!),SUMIF(#REF!,RES!$B69,#REF!)))</f>
        <v/>
      </c>
    </row>
    <row r="70" spans="1:3723" s="237" customFormat="1" ht="15">
      <c r="A70" s="577" t="s">
        <v>1001</v>
      </c>
      <c r="B70" s="578" t="s">
        <v>334</v>
      </c>
      <c r="C70" s="588"/>
      <c r="D70" s="588"/>
      <c r="E70" s="590" t="str">
        <f>IF(D70="","",IF(COUNTIF(#REF!,$B70)=1,SUMIF(#REF!,RES!B70,#REF!),SUMIF(#REF!,RES!$B70,#REF!)))</f>
        <v/>
      </c>
      <c r="F70" s="590"/>
      <c r="G70" s="590"/>
      <c r="H70" s="590"/>
      <c r="I70" s="630"/>
      <c r="J70" s="590"/>
      <c r="K70" s="579"/>
      <c r="L70" s="592"/>
      <c r="M70" s="592"/>
      <c r="N70" s="592"/>
      <c r="O70" s="584"/>
      <c r="P70" s="593"/>
      <c r="Q70" s="593"/>
      <c r="R70" s="593"/>
      <c r="S70" s="593"/>
      <c r="T70" s="594"/>
      <c r="U70" s="595"/>
      <c r="V70" s="595">
        <f t="shared" si="55"/>
        <v>0</v>
      </c>
      <c r="W70" s="595"/>
      <c r="X70" s="595"/>
      <c r="Y70" s="595"/>
      <c r="Z70" s="595"/>
      <c r="AA70" s="595"/>
      <c r="AB70" s="595"/>
      <c r="AC70" s="595"/>
      <c r="AD70" s="595"/>
      <c r="AE70" s="595">
        <f t="shared" si="56"/>
        <v>0</v>
      </c>
      <c r="AF70" s="595"/>
      <c r="AG70" s="595"/>
      <c r="AH70" s="595"/>
      <c r="AI70" s="595"/>
      <c r="AJ70" s="595"/>
      <c r="AK70" s="595"/>
      <c r="AL70" s="595"/>
      <c r="AO70" s="596"/>
      <c r="AP70" s="596"/>
      <c r="AQ70" s="596"/>
      <c r="AR70" s="596"/>
      <c r="AS70" s="596"/>
      <c r="AT70" s="586"/>
      <c r="AU70" s="596"/>
      <c r="AV70" s="596"/>
      <c r="AW70" s="596"/>
      <c r="AX70" s="596"/>
      <c r="AY70" s="596"/>
      <c r="AZ70" s="587"/>
      <c r="BA70" s="596"/>
      <c r="BB70" s="596" t="str">
        <f t="shared" si="34"/>
        <v/>
      </c>
      <c r="BC70" s="596" t="str">
        <f t="shared" si="35"/>
        <v/>
      </c>
      <c r="BD70" s="596" t="str">
        <f t="shared" si="36"/>
        <v/>
      </c>
      <c r="BE70" s="596" t="str">
        <f t="shared" si="37"/>
        <v/>
      </c>
      <c r="BF70" s="586" t="str">
        <f t="shared" si="38"/>
        <v/>
      </c>
      <c r="BG70" s="596"/>
      <c r="BH70" s="596" t="str">
        <f t="shared" si="51"/>
        <v/>
      </c>
      <c r="BI70" s="596" t="str">
        <f t="shared" si="52"/>
        <v/>
      </c>
      <c r="BJ70" s="596" t="str">
        <f t="shared" si="53"/>
        <v/>
      </c>
      <c r="BK70" s="587" t="str">
        <f t="shared" si="54"/>
        <v/>
      </c>
      <c r="BL70" s="586"/>
      <c r="BN70" s="593" t="str">
        <f>IF($BL70="","",($BP70-$BM70)*5/25+$BM70)</f>
        <v/>
      </c>
      <c r="BO70" s="593" t="str">
        <f>IF($BL70="","",($BP70-$BM70)*15/25+$BM70)</f>
        <v/>
      </c>
      <c r="BP70" s="593" t="str">
        <f>IF($BL70="","",IF($BL70="*",$BM70*(1+$BN$29),E70))</f>
        <v/>
      </c>
      <c r="BQ70" s="593" t="str">
        <f>IF(G70="","",IF(COUNTIF(#REF!,$B70)=1,SUMIF(#REF!,RES!$B70,#REF!),SUMIF(#REF!,RES!$B70,#REF!)))</f>
        <v/>
      </c>
    </row>
    <row r="71" spans="1:3723" s="169" customFormat="1" ht="15" outlineLevel="1">
      <c r="A71" s="108" t="s">
        <v>1002</v>
      </c>
      <c r="B71" s="30" t="s">
        <v>352</v>
      </c>
      <c r="C71" s="43" t="s">
        <v>242</v>
      </c>
      <c r="D71" s="43" t="s">
        <v>260</v>
      </c>
      <c r="E71" s="525">
        <f>INDEX('Electrical efficiency'!$L$8:$L$23,MATCH(RES!D71,'Electrical efficiency'!$K$8:$K$23,0))</f>
        <v>0.8</v>
      </c>
      <c r="F71" s="600">
        <v>1</v>
      </c>
      <c r="G71" s="600">
        <v>1</v>
      </c>
      <c r="H71" s="600">
        <f>N71/F71*(1+$D$31)</f>
        <v>5.8462981862284051</v>
      </c>
      <c r="I71" s="628">
        <v>1E-3</v>
      </c>
      <c r="J71" s="517"/>
      <c r="K71" s="48" t="s">
        <v>931</v>
      </c>
      <c r="L71" s="516">
        <v>1</v>
      </c>
      <c r="M71" s="516">
        <f>IF(C71="","",SUMIFS(Energy_Balance!I$55:I$160,Energy_Balance!$C$55:$C$160,C71,Energy_Balance!$D$55:$D$160,D71)*L71)</f>
        <v>7.3078727327855058</v>
      </c>
      <c r="N71" s="516">
        <f t="shared" si="28"/>
        <v>5.8462981862284051</v>
      </c>
      <c r="O71" s="25"/>
      <c r="P71" s="377">
        <f t="shared" ref="P71:S72" si="59">IF($G$16=0,BN71,IF($G$16=1,BS71,IF($G$16=2,BX71,IF($G$16=3,BN71,IF($G$16=4,BS71,"NA")))))</f>
        <v>0.80808080808080818</v>
      </c>
      <c r="Q71" s="377">
        <f t="shared" si="59"/>
        <v>0.85106382978723405</v>
      </c>
      <c r="R71" s="377">
        <f t="shared" si="59"/>
        <v>0.88888888888888895</v>
      </c>
      <c r="S71" s="377">
        <f t="shared" si="59"/>
        <v>0.88888888888888895</v>
      </c>
      <c r="T71" s="208"/>
      <c r="U71" s="50"/>
      <c r="V71" s="50">
        <f t="shared" si="55"/>
        <v>1</v>
      </c>
      <c r="W71" s="50">
        <f>IF($G$16=1,AP71,IF($G$16=2,AP71,IF($G$16=3,BB71,AP71)))</f>
        <v>1</v>
      </c>
      <c r="X71" s="50">
        <f>$V$32*W71+(1-$V$32)*Y71</f>
        <v>1</v>
      </c>
      <c r="Y71" s="50">
        <f>IF($G$16=1,AQ71,IF($G$16=2,AQ71,IF($G$16=3,BC71,AQ71)))</f>
        <v>1</v>
      </c>
      <c r="Z71" s="50">
        <f>$V$32*Y71+(1-$V$32)*AA71</f>
        <v>1</v>
      </c>
      <c r="AA71" s="50">
        <f>IF($G$16=1,AR71,IF($G$16=2,AR71,IF($G$16=3,BD71,AR71)))</f>
        <v>1</v>
      </c>
      <c r="AB71" s="50">
        <f>$V$32*AA71+(1-$V$32)*AC71</f>
        <v>1</v>
      </c>
      <c r="AC71" s="50">
        <f>IF($G$16=1,AS71,IF($G$16=2,AS71,IF($G$16=3,BE71,AS71)))</f>
        <v>1</v>
      </c>
      <c r="AD71" s="50"/>
      <c r="AE71" s="50">
        <f t="shared" si="56"/>
        <v>1</v>
      </c>
      <c r="AF71" s="50">
        <f>IF($G$16=1,AV71,IF($G$16=2,AV71,IF($G$16=3,#REF!,AV71)))</f>
        <v>1</v>
      </c>
      <c r="AG71" s="50">
        <f>$V$32*AF71+(1-$V$32)*AH71</f>
        <v>1</v>
      </c>
      <c r="AH71" s="50">
        <f>IF($G$16=1,AW71,IF($G$16=2,AW71,IF($G$16=3,BH71,AW71)))</f>
        <v>1</v>
      </c>
      <c r="AI71" s="50">
        <f>$V$32*AH71+(1-$V$32)*AJ71</f>
        <v>1</v>
      </c>
      <c r="AJ71" s="50">
        <f>IF($G$16=1,AX71,IF($G$16=2,AX71,IF($G$16=3,BI71,AX71)))</f>
        <v>1</v>
      </c>
      <c r="AK71" s="50">
        <f>$V$32*AJ71+(1-$V$32)*AL71</f>
        <v>1</v>
      </c>
      <c r="AL71" s="50">
        <f>IF($G$16=1,AY71,IF($G$16=2,AY71,IF($G$16=3,BJ71,AY71)))</f>
        <v>1</v>
      </c>
      <c r="AM71"/>
      <c r="AN71"/>
      <c r="AO71" s="140">
        <f>(IFERROR(IF(N71/(SUMIF(RES!$D$39:$D$145,D71,$N$39:$N$145))=1,1,(N71/(SUMIF(RES!$D$39:$D$145,D71,$N$39:$N$145))+$AO$28)),0))</f>
        <v>1</v>
      </c>
      <c r="AP71" s="172">
        <f>AO71</f>
        <v>1</v>
      </c>
      <c r="AQ71" s="172">
        <f t="shared" ref="AQ71" si="60">AP71</f>
        <v>1</v>
      </c>
      <c r="AR71" s="172">
        <f t="shared" ref="AR71" si="61">AQ71</f>
        <v>1</v>
      </c>
      <c r="AS71" s="172">
        <f t="shared" ref="AS71" si="62">AR71</f>
        <v>1</v>
      </c>
      <c r="AT71" s="21"/>
      <c r="AU71" s="198">
        <f>(IFERROR(IF($N71/(SUMIF(RES!$D$39:$D$145,$D71,$N$39:$N$145))=1,1,($N71/(SUMIF(RES!$D$39:$D$145,$D71,$N$39:$N$145))-$AU$28)),0))</f>
        <v>1</v>
      </c>
      <c r="AV71" s="172">
        <f>AU71</f>
        <v>1</v>
      </c>
      <c r="AW71" s="172">
        <f t="shared" ref="AW71:AY71" si="63">AV71</f>
        <v>1</v>
      </c>
      <c r="AX71" s="172">
        <f t="shared" si="63"/>
        <v>1</v>
      </c>
      <c r="AY71" s="172">
        <f t="shared" si="63"/>
        <v>1</v>
      </c>
      <c r="AZ71" s="175"/>
      <c r="BA71" s="172"/>
      <c r="BB71" s="172">
        <f t="shared" si="34"/>
        <v>1</v>
      </c>
      <c r="BC71" s="172">
        <f t="shared" si="35"/>
        <v>1</v>
      </c>
      <c r="BD71" s="172">
        <f t="shared" si="36"/>
        <v>1</v>
      </c>
      <c r="BE71" s="172">
        <f t="shared" si="37"/>
        <v>1</v>
      </c>
      <c r="BF71" s="173" t="str">
        <f t="shared" si="38"/>
        <v/>
      </c>
      <c r="BG71" s="172"/>
      <c r="BH71" s="172">
        <f t="shared" si="51"/>
        <v>1</v>
      </c>
      <c r="BI71" s="172">
        <f t="shared" si="52"/>
        <v>1</v>
      </c>
      <c r="BJ71" s="172">
        <f t="shared" si="53"/>
        <v>1</v>
      </c>
      <c r="BK71" s="175" t="str">
        <f t="shared" si="54"/>
        <v/>
      </c>
      <c r="BL71" s="257" t="s">
        <v>110</v>
      </c>
      <c r="BM71" s="527">
        <f>E71</f>
        <v>0.8</v>
      </c>
      <c r="BN71" s="377">
        <f>INDEX('Electrical efficiency'!$M$8:$M$23,MATCH(RES!D71,'Electrical efficiency'!$K$8:$K$23,0))</f>
        <v>0.80808080808080818</v>
      </c>
      <c r="BO71" s="377">
        <f>INDEX('Electrical efficiency'!$N$8:$N$23,MATCH(RES!D71,'Electrical efficiency'!$K$8:$K$23,0))</f>
        <v>0.85106382978723405</v>
      </c>
      <c r="BP71" s="377">
        <f>INDEX('Electrical efficiency'!$O$8:$O$23,MATCH(RES!D71,'Electrical efficiency'!$K$8:$K$23,0))</f>
        <v>0.88888888888888895</v>
      </c>
      <c r="BQ71" s="377">
        <f>INDEX('Electrical efficiency'!$P$8:$P$23,MATCH(RES!D71,'Electrical efficiency'!$K$8:$K$23,0))</f>
        <v>0.88888888888888895</v>
      </c>
      <c r="BR71" s="257" t="s">
        <v>110</v>
      </c>
      <c r="BS71"/>
      <c r="BT71"/>
      <c r="BU71"/>
      <c r="BV71"/>
      <c r="BW71"/>
      <c r="BX71"/>
      <c r="BY71"/>
      <c r="BZ71"/>
      <c r="CA71"/>
      <c r="CB71"/>
      <c r="CC71"/>
      <c r="CD71"/>
      <c r="CE71"/>
      <c r="CF71"/>
    </row>
    <row r="72" spans="1:3723" ht="15" outlineLevel="1">
      <c r="A72" s="108" t="s">
        <v>1003</v>
      </c>
      <c r="B72" s="30" t="s">
        <v>353</v>
      </c>
      <c r="C72" s="43" t="s">
        <v>244</v>
      </c>
      <c r="D72" s="43" t="s">
        <v>300</v>
      </c>
      <c r="E72" s="517">
        <v>1</v>
      </c>
      <c r="F72" s="600">
        <v>1</v>
      </c>
      <c r="G72" s="600">
        <v>1</v>
      </c>
      <c r="H72" s="600">
        <f>N72/F72*(1+$D$31)</f>
        <v>0</v>
      </c>
      <c r="I72" s="628">
        <v>1E-3</v>
      </c>
      <c r="J72" s="517"/>
      <c r="K72" s="48"/>
      <c r="L72" s="516">
        <v>1</v>
      </c>
      <c r="M72" s="516">
        <f>IF(C72="","",SUMIFS(Energy_Balance!I$55:I$160,Energy_Balance!$C$55:$C$160,C72,Energy_Balance!$D$55:$D$160,D72)*L72)</f>
        <v>0</v>
      </c>
      <c r="N72" s="516">
        <f t="shared" si="28"/>
        <v>0</v>
      </c>
      <c r="O72" s="25"/>
      <c r="P72" s="377">
        <f t="shared" si="59"/>
        <v>1</v>
      </c>
      <c r="Q72" s="377">
        <f t="shared" si="59"/>
        <v>1</v>
      </c>
      <c r="R72" s="377">
        <f t="shared" si="59"/>
        <v>1</v>
      </c>
      <c r="S72" s="377">
        <f t="shared" si="59"/>
        <v>1</v>
      </c>
      <c r="T72" s="208"/>
      <c r="U72" s="50"/>
      <c r="V72" s="50">
        <f t="shared" si="55"/>
        <v>0</v>
      </c>
      <c r="W72" s="50">
        <f>IF($G$16=1,AP72,IF($G$16=2,AP72,IF($G$16=3,BB72,AP72)))</f>
        <v>0</v>
      </c>
      <c r="X72" s="50">
        <f>$V$32*W72+(1-$V$32)*Y72</f>
        <v>0</v>
      </c>
      <c r="Y72" s="50">
        <f>IF($G$16=1,AQ72,IF($G$16=2,AQ72,IF($G$16=3,BC72,AQ72)))</f>
        <v>0</v>
      </c>
      <c r="Z72" s="50">
        <f>$V$32*Y72+(1-$V$32)*AA72</f>
        <v>0</v>
      </c>
      <c r="AA72" s="50">
        <f>IF($G$16=1,AR72,IF($G$16=2,AR72,IF($G$16=3,BD72,AR72)))</f>
        <v>0</v>
      </c>
      <c r="AB72" s="50">
        <f>$V$32*AA72+(1-$V$32)*AC72</f>
        <v>0</v>
      </c>
      <c r="AC72" s="50">
        <f>IF($G$16=1,AS72,IF($G$16=2,AS72,IF($G$16=3,BE72,AS72)))</f>
        <v>0</v>
      </c>
      <c r="AD72" s="50"/>
      <c r="AE72" s="50">
        <f t="shared" si="56"/>
        <v>0</v>
      </c>
      <c r="AF72" s="50">
        <f>IF($G$16=1,AV72,IF($G$16=2,AV72,IF($G$16=3,#REF!,AV72)))</f>
        <v>0</v>
      </c>
      <c r="AG72" s="50">
        <f>$V$32*AF72+(1-$V$32)*AH72</f>
        <v>0</v>
      </c>
      <c r="AH72" s="50">
        <f>IF($G$16=1,AW72,IF($G$16=2,AW72,IF($G$16=3,BH72,AW72)))</f>
        <v>0</v>
      </c>
      <c r="AI72" s="50">
        <f>$V$32*AH72+(1-$V$32)*AJ72</f>
        <v>0</v>
      </c>
      <c r="AJ72" s="50">
        <f>IF($G$16=1,AX72,IF($G$16=2,AX72,IF($G$16=3,BI72,AX72)))</f>
        <v>0</v>
      </c>
      <c r="AK72" s="50">
        <f>$V$32*AJ72+(1-$V$32)*AL72</f>
        <v>0</v>
      </c>
      <c r="AL72" s="50">
        <f>IF($G$16=1,AY72,IF($G$16=2,AY72,IF($G$16=3,BJ72,AY72)))</f>
        <v>0</v>
      </c>
      <c r="AO72" s="140"/>
      <c r="AP72" s="140"/>
      <c r="AQ72" s="140"/>
      <c r="AR72" s="140"/>
      <c r="AS72" s="140"/>
      <c r="AT72" s="21"/>
      <c r="AU72" s="140"/>
      <c r="AV72" s="140"/>
      <c r="AW72" s="140"/>
      <c r="AX72" s="140"/>
      <c r="AY72" s="140"/>
      <c r="AZ72" s="125"/>
      <c r="BA72" s="140"/>
      <c r="BB72" s="140" t="str">
        <f t="shared" si="34"/>
        <v/>
      </c>
      <c r="BC72" s="140" t="str">
        <f t="shared" si="35"/>
        <v/>
      </c>
      <c r="BD72" s="140" t="str">
        <f t="shared" si="36"/>
        <v/>
      </c>
      <c r="BE72" s="140" t="str">
        <f t="shared" si="37"/>
        <v/>
      </c>
      <c r="BF72" s="21" t="str">
        <f t="shared" si="38"/>
        <v/>
      </c>
      <c r="BG72" s="172"/>
      <c r="BH72" s="140" t="str">
        <f t="shared" si="51"/>
        <v/>
      </c>
      <c r="BI72" s="140" t="str">
        <f t="shared" si="52"/>
        <v/>
      </c>
      <c r="BJ72" s="140" t="str">
        <f t="shared" si="53"/>
        <v/>
      </c>
      <c r="BK72" s="125" t="str">
        <f t="shared" si="54"/>
        <v/>
      </c>
      <c r="BL72" s="21" t="s">
        <v>517</v>
      </c>
      <c r="BM72" s="527">
        <f>E72</f>
        <v>1</v>
      </c>
      <c r="BN72" s="377">
        <f>E72</f>
        <v>1</v>
      </c>
      <c r="BO72" s="377">
        <f>IF($BL72="","",($BQ72-$BN72)*1/3+$BN72)</f>
        <v>1</v>
      </c>
      <c r="BP72" s="377">
        <f>IF($BL72="","",($BQ72-$BN72)*2/3+$BN72)</f>
        <v>1</v>
      </c>
      <c r="BQ72" s="377">
        <f>IF($BL72="","",IF($BL72="*",$BM72*(1+$BN$29),E72))</f>
        <v>1</v>
      </c>
      <c r="BR72" t="s">
        <v>517</v>
      </c>
    </row>
    <row r="73" spans="1:3723" s="195" customFormat="1" ht="15" outlineLevel="1">
      <c r="A73" s="556" t="s">
        <v>974</v>
      </c>
      <c r="B73" s="557"/>
      <c r="C73" s="558"/>
      <c r="D73" s="558"/>
      <c r="E73" s="559" t="str">
        <f>IF(D73="","",IF(COUNTIF(#REF!,$B73)=1,SUMIF(#REF!,RES!B73,#REF!),SUMIF(#REF!,RES!$B73,#REF!)))</f>
        <v/>
      </c>
      <c r="F73" s="559"/>
      <c r="G73" s="559"/>
      <c r="H73" s="559"/>
      <c r="I73" s="629"/>
      <c r="J73" s="559"/>
      <c r="K73" s="560"/>
      <c r="L73" s="561"/>
      <c r="M73" s="561">
        <f>SUM(M71:M72)</f>
        <v>7.3078727327855058</v>
      </c>
      <c r="N73" s="561">
        <f>SUM(N71:N72)</f>
        <v>5.8462981862284051</v>
      </c>
      <c r="O73" s="196"/>
      <c r="P73" s="562"/>
      <c r="Q73" s="562"/>
      <c r="R73" s="562"/>
      <c r="S73" s="562"/>
      <c r="T73" s="563"/>
      <c r="U73" s="564"/>
      <c r="V73" s="564">
        <f t="shared" si="55"/>
        <v>1</v>
      </c>
      <c r="W73" s="564"/>
      <c r="X73" s="564"/>
      <c r="Y73" s="564"/>
      <c r="Z73" s="564"/>
      <c r="AA73" s="564"/>
      <c r="AB73" s="564"/>
      <c r="AC73" s="564"/>
      <c r="AD73" s="564"/>
      <c r="AE73" s="564">
        <f t="shared" si="56"/>
        <v>1</v>
      </c>
      <c r="AF73" s="564"/>
      <c r="AG73" s="564"/>
      <c r="AH73" s="564"/>
      <c r="AI73" s="564"/>
      <c r="AJ73" s="564"/>
      <c r="AK73" s="564"/>
      <c r="AL73" s="564"/>
      <c r="AO73" s="566">
        <f>SUM(AO71:AO72)</f>
        <v>1</v>
      </c>
      <c r="AP73" s="566">
        <f>SUM(AP71:AP72)</f>
        <v>1</v>
      </c>
      <c r="AQ73" s="566">
        <f>SUM(AQ71:AQ72)</f>
        <v>1</v>
      </c>
      <c r="AR73" s="566">
        <f>SUM(AR71:AR72)</f>
        <v>1</v>
      </c>
      <c r="AS73" s="566">
        <f>SUM(AS71:AS72)</f>
        <v>1</v>
      </c>
      <c r="AT73" s="567"/>
      <c r="AU73" s="566">
        <f>SUM(AU71:AU72)</f>
        <v>1</v>
      </c>
      <c r="AV73" s="566">
        <f>SUM(AV71:AV72)</f>
        <v>1</v>
      </c>
      <c r="AW73" s="566">
        <f>SUM(AW71:AW72)</f>
        <v>1</v>
      </c>
      <c r="AX73" s="566">
        <f>SUM(AX71:AX72)</f>
        <v>1</v>
      </c>
      <c r="AY73" s="566">
        <f>SUM(AY71:AY72)</f>
        <v>1</v>
      </c>
      <c r="AZ73" s="568"/>
      <c r="BA73" s="566"/>
      <c r="BB73" s="566">
        <f t="shared" si="34"/>
        <v>1</v>
      </c>
      <c r="BC73" s="566">
        <f t="shared" si="35"/>
        <v>1</v>
      </c>
      <c r="BD73" s="566">
        <f t="shared" si="36"/>
        <v>1</v>
      </c>
      <c r="BE73" s="566">
        <f t="shared" si="37"/>
        <v>1</v>
      </c>
      <c r="BF73" s="567" t="str">
        <f t="shared" si="38"/>
        <v/>
      </c>
      <c r="BG73" s="569"/>
      <c r="BH73" s="569">
        <f t="shared" si="51"/>
        <v>1</v>
      </c>
      <c r="BI73" s="569">
        <f t="shared" si="52"/>
        <v>1</v>
      </c>
      <c r="BJ73" s="569">
        <f t="shared" si="53"/>
        <v>1</v>
      </c>
      <c r="BK73" s="568" t="str">
        <f t="shared" si="54"/>
        <v/>
      </c>
      <c r="BL73" s="567"/>
      <c r="BN73" s="562" t="str">
        <f>IF($BL73="","",($BP73-$BM73)*5/25+$BM73)</f>
        <v/>
      </c>
      <c r="BO73" s="562" t="str">
        <f>IF($BL73="","",($BP73-$BM73)*15/25+$BM73)</f>
        <v/>
      </c>
      <c r="BP73" s="562" t="str">
        <f>IF($BL73="","",IF($BL73="*",$BM73*(1+$BN$29),E73))</f>
        <v/>
      </c>
      <c r="BQ73" s="562" t="str">
        <f>IF(G73="","",IF(COUNTIF(#REF!,$B73)=1,SUMIF(#REF!,RES!$B73,#REF!),SUMIF(#REF!,RES!$B73,#REF!)))</f>
        <v/>
      </c>
    </row>
    <row r="74" spans="1:3723" s="237" customFormat="1" ht="15">
      <c r="A74" s="577" t="s">
        <v>1004</v>
      </c>
      <c r="B74" s="578" t="s">
        <v>334</v>
      </c>
      <c r="C74" s="588"/>
      <c r="D74" s="588"/>
      <c r="E74" s="590" t="str">
        <f>IF(D74="","",IF(COUNTIF(#REF!,$B74)=1,SUMIF(#REF!,RES!B74,#REF!),SUMIF(#REF!,RES!$B74,#REF!)))</f>
        <v/>
      </c>
      <c r="F74" s="590"/>
      <c r="G74" s="590"/>
      <c r="H74" s="590"/>
      <c r="I74" s="630"/>
      <c r="J74" s="590"/>
      <c r="K74" s="579"/>
      <c r="L74" s="592"/>
      <c r="M74" s="592"/>
      <c r="N74" s="592"/>
      <c r="O74" s="584"/>
      <c r="P74" s="593"/>
      <c r="Q74" s="593"/>
      <c r="R74" s="593"/>
      <c r="S74" s="593"/>
      <c r="T74" s="594"/>
      <c r="U74" s="595"/>
      <c r="V74" s="595">
        <f t="shared" si="55"/>
        <v>0</v>
      </c>
      <c r="W74" s="595"/>
      <c r="X74" s="595"/>
      <c r="Y74" s="595"/>
      <c r="Z74" s="595"/>
      <c r="AA74" s="595"/>
      <c r="AB74" s="595"/>
      <c r="AC74" s="595"/>
      <c r="AD74" s="595"/>
      <c r="AE74" s="595">
        <f t="shared" si="56"/>
        <v>0</v>
      </c>
      <c r="AF74" s="595"/>
      <c r="AG74" s="595"/>
      <c r="AH74" s="595"/>
      <c r="AI74" s="595"/>
      <c r="AJ74" s="595"/>
      <c r="AK74" s="595"/>
      <c r="AL74" s="595"/>
      <c r="AO74" s="596"/>
      <c r="AP74" s="596"/>
      <c r="AQ74" s="596"/>
      <c r="AR74" s="596"/>
      <c r="AS74" s="596"/>
      <c r="AT74" s="586"/>
      <c r="AU74" s="596"/>
      <c r="AV74" s="596"/>
      <c r="AW74" s="596"/>
      <c r="AX74" s="596"/>
      <c r="AY74" s="596"/>
      <c r="AZ74" s="587"/>
      <c r="BA74" s="596"/>
      <c r="BB74" s="596" t="str">
        <f t="shared" si="34"/>
        <v/>
      </c>
      <c r="BC74" s="596" t="str">
        <f t="shared" si="35"/>
        <v/>
      </c>
      <c r="BD74" s="596" t="str">
        <f t="shared" si="36"/>
        <v/>
      </c>
      <c r="BE74" s="596" t="str">
        <f t="shared" si="37"/>
        <v/>
      </c>
      <c r="BF74" s="586" t="str">
        <f t="shared" si="38"/>
        <v/>
      </c>
      <c r="BG74" s="596"/>
      <c r="BH74" s="596" t="str">
        <f t="shared" si="51"/>
        <v/>
      </c>
      <c r="BI74" s="596" t="str">
        <f t="shared" si="52"/>
        <v/>
      </c>
      <c r="BJ74" s="596" t="str">
        <f t="shared" si="53"/>
        <v/>
      </c>
      <c r="BK74" s="587" t="str">
        <f t="shared" si="54"/>
        <v/>
      </c>
      <c r="BL74" s="586"/>
      <c r="BN74" s="593" t="str">
        <f>IF($BL74="","",($BP74-$BM74)*5/25+$BM74)</f>
        <v/>
      </c>
      <c r="BO74" s="593" t="str">
        <f>IF($BL74="","",($BP74-$BM74)*15/25+$BM74)</f>
        <v/>
      </c>
      <c r="BP74" s="593" t="str">
        <f>IF($BL74="","",IF($BL74="*",$BM74*(1+$BN$29),E74))</f>
        <v/>
      </c>
      <c r="BQ74" s="593" t="str">
        <f>IF(G74="","",IF(COUNTIF(#REF!,$B74)=1,SUMIF(#REF!,RES!$B74,#REF!),SUMIF(#REF!,RES!$B74,#REF!)))</f>
        <v/>
      </c>
    </row>
    <row r="75" spans="1:3723" s="169" customFormat="1" ht="15.75" customHeight="1" outlineLevel="2">
      <c r="A75" s="108" t="s">
        <v>1005</v>
      </c>
      <c r="B75" s="30" t="s">
        <v>354</v>
      </c>
      <c r="C75" s="43" t="s">
        <v>242</v>
      </c>
      <c r="D75" s="43" t="s">
        <v>261</v>
      </c>
      <c r="E75" s="600">
        <f>INDEX(Lighting!$V$25:$V$35,MATCH(RES!D75,Lighting!$E$25:$E$35,0))</f>
        <v>3.5618185364705877</v>
      </c>
      <c r="F75" s="600">
        <v>1</v>
      </c>
      <c r="G75" s="600">
        <v>1</v>
      </c>
      <c r="H75" s="600">
        <f>N75/F75*(1+$D$31)</f>
        <v>18.841537311732708</v>
      </c>
      <c r="I75" s="628">
        <v>1E-3</v>
      </c>
      <c r="J75" s="517"/>
      <c r="K75" s="48" t="s">
        <v>450</v>
      </c>
      <c r="L75" s="516">
        <v>1</v>
      </c>
      <c r="M75" s="516">
        <f>IF(C75="","",SUMIFS(Energy_Balance!I$55:I$160,Energy_Balance!$C$55:$C$160,C75,Energy_Balance!$D$55:$D$160,D75)*L75)</f>
        <v>5.2898644663697052</v>
      </c>
      <c r="N75" s="516">
        <f t="shared" si="28"/>
        <v>18.841537311732708</v>
      </c>
      <c r="O75" s="25"/>
      <c r="P75" s="377">
        <f>IF($G$16=0,BN75,IF($G$16=1,BS75,IF($G$16=2,BX75,IF($G$16=3,BN75,IF($G$16=4,BS75,"NA")))))</f>
        <v>3.5618185364705877</v>
      </c>
      <c r="Q75" s="377">
        <f>IF($G$16=0,BO75,IF($G$16=1,BT75,IF($G$16=2,BY75,IF($G$16=3,BO75,IF($G$16=4,BT75,"NA")))))</f>
        <v>4.579538282274509</v>
      </c>
      <c r="R75" s="377">
        <f>IF($G$16=0,BP75,IF($G$16=1,BU75,IF($G$16=2,BZ75,IF($G$16=3,BP75,IF($G$16=4,BU75,"NA")))))</f>
        <v>5.3019294117647053</v>
      </c>
      <c r="S75" s="377">
        <f>IF($G$16=0,BQ75,IF($G$16=1,BV75,IF($G$16=2,CA75,IF($G$16=3,BQ75,IF($G$16=4,BV75,"NA")))))</f>
        <v>5.3019294117647053</v>
      </c>
      <c r="T75" s="208"/>
      <c r="U75" s="50"/>
      <c r="V75" s="50">
        <f t="shared" si="55"/>
        <v>1</v>
      </c>
      <c r="W75" s="50">
        <f>IF($G$16=1,AP75,IF($G$16=2,AP75,IF($G$16=3,BB75,AP75)))</f>
        <v>1</v>
      </c>
      <c r="X75" s="50">
        <f>$V$32*W75+(1-$V$32)*Y75</f>
        <v>1</v>
      </c>
      <c r="Y75" s="50">
        <f>IF($G$16=1,AQ75,IF($G$16=2,AQ75,IF($G$16=3,BC75,AQ75)))</f>
        <v>1</v>
      </c>
      <c r="Z75" s="50">
        <f>$V$32*Y75+(1-$V$32)*AA75</f>
        <v>1</v>
      </c>
      <c r="AA75" s="50">
        <f>IF($G$16=1,AR75,IF($G$16=2,AR75,IF($G$16=3,BD75,AR75)))</f>
        <v>1</v>
      </c>
      <c r="AB75" s="50">
        <f>$V$32*AA75+(1-$V$32)*AC75</f>
        <v>1</v>
      </c>
      <c r="AC75" s="50">
        <f>IF($G$16=1,AS75,IF($G$16=2,AS75,IF($G$16=3,BE75,AS75)))</f>
        <v>1</v>
      </c>
      <c r="AD75" s="50"/>
      <c r="AE75" s="50">
        <f t="shared" si="56"/>
        <v>1</v>
      </c>
      <c r="AF75" s="50">
        <f>IF($G$16=1,AV75,IF($G$16=2,AV75,IF($G$16=3,#REF!,AV75)))</f>
        <v>1</v>
      </c>
      <c r="AG75" s="50">
        <f>$V$32*AF75+(1-$V$32)*AH75</f>
        <v>1</v>
      </c>
      <c r="AH75" s="50">
        <f>IF($G$16=1,AW75,IF($G$16=2,AW75,IF($G$16=3,BH75,AW75)))</f>
        <v>1</v>
      </c>
      <c r="AI75" s="50">
        <f>$V$32*AH75+(1-$V$32)*AJ75</f>
        <v>1</v>
      </c>
      <c r="AJ75" s="50">
        <f>IF($G$16=1,AX75,IF($G$16=2,AX75,IF($G$16=3,BI75,AX75)))</f>
        <v>1</v>
      </c>
      <c r="AK75" s="50">
        <f>$V$32*AJ75+(1-$V$32)*AL75</f>
        <v>1</v>
      </c>
      <c r="AL75" s="50">
        <f>IF($G$16=1,AY75,IF($G$16=2,AY75,IF($G$16=3,BJ75,AY75)))</f>
        <v>1</v>
      </c>
      <c r="AM75"/>
      <c r="AN75"/>
      <c r="AO75" s="140">
        <f>(IFERROR(IF(N75/(SUMIF(RES!$D$39:$D$145,D75,$N$39:$N$145))=1,1,(N75/(SUMIF(RES!$D$39:$D$145,D75,$N$39:$N$145))+$AO$28)),0))</f>
        <v>1</v>
      </c>
      <c r="AP75" s="172">
        <f>AO75</f>
        <v>1</v>
      </c>
      <c r="AQ75" s="172">
        <f t="shared" ref="AQ75:AQ76" si="64">AP75</f>
        <v>1</v>
      </c>
      <c r="AR75" s="172">
        <f t="shared" ref="AR75:AR76" si="65">AQ75</f>
        <v>1</v>
      </c>
      <c r="AS75" s="172">
        <f t="shared" ref="AS75:AS76" si="66">AR75</f>
        <v>1</v>
      </c>
      <c r="AT75" s="21"/>
      <c r="AU75" s="198">
        <f>(IFERROR(IF($N75/(SUMIF(RES!$D$39:$D$145,$D75,$N$39:$N$145))=1,1,($N75/(SUMIF(RES!$D$39:$D$145,$D75,$N$39:$N$145))-$AU$28)),0))</f>
        <v>1</v>
      </c>
      <c r="AV75" s="172">
        <f>AU75</f>
        <v>1</v>
      </c>
      <c r="AW75" s="172">
        <f t="shared" ref="AW75:AY76" si="67">AV75</f>
        <v>1</v>
      </c>
      <c r="AX75" s="172">
        <f t="shared" si="67"/>
        <v>1</v>
      </c>
      <c r="AY75" s="172">
        <f t="shared" si="67"/>
        <v>1</v>
      </c>
      <c r="AZ75" s="125"/>
      <c r="BA75" s="172"/>
      <c r="BB75" s="172">
        <f t="shared" si="34"/>
        <v>1</v>
      </c>
      <c r="BC75" s="172">
        <f t="shared" si="35"/>
        <v>1</v>
      </c>
      <c r="BD75" s="172">
        <f t="shared" si="36"/>
        <v>1</v>
      </c>
      <c r="BE75" s="172">
        <f t="shared" si="37"/>
        <v>1</v>
      </c>
      <c r="BF75" s="173" t="str">
        <f t="shared" si="38"/>
        <v/>
      </c>
      <c r="BG75" s="172"/>
      <c r="BH75" s="172">
        <f t="shared" si="51"/>
        <v>1</v>
      </c>
      <c r="BI75" s="172">
        <f t="shared" si="52"/>
        <v>1</v>
      </c>
      <c r="BJ75" s="172">
        <f t="shared" si="53"/>
        <v>1</v>
      </c>
      <c r="BK75" s="175" t="str">
        <f t="shared" si="54"/>
        <v/>
      </c>
      <c r="BL75" s="173" t="s">
        <v>517</v>
      </c>
      <c r="BM75" s="527">
        <f>E75</f>
        <v>3.5618185364705877</v>
      </c>
      <c r="BN75" s="377">
        <f>E75</f>
        <v>3.5618185364705877</v>
      </c>
      <c r="BO75" s="207">
        <f>IF($B75="","",SUMIF(Lighting!$A$25:$A$35,RES!$B75,Lighting!$W$25:$W$35))</f>
        <v>4.579538282274509</v>
      </c>
      <c r="BP75" s="207">
        <f>IF($B75="","",SUMIF(Lighting!$A$25:$A$35,RES!$B75,Lighting!$X$25:$X$35))</f>
        <v>5.3019294117647053</v>
      </c>
      <c r="BQ75" s="377">
        <f>BP75</f>
        <v>5.3019294117647053</v>
      </c>
      <c r="BR75" s="169" t="s">
        <v>517</v>
      </c>
      <c r="BS75"/>
      <c r="BT75"/>
      <c r="BU75"/>
      <c r="BV75"/>
      <c r="BW75"/>
      <c r="BX75"/>
      <c r="BY75"/>
      <c r="BZ75"/>
      <c r="CA75"/>
      <c r="CB75"/>
      <c r="CC75"/>
      <c r="CD75"/>
      <c r="CE75"/>
      <c r="CF75"/>
    </row>
    <row r="76" spans="1:3723" s="169" customFormat="1" ht="15" outlineLevel="2">
      <c r="A76" s="108" t="s">
        <v>1006</v>
      </c>
      <c r="B76" s="30" t="s">
        <v>862</v>
      </c>
      <c r="C76" s="43" t="s">
        <v>244</v>
      </c>
      <c r="D76" s="43" t="s">
        <v>284</v>
      </c>
      <c r="E76" s="517">
        <v>0.1</v>
      </c>
      <c r="F76" s="600">
        <v>1</v>
      </c>
      <c r="G76" s="600">
        <v>1</v>
      </c>
      <c r="H76" s="600">
        <f>N76/F76*(1+$D$31)</f>
        <v>7.1482186957706251E-2</v>
      </c>
      <c r="I76" s="628">
        <v>1E-3</v>
      </c>
      <c r="J76" s="517"/>
      <c r="K76" s="48"/>
      <c r="L76" s="517">
        <v>1</v>
      </c>
      <c r="M76" s="516">
        <f>IF(C76="","",SUMIFS(Energy_Balance!I$55:I$160,Energy_Balance!$C$55:$C$160,C76,Energy_Balance!$D$55:$D$160,D76)*L76)</f>
        <v>0.71482186957706251</v>
      </c>
      <c r="N76" s="516">
        <f t="shared" si="28"/>
        <v>7.1482186957706251E-2</v>
      </c>
      <c r="O76" s="25"/>
      <c r="P76" s="377">
        <f>E76</f>
        <v>0.1</v>
      </c>
      <c r="Q76" s="377">
        <f>P76</f>
        <v>0.1</v>
      </c>
      <c r="R76" s="377">
        <f t="shared" ref="R76" si="68">Q76</f>
        <v>0.1</v>
      </c>
      <c r="S76" s="377">
        <f t="shared" ref="S76" si="69">R76</f>
        <v>0.1</v>
      </c>
      <c r="T76" s="208"/>
      <c r="U76" s="50"/>
      <c r="V76" s="50">
        <f t="shared" si="55"/>
        <v>1</v>
      </c>
      <c r="W76" s="50">
        <f>IF($G$16=1,AP76,IF($G$16=2,AP76,IF($G$16=3,BB76,AP76)))</f>
        <v>1</v>
      </c>
      <c r="X76" s="50">
        <f>$V$32*W76+(1-$V$32)*Y76</f>
        <v>1</v>
      </c>
      <c r="Y76" s="50">
        <f>IF($G$16=1,AQ76,IF($G$16=2,AQ76,IF($G$16=3,BC76,AQ76)))</f>
        <v>1</v>
      </c>
      <c r="Z76" s="50">
        <f>$V$32*Y76+(1-$V$32)*AA76</f>
        <v>1</v>
      </c>
      <c r="AA76" s="50">
        <f>IF($G$16=1,AR76,IF($G$16=2,AR76,IF($G$16=3,BD76,AR76)))</f>
        <v>1</v>
      </c>
      <c r="AB76" s="50">
        <f>$V$32*AA76+(1-$V$32)*AC76</f>
        <v>1</v>
      </c>
      <c r="AC76" s="50">
        <f>IF($G$16=1,AS76,IF($G$16=2,AS76,IF($G$16=3,BE76,AS76)))</f>
        <v>1</v>
      </c>
      <c r="AD76" s="50"/>
      <c r="AE76" s="50">
        <f t="shared" si="56"/>
        <v>1</v>
      </c>
      <c r="AF76" s="50">
        <f>IF($G$16=1,AV76,IF($G$16=2,AV76,IF($G$16=3,#REF!,AV76)))</f>
        <v>1</v>
      </c>
      <c r="AG76" s="50">
        <f>$V$32*AF76+(1-$V$32)*AH76</f>
        <v>1</v>
      </c>
      <c r="AH76" s="50">
        <f>IF($G$16=1,AW76,IF($G$16=2,AW76,IF($G$16=3,BH76,AW76)))</f>
        <v>1</v>
      </c>
      <c r="AI76" s="50">
        <f>$V$32*AH76+(1-$V$32)*AJ76</f>
        <v>1</v>
      </c>
      <c r="AJ76" s="50">
        <f>IF($G$16=1,AX76,IF($G$16=2,AX76,IF($G$16=3,BI76,AX76)))</f>
        <v>1</v>
      </c>
      <c r="AK76" s="50">
        <f>$V$32*AJ76+(1-$V$32)*AL76</f>
        <v>1</v>
      </c>
      <c r="AL76" s="50">
        <f>IF($G$16=1,AY76,IF($G$16=2,AY76,IF($G$16=3,BJ76,AY76)))</f>
        <v>1</v>
      </c>
      <c r="AM76"/>
      <c r="AN76"/>
      <c r="AO76" s="140">
        <f>(IFERROR(IF(N76/(SUMIF(RES!$D$39:$D$145,D76,$N$39:$N$145))=1,1,(N76/(SUMIF(RES!$D$39:$D$145,D76,$N$39:$N$145))+$AO$28)),0))</f>
        <v>1</v>
      </c>
      <c r="AP76" s="172">
        <f>AO76</f>
        <v>1</v>
      </c>
      <c r="AQ76" s="172">
        <f t="shared" si="64"/>
        <v>1</v>
      </c>
      <c r="AR76" s="172">
        <f t="shared" si="65"/>
        <v>1</v>
      </c>
      <c r="AS76" s="172">
        <f t="shared" si="66"/>
        <v>1</v>
      </c>
      <c r="AT76" s="21"/>
      <c r="AU76" s="198">
        <f>(IFERROR(IF($N76/(SUMIF(RES!$D$39:$D$145,$D76,$N$39:$N$145))=1,1,($N76/(SUMIF(RES!$D$39:$D$145,$D76,$N$39:$N$145))-$AU$28)),0))</f>
        <v>1</v>
      </c>
      <c r="AV76" s="172">
        <f>AU76</f>
        <v>1</v>
      </c>
      <c r="AW76" s="172">
        <f t="shared" si="67"/>
        <v>1</v>
      </c>
      <c r="AX76" s="172">
        <f t="shared" si="67"/>
        <v>1</v>
      </c>
      <c r="AY76" s="172">
        <f t="shared" si="67"/>
        <v>1</v>
      </c>
      <c r="AZ76" s="125"/>
      <c r="BB76" s="169">
        <f t="shared" si="34"/>
        <v>1</v>
      </c>
      <c r="BC76" s="169">
        <f t="shared" si="35"/>
        <v>1</v>
      </c>
      <c r="BD76" s="169">
        <f t="shared" si="36"/>
        <v>1</v>
      </c>
      <c r="BE76" s="169">
        <f t="shared" si="37"/>
        <v>1</v>
      </c>
      <c r="BF76" s="169" t="str">
        <f t="shared" si="38"/>
        <v/>
      </c>
      <c r="BG76" s="172"/>
      <c r="BH76" s="169">
        <f t="shared" si="51"/>
        <v>1</v>
      </c>
      <c r="BI76" s="169">
        <f t="shared" si="52"/>
        <v>1</v>
      </c>
      <c r="BJ76" s="169">
        <f t="shared" si="53"/>
        <v>1</v>
      </c>
      <c r="BK76" s="169" t="str">
        <f t="shared" si="54"/>
        <v/>
      </c>
      <c r="BL76" s="169" t="s">
        <v>517</v>
      </c>
      <c r="BM76" s="527">
        <f>E76</f>
        <v>0.1</v>
      </c>
      <c r="BN76" s="377">
        <f>E76</f>
        <v>0.1</v>
      </c>
      <c r="BO76" s="377">
        <f>IF($BL76="","",($BQ76-$BN76)*1/3+$BN76)</f>
        <v>0.1</v>
      </c>
      <c r="BP76" s="377">
        <f>IF($BL76="","",($BQ76-$BN76)*2/3+$BN76)</f>
        <v>0.1</v>
      </c>
      <c r="BQ76" s="377">
        <f>IF($BL76="","",IF($BL76="*",$BM76*(1+$BN$29),E76))</f>
        <v>0.1</v>
      </c>
      <c r="BR76" s="169" t="s">
        <v>517</v>
      </c>
      <c r="BS76"/>
      <c r="BT76"/>
      <c r="BU76"/>
      <c r="BV76"/>
      <c r="BW76"/>
      <c r="BX76"/>
      <c r="BY76"/>
      <c r="BZ76"/>
      <c r="CA76"/>
      <c r="CB76"/>
      <c r="CC76"/>
      <c r="CD76"/>
      <c r="CE76"/>
      <c r="CF76"/>
    </row>
    <row r="77" spans="1:3723" s="195" customFormat="1" ht="15" outlineLevel="1">
      <c r="A77" s="556" t="s">
        <v>974</v>
      </c>
      <c r="B77" s="557"/>
      <c r="C77" s="558"/>
      <c r="D77" s="558"/>
      <c r="E77" s="559" t="str">
        <f>IF(D77="","",IF(COUNTIF(#REF!,$B77)=1,SUMIF(#REF!,RES!B77,#REF!),SUMIF(#REF!,RES!$B77,#REF!)))</f>
        <v/>
      </c>
      <c r="F77" s="559"/>
      <c r="G77" s="559"/>
      <c r="H77" s="559"/>
      <c r="I77" s="629"/>
      <c r="J77" s="559"/>
      <c r="K77" s="560"/>
      <c r="L77" s="561"/>
      <c r="M77" s="561">
        <f>SUM(M75:M76)</f>
        <v>6.0046863359467677</v>
      </c>
      <c r="N77" s="561">
        <f>SUM(N75:N76)</f>
        <v>18.913019498690414</v>
      </c>
      <c r="O77" s="196"/>
      <c r="P77" s="562"/>
      <c r="Q77" s="562"/>
      <c r="R77" s="562"/>
      <c r="S77" s="562"/>
      <c r="T77" s="563"/>
      <c r="U77" s="564"/>
      <c r="V77" s="564">
        <f t="shared" si="55"/>
        <v>2</v>
      </c>
      <c r="W77" s="564"/>
      <c r="X77" s="564"/>
      <c r="Y77" s="564"/>
      <c r="Z77" s="564"/>
      <c r="AA77" s="564"/>
      <c r="AB77" s="564"/>
      <c r="AC77" s="564"/>
      <c r="AD77" s="564"/>
      <c r="AE77" s="564">
        <f t="shared" si="56"/>
        <v>2</v>
      </c>
      <c r="AF77" s="564"/>
      <c r="AG77" s="564"/>
      <c r="AH77" s="564"/>
      <c r="AI77" s="564"/>
      <c r="AJ77" s="564"/>
      <c r="AK77" s="564"/>
      <c r="AL77" s="564"/>
      <c r="AO77" s="566">
        <f>SUM(AO75:AO76)</f>
        <v>2</v>
      </c>
      <c r="AP77" s="566">
        <f>SUM(AP75:AP76)</f>
        <v>2</v>
      </c>
      <c r="AQ77" s="566">
        <f>SUM(AQ75:AQ76)</f>
        <v>2</v>
      </c>
      <c r="AR77" s="566">
        <f>SUM(AR75:AR76)</f>
        <v>2</v>
      </c>
      <c r="AS77" s="566">
        <f>SUM(AS75:AS76)</f>
        <v>2</v>
      </c>
      <c r="AT77" s="567"/>
      <c r="AU77" s="566">
        <f>SUM(AU75:AU76)</f>
        <v>2</v>
      </c>
      <c r="AV77" s="566">
        <f>SUM(AV75:AV76)</f>
        <v>2</v>
      </c>
      <c r="AW77" s="566">
        <f>SUM(AW75:AW76)</f>
        <v>2</v>
      </c>
      <c r="AX77" s="566">
        <f>SUM(AX75:AX76)</f>
        <v>2</v>
      </c>
      <c r="AY77" s="566">
        <f>SUM(AY75:AY76)</f>
        <v>2</v>
      </c>
      <c r="AZ77" s="568"/>
      <c r="BA77" s="566"/>
      <c r="BB77" s="566">
        <f t="shared" si="34"/>
        <v>2</v>
      </c>
      <c r="BC77" s="566">
        <f t="shared" si="35"/>
        <v>2</v>
      </c>
      <c r="BD77" s="566">
        <f t="shared" si="36"/>
        <v>2</v>
      </c>
      <c r="BE77" s="566">
        <f t="shared" si="37"/>
        <v>2</v>
      </c>
      <c r="BF77" s="567" t="str">
        <f t="shared" si="38"/>
        <v/>
      </c>
      <c r="BG77" s="569"/>
      <c r="BH77" s="569">
        <f t="shared" si="51"/>
        <v>2</v>
      </c>
      <c r="BI77" s="569">
        <f t="shared" si="52"/>
        <v>2</v>
      </c>
      <c r="BJ77" s="569">
        <f t="shared" si="53"/>
        <v>2</v>
      </c>
      <c r="BK77" s="568" t="str">
        <f t="shared" si="54"/>
        <v/>
      </c>
      <c r="BL77" s="567"/>
      <c r="BN77" s="562" t="str">
        <f>IF($BL77="","",($BP77-$BM77)*5/25+$BM77)</f>
        <v/>
      </c>
      <c r="BO77" s="562" t="str">
        <f>IF($BL77="","",($BP77-$BM77)*15/25+$BM77)</f>
        <v/>
      </c>
      <c r="BP77" s="562" t="str">
        <f>IF($BL77="","",IF($BL77="*",$BM77*(1+$BN$29),E77))</f>
        <v/>
      </c>
      <c r="BQ77" s="562" t="str">
        <f>IF(G77="","",IF(COUNTIF(#REF!,$B77)=1,SUMIF(#REF!,RES!$B77,#REF!),SUMIF(#REF!,RES!$B77,#REF!)))</f>
        <v/>
      </c>
    </row>
    <row r="78" spans="1:3723" s="237" customFormat="1" ht="15">
      <c r="A78" s="577" t="s">
        <v>1007</v>
      </c>
      <c r="B78" s="578" t="s">
        <v>334</v>
      </c>
      <c r="C78" s="588"/>
      <c r="D78" s="588"/>
      <c r="E78" s="590" t="str">
        <f>IF(D78="","",IF(COUNTIF(#REF!,$B78)=1,SUMIF(#REF!,RES!B78,#REF!),SUMIF(#REF!,RES!$B78,#REF!)))</f>
        <v/>
      </c>
      <c r="F78" s="590"/>
      <c r="G78" s="590"/>
      <c r="H78" s="590"/>
      <c r="I78" s="630"/>
      <c r="J78" s="590"/>
      <c r="K78" s="579"/>
      <c r="L78" s="592"/>
      <c r="M78" s="592"/>
      <c r="N78" s="592"/>
      <c r="O78" s="584"/>
      <c r="P78" s="593"/>
      <c r="Q78" s="593"/>
      <c r="R78" s="593"/>
      <c r="S78" s="593"/>
      <c r="T78" s="594"/>
      <c r="U78" s="595"/>
      <c r="V78" s="595"/>
      <c r="W78" s="595"/>
      <c r="X78" s="595"/>
      <c r="Y78" s="595"/>
      <c r="Z78" s="595"/>
      <c r="AA78" s="595"/>
      <c r="AB78" s="595"/>
      <c r="AC78" s="595"/>
      <c r="AD78" s="595"/>
      <c r="AE78" s="595"/>
      <c r="AF78" s="595"/>
      <c r="AG78" s="595"/>
      <c r="AH78" s="595"/>
      <c r="AI78" s="595"/>
      <c r="AJ78" s="595"/>
      <c r="AK78" s="595"/>
      <c r="AL78" s="595"/>
      <c r="AO78" s="596"/>
      <c r="AP78" s="596"/>
      <c r="AQ78" s="596"/>
      <c r="AR78" s="596"/>
      <c r="AS78" s="596"/>
      <c r="AT78" s="586"/>
      <c r="AU78" s="596"/>
      <c r="AV78" s="596"/>
      <c r="AW78" s="596"/>
      <c r="AX78" s="596"/>
      <c r="AY78" s="596"/>
      <c r="AZ78" s="587"/>
      <c r="BA78" s="596"/>
      <c r="BB78" s="596" t="str">
        <f t="shared" ref="BB78:BB95" si="70">IF(AP78="","",AP78)</f>
        <v/>
      </c>
      <c r="BC78" s="596" t="str">
        <f t="shared" ref="BC78:BC95" si="71">IF(AQ78="","",AQ78)</f>
        <v/>
      </c>
      <c r="BD78" s="596" t="str">
        <f t="shared" si="36"/>
        <v/>
      </c>
      <c r="BE78" s="596" t="str">
        <f t="shared" ref="BE78:BE95" si="72">IF(AS78="","",AS78)</f>
        <v/>
      </c>
      <c r="BF78" s="586" t="str">
        <f t="shared" ref="BF78:BF95" si="73">IF(AT78="","",AT78)</f>
        <v/>
      </c>
      <c r="BG78" s="596"/>
      <c r="BH78" s="596" t="str">
        <f t="shared" si="51"/>
        <v/>
      </c>
      <c r="BI78" s="596" t="str">
        <f t="shared" si="52"/>
        <v/>
      </c>
      <c r="BJ78" s="596" t="str">
        <f t="shared" si="53"/>
        <v/>
      </c>
      <c r="BK78" s="587" t="str">
        <f t="shared" si="54"/>
        <v/>
      </c>
      <c r="BL78" s="586"/>
      <c r="BN78" s="593" t="str">
        <f>IF($BL78="","",($BP78-$BM78)*5/25+$BM78)</f>
        <v/>
      </c>
      <c r="BO78" s="593" t="str">
        <f>IF($BL78="","",($BP78-$BM78)*15/25+$BM78)</f>
        <v/>
      </c>
      <c r="BP78" s="593" t="str">
        <f>IF($BL78="","",IF($BL78="*",$BM78*(1+$BN$29),E78))</f>
        <v/>
      </c>
      <c r="BQ78" s="593" t="str">
        <f>IF(G78="","",IF(COUNTIF(#REF!,$B78)=1,SUMIF(#REF!,RES!$B78,#REF!),SUMIF(#REF!,RES!$B78,#REF!)))</f>
        <v/>
      </c>
    </row>
    <row r="79" spans="1:3723" ht="15.35" outlineLevel="1">
      <c r="A79" s="108" t="s">
        <v>1008</v>
      </c>
      <c r="B79" s="30" t="s">
        <v>355</v>
      </c>
      <c r="C79" s="43" t="s">
        <v>242</v>
      </c>
      <c r="D79" s="43" t="s">
        <v>262</v>
      </c>
      <c r="E79" s="525">
        <f>INDEX('Electrical efficiency'!$L$8:$L$23,MATCH(RES!D79,'Electrical efficiency'!$K$8:$K$23,0))</f>
        <v>0.65</v>
      </c>
      <c r="F79" s="600">
        <v>1</v>
      </c>
      <c r="G79" s="600">
        <v>1</v>
      </c>
      <c r="H79" s="600">
        <f t="shared" ref="H79:H84" si="74">N79/F79*(1+$D$31)</f>
        <v>5.6431502643056408</v>
      </c>
      <c r="I79" s="628">
        <v>1E-3</v>
      </c>
      <c r="J79" s="517"/>
      <c r="K79" s="48" t="s">
        <v>931</v>
      </c>
      <c r="L79" s="516">
        <v>1</v>
      </c>
      <c r="M79" s="516">
        <f>IF(C79="","",SUMIFS(Energy_Balance!I$55:I$160,Energy_Balance!$C$55:$C$160,C79,Energy_Balance!$D$55:$D$160,D79)*L79)</f>
        <v>8.6817696373932929</v>
      </c>
      <c r="N79" s="516">
        <f t="shared" si="28"/>
        <v>5.6431502643056408</v>
      </c>
      <c r="O79" s="25"/>
      <c r="P79" s="377">
        <f t="shared" ref="P79:S84" si="75">IF($G$16=0,BN79,IF($G$16=1,BS79,IF($G$16=2,BX79,IF($G$16=3,BN79,IF($G$16=4,BS79,"NA")))))</f>
        <v>0.66326530612244905</v>
      </c>
      <c r="Q79" s="377">
        <f t="shared" si="75"/>
        <v>0.71428571428571419</v>
      </c>
      <c r="R79" s="377">
        <f t="shared" si="75"/>
        <v>0.73033707865168551</v>
      </c>
      <c r="S79" s="377">
        <f t="shared" si="75"/>
        <v>0.73033707865168551</v>
      </c>
      <c r="T79" s="208"/>
      <c r="U79" s="50"/>
      <c r="V79" s="681">
        <f t="shared" ref="V79:W84" si="76">IF($G$16=1,AO79,IF($G$16=2,AO79,IF($G$16=3,BA79,AO79)))</f>
        <v>0.52961437580371462</v>
      </c>
      <c r="W79" s="50">
        <f t="shared" si="76"/>
        <v>0.55394159953405775</v>
      </c>
      <c r="X79" s="50">
        <f t="shared" ref="X79:X84" si="77">$V$32*W79+(1-$V$32)*Y79</f>
        <v>0.5669011682731373</v>
      </c>
      <c r="Y79" s="50">
        <f t="shared" ref="Y79:Y84" si="78">IF($G$16=1,AQ79,IF($G$16=2,AQ79,IF($G$16=3,BC79,AQ79)))</f>
        <v>0.5885004495049363</v>
      </c>
      <c r="Z79" s="50">
        <f t="shared" ref="Z79:Z84" si="79">$V$32*Y79+(1-$V$32)*AA79</f>
        <v>0.70531278094058525</v>
      </c>
      <c r="AA79" s="50">
        <f t="shared" ref="AA79:AA84" si="80">IF($G$16=1,AR79,IF($G$16=2,AR79,IF($G$16=3,BD79,AR79)))</f>
        <v>0.9</v>
      </c>
      <c r="AB79" s="50">
        <f t="shared" ref="AB79:AB84" si="81">$V$32*AA79+(1-$V$32)*AC79</f>
        <v>0.9</v>
      </c>
      <c r="AC79" s="50">
        <f t="shared" ref="AC79:AC84" si="82">IF($G$16=1,AS79,IF($G$16=2,AS79,IF($G$16=3,BE79,AS79)))</f>
        <v>0.9</v>
      </c>
      <c r="AD79" s="50"/>
      <c r="AE79" s="681">
        <f>IF($G$16=1,AU79,IF($G$16=2,AU79,IF($G$16=3,#REF!,AU79)))</f>
        <v>0.52851437580371463</v>
      </c>
      <c r="AF79" s="50">
        <f>IF($G$16=1,AV79,IF($G$16=2,AV79,IF($G$16=3,#REF!,AV79)))</f>
        <v>0.55079314928935952</v>
      </c>
      <c r="AG79" s="50">
        <f t="shared" ref="AG79:AG84" si="83">$V$32*AF79+(1-$V$32)*AH79</f>
        <v>0.56372580122582883</v>
      </c>
      <c r="AH79" s="50">
        <f t="shared" ref="AH79:AH84" si="84">IF($G$16=1,AW79,IF($G$16=2,AW79,IF($G$16=3,BH79,AW79)))</f>
        <v>0.58528022111994438</v>
      </c>
      <c r="AI79" s="50">
        <f t="shared" ref="AI79:AI84" si="85">$V$32*AH79+(1-$V$32)*AJ79</f>
        <v>0.5982128730564138</v>
      </c>
      <c r="AJ79" s="50">
        <f t="shared" ref="AJ79:AJ84" si="86">IF($G$16=1,AX79,IF($G$16=2,AX79,IF($G$16=3,BI79,AX79)))</f>
        <v>0.61976729295052935</v>
      </c>
      <c r="AK79" s="50">
        <f t="shared" ref="AK79:AK84" si="87">$V$32*AJ79+(1-$V$32)*AL79</f>
        <v>0.63269994488699877</v>
      </c>
      <c r="AL79" s="50">
        <f t="shared" ref="AL79:AL84" si="88">IF($G$16=1,AY79,IF($G$16=2,AY79,IF($G$16=3,BJ79,AY79)))</f>
        <v>0.65425436478111443</v>
      </c>
      <c r="AO79" s="449">
        <f>(IFERROR(IF(N79/(SUMIF(RES!$D$39:$D$145,D79,$N$39:$N$145))=1,1,(N79/(SUMIF(RES!$D$39:$D$145,D79,$N$39:$N$145))+$AO$28)),0))</f>
        <v>0.52961437580371462</v>
      </c>
      <c r="AP79" s="450">
        <f>$AO79*(1+'Census 2011_17'!B$20)+$AO$28</f>
        <v>0.55394159953405775</v>
      </c>
      <c r="AQ79" s="450">
        <f>$AO79*(1+'Census 2011_17'!C$20)+$AO$28</f>
        <v>0.5885004495049363</v>
      </c>
      <c r="AR79" s="459">
        <v>0.9</v>
      </c>
      <c r="AS79" s="459">
        <v>0.9</v>
      </c>
      <c r="AT79" s="21"/>
      <c r="AU79" s="451">
        <f>(IFERROR(IF($N79/(SUMIF(RES!$D$39:$D$145,$D79,$N$39:$N$145))=1,1,($N79/(SUMIF(RES!$D$39:$D$145,$D79,$N$39:$N$145))-$AU$28)),0))</f>
        <v>0.52851437580371463</v>
      </c>
      <c r="AV79" s="452">
        <f>$AU79*(1+'Census 2011_17'!B$20)-$AO$28</f>
        <v>0.55079314928935952</v>
      </c>
      <c r="AW79" s="452">
        <f>$AU79*(1+'Census 2011_17'!C$20)-$AO$28</f>
        <v>0.58528022111994438</v>
      </c>
      <c r="AX79" s="452">
        <f>$AU79*(1+'Census 2011_17'!D$20)-$AO$28</f>
        <v>0.61976729295052935</v>
      </c>
      <c r="AY79" s="452">
        <f>$AU79*(1+'Census 2011_17'!E$20)-$AO$28</f>
        <v>0.65425436478111443</v>
      </c>
      <c r="AZ79" s="125"/>
      <c r="BA79" s="140"/>
      <c r="BB79" s="140">
        <f t="shared" si="70"/>
        <v>0.55394159953405775</v>
      </c>
      <c r="BC79" s="140">
        <f t="shared" si="71"/>
        <v>0.5885004495049363</v>
      </c>
      <c r="BD79" s="140">
        <f t="shared" ref="BD79:BD95" si="89">IF(AR79="","",AR79)</f>
        <v>0.9</v>
      </c>
      <c r="BE79" s="140">
        <f t="shared" si="72"/>
        <v>0.9</v>
      </c>
      <c r="BF79" s="21" t="str">
        <f t="shared" si="73"/>
        <v/>
      </c>
      <c r="BG79" s="172"/>
      <c r="BH79" s="140">
        <f t="shared" si="51"/>
        <v>0.58528022111994438</v>
      </c>
      <c r="BI79" s="140">
        <f t="shared" si="52"/>
        <v>0.61976729295052935</v>
      </c>
      <c r="BJ79" s="140">
        <f t="shared" si="53"/>
        <v>0.65425436478111443</v>
      </c>
      <c r="BK79" s="125" t="str">
        <f t="shared" si="54"/>
        <v/>
      </c>
      <c r="BL79" s="257" t="s">
        <v>110</v>
      </c>
      <c r="BM79" s="527">
        <f t="shared" ref="BM79:BM84" si="90">E79</f>
        <v>0.65</v>
      </c>
      <c r="BN79" s="377">
        <f>INDEX('Electrical efficiency'!$M$8:$M$23,MATCH(RES!D79,'Electrical efficiency'!$K$8:$K$23,0))</f>
        <v>0.66326530612244905</v>
      </c>
      <c r="BO79" s="377">
        <f>INDEX('Electrical efficiency'!$N$8:$N$23,MATCH(RES!D79,'Electrical efficiency'!$K$8:$K$23,0))</f>
        <v>0.71428571428571419</v>
      </c>
      <c r="BP79" s="377">
        <f>INDEX('Electrical efficiency'!$O$8:$O$23,MATCH(RES!D79,'Electrical efficiency'!$K$8:$K$23,0))</f>
        <v>0.73033707865168551</v>
      </c>
      <c r="BQ79" s="377">
        <f>INDEX('Electrical efficiency'!$P$8:$P$23,MATCH(RES!D79,'Electrical efficiency'!$K$8:$K$23,0))</f>
        <v>0.73033707865168551</v>
      </c>
      <c r="BR79" s="257" t="s">
        <v>110</v>
      </c>
    </row>
    <row r="80" spans="1:3723" s="35" customFormat="1" ht="15.35" outlineLevel="1">
      <c r="A80" s="108" t="s">
        <v>1009</v>
      </c>
      <c r="B80" s="30" t="s">
        <v>356</v>
      </c>
      <c r="C80" s="43" t="s">
        <v>243</v>
      </c>
      <c r="D80" s="43" t="s">
        <v>262</v>
      </c>
      <c r="E80" s="517">
        <v>0.61</v>
      </c>
      <c r="F80" s="600">
        <v>1</v>
      </c>
      <c r="G80" s="600">
        <v>1</v>
      </c>
      <c r="H80" s="600">
        <f t="shared" si="74"/>
        <v>0.35192513068893289</v>
      </c>
      <c r="I80" s="628">
        <v>1E-3</v>
      </c>
      <c r="J80" s="517"/>
      <c r="K80" s="48"/>
      <c r="L80" s="516">
        <v>1</v>
      </c>
      <c r="M80" s="516">
        <f>IF(C80="","",SUMIFS(Energy_Balance!I$55:I$160,Energy_Balance!$C$55:$C$160,C80,Energy_Balance!$D$55:$D$160,D80)*L80)</f>
        <v>0.57692644375234903</v>
      </c>
      <c r="N80" s="516">
        <f t="shared" si="28"/>
        <v>0.35192513068893289</v>
      </c>
      <c r="O80" s="25"/>
      <c r="P80" s="377">
        <f t="shared" si="75"/>
        <v>0.61</v>
      </c>
      <c r="Q80" s="377">
        <f t="shared" si="75"/>
        <v>0.61</v>
      </c>
      <c r="R80" s="377">
        <f t="shared" si="75"/>
        <v>0.61</v>
      </c>
      <c r="S80" s="377">
        <f t="shared" si="75"/>
        <v>0.61</v>
      </c>
      <c r="T80" s="208"/>
      <c r="U80" s="50"/>
      <c r="V80" s="681">
        <f t="shared" si="76"/>
        <v>3.396610484847E-2</v>
      </c>
      <c r="W80" s="50">
        <f t="shared" si="76"/>
        <v>3.8281667896549201E-2</v>
      </c>
      <c r="X80" s="50">
        <f t="shared" si="77"/>
        <v>3.7345869589926542E-2</v>
      </c>
      <c r="Y80" s="50">
        <f t="shared" si="78"/>
        <v>3.5786205745555445E-2</v>
      </c>
      <c r="Z80" s="50">
        <f t="shared" si="79"/>
        <v>3.4850407438932779E-2</v>
      </c>
      <c r="AA80" s="50">
        <f t="shared" si="80"/>
        <v>3.3290743594561675E-2</v>
      </c>
      <c r="AB80" s="50">
        <f t="shared" si="81"/>
        <v>3.2354945287939016E-2</v>
      </c>
      <c r="AC80" s="50">
        <f t="shared" si="82"/>
        <v>3.0795281443567916E-2</v>
      </c>
      <c r="AD80" s="50"/>
      <c r="AE80" s="681">
        <f>IF($G$16=1,AU80,IF($G$16=2,AU80,IF($G$16=3,#REF!,AU80)))</f>
        <v>3.2866104848469996E-2</v>
      </c>
      <c r="AF80" s="50">
        <f>IF($G$16=1,AV80,IF($G$16=2,AV80,IF($G$16=3,#REF!,AV80)))</f>
        <v>3.1143398723702819E-2</v>
      </c>
      <c r="AG80" s="50">
        <f t="shared" si="83"/>
        <v>3.0241895321054389E-2</v>
      </c>
      <c r="AH80" s="50">
        <f t="shared" si="84"/>
        <v>2.8739389649973673E-2</v>
      </c>
      <c r="AI80" s="50">
        <f t="shared" si="85"/>
        <v>2.7837886247325243E-2</v>
      </c>
      <c r="AJ80" s="50">
        <f t="shared" si="86"/>
        <v>2.6335380576244519E-2</v>
      </c>
      <c r="AK80" s="50">
        <f t="shared" si="87"/>
        <v>1.6459612860152826E-2</v>
      </c>
      <c r="AL80" s="50">
        <f t="shared" si="88"/>
        <v>0</v>
      </c>
      <c r="AM80"/>
      <c r="AN80"/>
      <c r="AO80" s="140">
        <f>(IFERROR(IF(N80/(SUMIF(RES!$D$39:$D$145,D80,$N$39:$N$145))=1,1,(N80/(SUMIF(RES!$D$39:$D$145,D80,$N$39:$N$145))+$AO$28)),0))</f>
        <v>3.396610484847E-2</v>
      </c>
      <c r="AP80" s="296">
        <f>$AO80-RES!$AO$79*'Census 2011_17'!B$20*RES!$AO80/(1-RES!$AO$79)+$AO$28+AP$28</f>
        <v>3.8281667896549201E-2</v>
      </c>
      <c r="AQ80" s="296">
        <f>$AO80-RES!$AO$79*'Census 2011_17'!C$20*RES!$AO80/(1-RES!$AO$79)+$AO$28+AQ$28</f>
        <v>3.5786205745555445E-2</v>
      </c>
      <c r="AR80" s="296">
        <f>$AO80-RES!$AO$79*'Census 2011_17'!D$20*RES!$AO80/(1-RES!$AO$79)+$AO$28+AR$28</f>
        <v>3.3290743594561675E-2</v>
      </c>
      <c r="AS80" s="296">
        <f>$AO80-RES!$AO$79*'Census 2011_17'!E$20*RES!$AO80/(1-RES!$AO$79)+$AO$28+AS$28</f>
        <v>3.0795281443567916E-2</v>
      </c>
      <c r="AT80" s="21"/>
      <c r="AU80" s="198">
        <f>(IFERROR(IF($N80/(SUMIF(RES!$D$39:$D$145,$D80,$N$39:$N$145))=1,1,($N80/(SUMIF(RES!$D$39:$D$145,$D80,$N$39:$N$145))-$AU$28)),0))</f>
        <v>3.2866104848469996E-2</v>
      </c>
      <c r="AV80" s="296">
        <f>$AU80-RES!$AU$79*'Census 2011_17'!B$20*RES!$AU80/(1-RES!$AU$79)-$AU$28</f>
        <v>3.1143398723702819E-2</v>
      </c>
      <c r="AW80" s="296">
        <f>$AU80-RES!$AU$79*'Census 2011_17'!C$20*RES!$AU80/(1-RES!$AU$79)-$AU$28</f>
        <v>2.8739389649973673E-2</v>
      </c>
      <c r="AX80" s="296">
        <f>$AU80-RES!$AU$79*'Census 2011_17'!D$20*RES!$AU80/(1-RES!$AU$79)-$AU$28</f>
        <v>2.6335380576244519E-2</v>
      </c>
      <c r="AY80" s="459">
        <v>0</v>
      </c>
      <c r="AZ80" s="125"/>
      <c r="BA80" s="140"/>
      <c r="BB80" s="140">
        <f t="shared" si="70"/>
        <v>3.8281667896549201E-2</v>
      </c>
      <c r="BC80" s="140">
        <f t="shared" si="71"/>
        <v>3.5786205745555445E-2</v>
      </c>
      <c r="BD80" s="140">
        <f t="shared" si="89"/>
        <v>3.3290743594561675E-2</v>
      </c>
      <c r="BE80" s="140">
        <f t="shared" si="72"/>
        <v>3.0795281443567916E-2</v>
      </c>
      <c r="BF80" s="21" t="str">
        <f t="shared" si="73"/>
        <v/>
      </c>
      <c r="BG80" s="172"/>
      <c r="BH80" s="140">
        <f t="shared" si="51"/>
        <v>2.8739389649973673E-2</v>
      </c>
      <c r="BI80" s="140">
        <f t="shared" si="52"/>
        <v>2.6335380576244519E-2</v>
      </c>
      <c r="BJ80" s="140">
        <f t="shared" si="53"/>
        <v>0</v>
      </c>
      <c r="BK80" s="125" t="str">
        <f t="shared" si="54"/>
        <v/>
      </c>
      <c r="BL80" s="21" t="s">
        <v>517</v>
      </c>
      <c r="BM80" s="527">
        <f t="shared" si="90"/>
        <v>0.61</v>
      </c>
      <c r="BN80" s="377">
        <f>E80</f>
        <v>0.61</v>
      </c>
      <c r="BO80" s="377">
        <f>IF($BL80="","",($BQ80-$BN80)*1/3+$BN80)</f>
        <v>0.61</v>
      </c>
      <c r="BP80" s="377">
        <f>IF($BL80="","",($BQ80-$BN80)*2/3+$BN80)</f>
        <v>0.61</v>
      </c>
      <c r="BQ80" s="377">
        <f>IF($BL80="","",IF($BL80="*",$BM80*(1+$BN$29),E80))</f>
        <v>0.61</v>
      </c>
      <c r="BR80" t="s">
        <v>517</v>
      </c>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c r="AQJ80"/>
      <c r="AQK80"/>
      <c r="AQL80"/>
      <c r="AQM80"/>
      <c r="AQN80"/>
      <c r="AQO80"/>
      <c r="AQP80"/>
      <c r="AQQ80"/>
      <c r="AQR80"/>
      <c r="AQS80"/>
      <c r="AQT80"/>
      <c r="AQU80"/>
      <c r="AQV80"/>
      <c r="AQW80"/>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c r="AXQ80"/>
      <c r="AXR80"/>
      <c r="AXS80"/>
      <c r="AXT80"/>
      <c r="AXU80"/>
      <c r="AXV80"/>
      <c r="AXW80"/>
      <c r="AXX80"/>
      <c r="AXY80"/>
      <c r="AXZ80"/>
      <c r="AYA80"/>
      <c r="AYB80"/>
      <c r="AYC80"/>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c r="BEO80"/>
      <c r="BEP80"/>
      <c r="BEQ80"/>
      <c r="BER80"/>
      <c r="BES80"/>
      <c r="BET80"/>
      <c r="BEU80"/>
      <c r="BEV80"/>
      <c r="BEW80"/>
      <c r="BEX80"/>
      <c r="BEY80"/>
      <c r="BEZ80"/>
      <c r="BFA80"/>
      <c r="BFB80"/>
      <c r="BFC80"/>
      <c r="BFD80"/>
      <c r="BFE80"/>
      <c r="BFF80"/>
      <c r="BFG80"/>
      <c r="BFH80"/>
      <c r="BFI80"/>
      <c r="BFJ80"/>
      <c r="BFK80"/>
      <c r="BFL80"/>
      <c r="BFM80"/>
      <c r="BFN80"/>
      <c r="BFO80"/>
      <c r="BFP80"/>
      <c r="BFQ80"/>
      <c r="BFR80"/>
      <c r="BFS80"/>
      <c r="BFT80"/>
      <c r="BFU80"/>
      <c r="BFV80"/>
      <c r="BFW80"/>
      <c r="BFX80"/>
      <c r="BFY80"/>
      <c r="BFZ80"/>
      <c r="BGA80"/>
      <c r="BGB80"/>
      <c r="BGC80"/>
      <c r="BGD80"/>
      <c r="BGE80"/>
      <c r="BGF80"/>
      <c r="BGG80"/>
      <c r="BGH80"/>
      <c r="BGI80"/>
      <c r="BGJ80"/>
      <c r="BGK80"/>
      <c r="BGL80"/>
      <c r="BGM80"/>
      <c r="BGN80"/>
      <c r="BGO80"/>
      <c r="BGP80"/>
      <c r="BGQ80"/>
      <c r="BGR80"/>
      <c r="BGS80"/>
      <c r="BGT80"/>
      <c r="BGU80"/>
      <c r="BGV80"/>
      <c r="BGW80"/>
      <c r="BGX80"/>
      <c r="BGY80"/>
      <c r="BGZ80"/>
      <c r="BHA80"/>
      <c r="BHB80"/>
      <c r="BHC80"/>
      <c r="BHD80"/>
      <c r="BHE80"/>
      <c r="BHF80"/>
      <c r="BHG80"/>
      <c r="BHH80"/>
      <c r="BHI80"/>
      <c r="BHJ80"/>
      <c r="BHK80"/>
      <c r="BHL80"/>
      <c r="BHM80"/>
      <c r="BHN80"/>
      <c r="BHO80"/>
      <c r="BHP80"/>
      <c r="BHQ80"/>
      <c r="BHR80"/>
      <c r="BHS80"/>
      <c r="BHT80"/>
      <c r="BHU80"/>
      <c r="BHV80"/>
      <c r="BHW80"/>
      <c r="BHX80"/>
      <c r="BHY80"/>
      <c r="BHZ80"/>
      <c r="BIA80"/>
      <c r="BIB80"/>
      <c r="BIC80"/>
      <c r="BID80"/>
      <c r="BIE80"/>
      <c r="BIF80"/>
      <c r="BIG80"/>
      <c r="BIH80"/>
      <c r="BII80"/>
      <c r="BIJ80"/>
      <c r="BIK80"/>
      <c r="BIL80"/>
      <c r="BIM80"/>
      <c r="BIN80"/>
      <c r="BIO80"/>
      <c r="BIP80"/>
      <c r="BIQ80"/>
      <c r="BIR80"/>
      <c r="BIS80"/>
      <c r="BIT80"/>
      <c r="BIU80"/>
      <c r="BIV80"/>
      <c r="BIW80"/>
      <c r="BIX80"/>
      <c r="BIY80"/>
      <c r="BIZ80"/>
      <c r="BJA80"/>
      <c r="BJB80"/>
      <c r="BJC80"/>
      <c r="BJD80"/>
      <c r="BJE80"/>
      <c r="BJF80"/>
      <c r="BJG80"/>
      <c r="BJH80"/>
      <c r="BJI80"/>
      <c r="BJJ80"/>
      <c r="BJK80"/>
      <c r="BJL80"/>
      <c r="BJM80"/>
      <c r="BJN80"/>
      <c r="BJO80"/>
      <c r="BJP80"/>
      <c r="BJQ80"/>
      <c r="BJR80"/>
      <c r="BJS80"/>
      <c r="BJT80"/>
      <c r="BJU80"/>
      <c r="BJV80"/>
      <c r="BJW80"/>
      <c r="BJX80"/>
      <c r="BJY80"/>
      <c r="BJZ80"/>
      <c r="BKA80"/>
      <c r="BKB80"/>
      <c r="BKC80"/>
      <c r="BKD80"/>
      <c r="BKE80"/>
      <c r="BKF80"/>
      <c r="BKG80"/>
      <c r="BKH80"/>
      <c r="BKI80"/>
      <c r="BKJ80"/>
      <c r="BKK80"/>
      <c r="BKL80"/>
      <c r="BKM80"/>
      <c r="BKN80"/>
      <c r="BKO80"/>
      <c r="BKP80"/>
      <c r="BKQ80"/>
      <c r="BKR80"/>
      <c r="BKS80"/>
      <c r="BKT80"/>
      <c r="BKU80"/>
      <c r="BKV80"/>
      <c r="BKW80"/>
      <c r="BKX80"/>
      <c r="BKY80"/>
      <c r="BKZ80"/>
      <c r="BLA80"/>
      <c r="BLB80"/>
      <c r="BLC80"/>
      <c r="BLD80"/>
      <c r="BLE80"/>
      <c r="BLF80"/>
      <c r="BLG80"/>
      <c r="BLH80"/>
      <c r="BLI80"/>
      <c r="BLJ80"/>
      <c r="BLK80"/>
      <c r="BLL80"/>
      <c r="BLM80"/>
      <c r="BLN80"/>
      <c r="BLO80"/>
      <c r="BLP80"/>
      <c r="BLQ80"/>
      <c r="BLR80"/>
      <c r="BLS80"/>
      <c r="BLT80"/>
      <c r="BLU80"/>
      <c r="BLV80"/>
      <c r="BLW80"/>
      <c r="BLX80"/>
      <c r="BLY80"/>
      <c r="BLZ80"/>
      <c r="BMA80"/>
      <c r="BMB80"/>
      <c r="BMC80"/>
      <c r="BMD80"/>
      <c r="BME80"/>
      <c r="BMF80"/>
      <c r="BMG80"/>
      <c r="BMH80"/>
      <c r="BMI80"/>
      <c r="BMJ80"/>
      <c r="BMK80"/>
      <c r="BML80"/>
      <c r="BMM80"/>
      <c r="BMN80"/>
      <c r="BMO80"/>
      <c r="BMP80"/>
      <c r="BMQ80"/>
      <c r="BMR80"/>
      <c r="BMS80"/>
      <c r="BMT80"/>
      <c r="BMU80"/>
      <c r="BMV80"/>
      <c r="BMW80"/>
      <c r="BMX80"/>
      <c r="BMY80"/>
      <c r="BMZ80"/>
      <c r="BNA80"/>
      <c r="BNB80"/>
      <c r="BNC80"/>
      <c r="BND80"/>
      <c r="BNE80"/>
      <c r="BNF80"/>
      <c r="BNG80"/>
      <c r="BNH80"/>
      <c r="BNI80"/>
      <c r="BNJ80"/>
      <c r="BNK80"/>
      <c r="BNL80"/>
      <c r="BNM80"/>
      <c r="BNN80"/>
      <c r="BNO80"/>
      <c r="BNP80"/>
      <c r="BNQ80"/>
      <c r="BNR80"/>
      <c r="BNS80"/>
      <c r="BNT80"/>
      <c r="BNU80"/>
      <c r="BNV80"/>
      <c r="BNW80"/>
      <c r="BNX80"/>
      <c r="BNY80"/>
      <c r="BNZ80"/>
      <c r="BOA80"/>
      <c r="BOB80"/>
      <c r="BOC80"/>
      <c r="BOD80"/>
      <c r="BOE80"/>
      <c r="BOF80"/>
      <c r="BOG80"/>
      <c r="BOH80"/>
      <c r="BOI80"/>
      <c r="BOJ80"/>
      <c r="BOK80"/>
      <c r="BOL80"/>
      <c r="BOM80"/>
      <c r="BON80"/>
      <c r="BOO80"/>
      <c r="BOP80"/>
      <c r="BOQ80"/>
      <c r="BOR80"/>
      <c r="BOS80"/>
      <c r="BOT80"/>
      <c r="BOU80"/>
      <c r="BOV80"/>
      <c r="BOW80"/>
      <c r="BOX80"/>
      <c r="BOY80"/>
      <c r="BOZ80"/>
      <c r="BPA80"/>
      <c r="BPB80"/>
      <c r="BPC80"/>
      <c r="BPD80"/>
      <c r="BPE80"/>
      <c r="BPF80"/>
      <c r="BPG80"/>
      <c r="BPH80"/>
      <c r="BPI80"/>
      <c r="BPJ80"/>
      <c r="BPK80"/>
      <c r="BPL80"/>
      <c r="BPM80"/>
      <c r="BPN80"/>
      <c r="BPO80"/>
      <c r="BPP80"/>
      <c r="BPQ80"/>
      <c r="BPR80"/>
      <c r="BPS80"/>
      <c r="BPT80"/>
      <c r="BPU80"/>
      <c r="BPV80"/>
      <c r="BPW80"/>
      <c r="BPX80"/>
      <c r="BPY80"/>
      <c r="BPZ80"/>
      <c r="BQA80"/>
      <c r="BQB80"/>
      <c r="BQC80"/>
      <c r="BQD80"/>
      <c r="BQE80"/>
      <c r="BQF80"/>
      <c r="BQG80"/>
      <c r="BQH80"/>
      <c r="BQI80"/>
      <c r="BQJ80"/>
      <c r="BQK80"/>
      <c r="BQL80"/>
      <c r="BQM80"/>
      <c r="BQN80"/>
      <c r="BQO80"/>
      <c r="BQP80"/>
      <c r="BQQ80"/>
      <c r="BQR80"/>
      <c r="BQS80"/>
      <c r="BQT80"/>
      <c r="BQU80"/>
      <c r="BQV80"/>
      <c r="BQW80"/>
      <c r="BQX80"/>
      <c r="BQY80"/>
      <c r="BQZ80"/>
      <c r="BRA80"/>
      <c r="BRB80"/>
      <c r="BRC80"/>
      <c r="BRD80"/>
      <c r="BRE80"/>
      <c r="BRF80"/>
      <c r="BRG80"/>
      <c r="BRH80"/>
      <c r="BRI80"/>
      <c r="BRJ80"/>
      <c r="BRK80"/>
      <c r="BRL80"/>
      <c r="BRM80"/>
      <c r="BRN80"/>
      <c r="BRO80"/>
      <c r="BRP80"/>
      <c r="BRQ80"/>
      <c r="BRR80"/>
      <c r="BRS80"/>
      <c r="BRT80"/>
      <c r="BRU80"/>
      <c r="BRV80"/>
      <c r="BRW80"/>
      <c r="BRX80"/>
      <c r="BRY80"/>
      <c r="BRZ80"/>
      <c r="BSA80"/>
      <c r="BSB80"/>
      <c r="BSC80"/>
      <c r="BSD80"/>
      <c r="BSE80"/>
      <c r="BSF80"/>
      <c r="BSG80"/>
      <c r="BSH80"/>
      <c r="BSI80"/>
      <c r="BSJ80"/>
      <c r="BSK80"/>
      <c r="BSL80"/>
      <c r="BSM80"/>
      <c r="BSN80"/>
      <c r="BSO80"/>
      <c r="BSP80"/>
      <c r="BSQ80"/>
      <c r="BSR80"/>
      <c r="BSS80"/>
      <c r="BST80"/>
      <c r="BSU80"/>
      <c r="BSV80"/>
      <c r="BSW80"/>
      <c r="BSX80"/>
      <c r="BSY80"/>
      <c r="BSZ80"/>
      <c r="BTA80"/>
      <c r="BTB80"/>
      <c r="BTC80"/>
      <c r="BTD80"/>
      <c r="BTE80"/>
      <c r="BTF80"/>
      <c r="BTG80"/>
      <c r="BTH80"/>
      <c r="BTI80"/>
      <c r="BTJ80"/>
      <c r="BTK80"/>
      <c r="BTL80"/>
      <c r="BTM80"/>
      <c r="BTN80"/>
      <c r="BTO80"/>
      <c r="BTP80"/>
      <c r="BTQ80"/>
      <c r="BTR80"/>
      <c r="BTS80"/>
      <c r="BTT80"/>
      <c r="BTU80"/>
      <c r="BTV80"/>
      <c r="BTW80"/>
      <c r="BTX80"/>
      <c r="BTY80"/>
      <c r="BTZ80"/>
      <c r="BUA80"/>
      <c r="BUB80"/>
      <c r="BUC80"/>
      <c r="BUD80"/>
      <c r="BUE80"/>
      <c r="BUF80"/>
      <c r="BUG80"/>
      <c r="BUH80"/>
      <c r="BUI80"/>
      <c r="BUJ80"/>
      <c r="BUK80"/>
      <c r="BUL80"/>
      <c r="BUM80"/>
      <c r="BUN80"/>
      <c r="BUO80"/>
      <c r="BUP80"/>
      <c r="BUQ80"/>
      <c r="BUR80"/>
      <c r="BUS80"/>
      <c r="BUT80"/>
      <c r="BUU80"/>
      <c r="BUV80"/>
      <c r="BUW80"/>
      <c r="BUX80"/>
      <c r="BUY80"/>
      <c r="BUZ80"/>
      <c r="BVA80"/>
      <c r="BVB80"/>
      <c r="BVC80"/>
      <c r="BVD80"/>
      <c r="BVE80"/>
      <c r="BVF80"/>
      <c r="BVG80"/>
      <c r="BVH80"/>
      <c r="BVI80"/>
      <c r="BVJ80"/>
      <c r="BVK80"/>
      <c r="BVL80"/>
      <c r="BVM80"/>
      <c r="BVN80"/>
      <c r="BVO80"/>
      <c r="BVP80"/>
      <c r="BVQ80"/>
      <c r="BVR80"/>
      <c r="BVS80"/>
      <c r="BVT80"/>
      <c r="BVU80"/>
      <c r="BVV80"/>
      <c r="BVW80"/>
      <c r="BVX80"/>
      <c r="BVY80"/>
      <c r="BVZ80"/>
      <c r="BWA80"/>
      <c r="BWB80"/>
      <c r="BWC80"/>
      <c r="BWD80"/>
      <c r="BWE80"/>
      <c r="BWF80"/>
      <c r="BWG80"/>
      <c r="BWH80"/>
      <c r="BWI80"/>
      <c r="BWJ80"/>
      <c r="BWK80"/>
      <c r="BWL80"/>
      <c r="BWM80"/>
      <c r="BWN80"/>
      <c r="BWO80"/>
      <c r="BWP80"/>
      <c r="BWQ80"/>
      <c r="BWR80"/>
      <c r="BWS80"/>
      <c r="BWT80"/>
      <c r="BWU80"/>
      <c r="BWV80"/>
      <c r="BWW80"/>
      <c r="BWX80"/>
      <c r="BWY80"/>
      <c r="BWZ80"/>
      <c r="BXA80"/>
      <c r="BXB80"/>
      <c r="BXC80"/>
      <c r="BXD80"/>
      <c r="BXE80"/>
      <c r="BXF80"/>
      <c r="BXG80"/>
      <c r="BXH80"/>
      <c r="BXI80"/>
      <c r="BXJ80"/>
      <c r="BXK80"/>
      <c r="BXL80"/>
      <c r="BXM80"/>
      <c r="BXN80"/>
      <c r="BXO80"/>
      <c r="BXP80"/>
      <c r="BXQ80"/>
      <c r="BXR80"/>
      <c r="BXS80"/>
      <c r="BXT80"/>
      <c r="BXU80"/>
      <c r="BXV80"/>
      <c r="BXW80"/>
      <c r="BXX80"/>
      <c r="BXY80"/>
      <c r="BXZ80"/>
      <c r="BYA80"/>
      <c r="BYB80"/>
      <c r="BYC80"/>
      <c r="BYD80"/>
      <c r="BYE80"/>
      <c r="BYF80"/>
      <c r="BYG80"/>
      <c r="BYH80"/>
      <c r="BYI80"/>
      <c r="BYJ80"/>
      <c r="BYK80"/>
      <c r="BYL80"/>
      <c r="BYM80"/>
      <c r="BYN80"/>
      <c r="BYO80"/>
      <c r="BYP80"/>
      <c r="BYQ80"/>
      <c r="BYR80"/>
      <c r="BYS80"/>
      <c r="BYT80"/>
      <c r="BYU80"/>
      <c r="BYV80"/>
      <c r="BYW80"/>
      <c r="BYX80"/>
      <c r="BYY80"/>
      <c r="BYZ80"/>
      <c r="BZA80"/>
      <c r="BZB80"/>
      <c r="BZC80"/>
      <c r="BZD80"/>
      <c r="BZE80"/>
      <c r="BZF80"/>
      <c r="BZG80"/>
      <c r="BZH80"/>
      <c r="BZI80"/>
      <c r="BZJ80"/>
      <c r="BZK80"/>
      <c r="BZL80"/>
      <c r="BZM80"/>
      <c r="BZN80"/>
      <c r="BZO80"/>
      <c r="BZP80"/>
      <c r="BZQ80"/>
      <c r="BZR80"/>
      <c r="BZS80"/>
      <c r="BZT80"/>
      <c r="BZU80"/>
      <c r="BZV80"/>
      <c r="BZW80"/>
      <c r="BZX80"/>
      <c r="BZY80"/>
      <c r="BZZ80"/>
      <c r="CAA80"/>
      <c r="CAB80"/>
      <c r="CAC80"/>
      <c r="CAD80"/>
      <c r="CAE80"/>
      <c r="CAF80"/>
      <c r="CAG80"/>
      <c r="CAH80"/>
      <c r="CAI80"/>
      <c r="CAJ80"/>
      <c r="CAK80"/>
      <c r="CAL80"/>
      <c r="CAM80"/>
      <c r="CAN80"/>
      <c r="CAO80"/>
      <c r="CAP80"/>
      <c r="CAQ80"/>
      <c r="CAR80"/>
      <c r="CAS80"/>
      <c r="CAT80"/>
      <c r="CAU80"/>
      <c r="CAV80"/>
      <c r="CAW80"/>
      <c r="CAX80"/>
      <c r="CAY80"/>
      <c r="CAZ80"/>
      <c r="CBA80"/>
      <c r="CBB80"/>
      <c r="CBC80"/>
      <c r="CBD80"/>
      <c r="CBE80"/>
      <c r="CBF80"/>
      <c r="CBG80"/>
      <c r="CBH80"/>
      <c r="CBI80"/>
      <c r="CBJ80"/>
      <c r="CBK80"/>
      <c r="CBL80"/>
      <c r="CBM80"/>
      <c r="CBN80"/>
      <c r="CBO80"/>
      <c r="CBP80"/>
      <c r="CBQ80"/>
      <c r="CBR80"/>
      <c r="CBS80"/>
      <c r="CBT80"/>
      <c r="CBU80"/>
      <c r="CBV80"/>
      <c r="CBW80"/>
      <c r="CBX80"/>
      <c r="CBY80"/>
      <c r="CBZ80"/>
      <c r="CCA80"/>
      <c r="CCB80"/>
      <c r="CCC80"/>
      <c r="CCD80"/>
      <c r="CCE80"/>
      <c r="CCF80"/>
      <c r="CCG80"/>
      <c r="CCH80"/>
      <c r="CCI80"/>
      <c r="CCJ80"/>
      <c r="CCK80"/>
      <c r="CCL80"/>
      <c r="CCM80"/>
      <c r="CCN80"/>
      <c r="CCO80"/>
      <c r="CCP80"/>
      <c r="CCQ80"/>
      <c r="CCR80"/>
      <c r="CCS80"/>
      <c r="CCT80"/>
      <c r="CCU80"/>
      <c r="CCV80"/>
      <c r="CCW80"/>
      <c r="CCX80"/>
      <c r="CCY80"/>
      <c r="CCZ80"/>
      <c r="CDA80"/>
      <c r="CDB80"/>
      <c r="CDC80"/>
      <c r="CDD80"/>
      <c r="CDE80"/>
      <c r="CDF80"/>
      <c r="CDG80"/>
      <c r="CDH80"/>
      <c r="CDI80"/>
      <c r="CDJ80"/>
      <c r="CDK80"/>
      <c r="CDL80"/>
      <c r="CDM80"/>
      <c r="CDN80"/>
      <c r="CDO80"/>
      <c r="CDP80"/>
      <c r="CDQ80"/>
      <c r="CDR80"/>
      <c r="CDS80"/>
      <c r="CDT80"/>
      <c r="CDU80"/>
      <c r="CDV80"/>
      <c r="CDW80"/>
      <c r="CDX80"/>
      <c r="CDY80"/>
      <c r="CDZ80"/>
      <c r="CEA80"/>
      <c r="CEB80"/>
      <c r="CEC80"/>
      <c r="CED80"/>
      <c r="CEE80"/>
      <c r="CEF80"/>
      <c r="CEG80"/>
      <c r="CEH80"/>
      <c r="CEI80"/>
      <c r="CEJ80"/>
      <c r="CEK80"/>
      <c r="CEL80"/>
      <c r="CEM80"/>
      <c r="CEN80"/>
      <c r="CEO80"/>
      <c r="CEP80"/>
      <c r="CEQ80"/>
      <c r="CER80"/>
      <c r="CES80"/>
      <c r="CET80"/>
      <c r="CEU80"/>
      <c r="CEV80"/>
      <c r="CEW80"/>
      <c r="CEX80"/>
      <c r="CEY80"/>
      <c r="CEZ80"/>
      <c r="CFA80"/>
      <c r="CFB80"/>
      <c r="CFC80"/>
      <c r="CFD80"/>
      <c r="CFE80"/>
      <c r="CFF80"/>
      <c r="CFG80"/>
      <c r="CFH80"/>
      <c r="CFI80"/>
      <c r="CFJ80"/>
      <c r="CFK80"/>
      <c r="CFL80"/>
      <c r="CFM80"/>
      <c r="CFN80"/>
      <c r="CFO80"/>
      <c r="CFP80"/>
      <c r="CFQ80"/>
      <c r="CFR80"/>
      <c r="CFS80"/>
      <c r="CFT80"/>
      <c r="CFU80"/>
      <c r="CFV80"/>
      <c r="CFW80"/>
      <c r="CFX80"/>
      <c r="CFY80"/>
      <c r="CFZ80"/>
      <c r="CGA80"/>
      <c r="CGB80"/>
      <c r="CGC80"/>
      <c r="CGD80"/>
      <c r="CGE80"/>
      <c r="CGF80"/>
      <c r="CGG80"/>
      <c r="CGH80"/>
      <c r="CGI80"/>
      <c r="CGJ80"/>
      <c r="CGK80"/>
      <c r="CGL80"/>
      <c r="CGM80"/>
      <c r="CGN80"/>
      <c r="CGO80"/>
      <c r="CGP80"/>
      <c r="CGQ80"/>
      <c r="CGR80"/>
      <c r="CGS80"/>
      <c r="CGT80"/>
      <c r="CGU80"/>
      <c r="CGV80"/>
      <c r="CGW80"/>
      <c r="CGX80"/>
      <c r="CGY80"/>
      <c r="CGZ80"/>
      <c r="CHA80"/>
      <c r="CHB80"/>
      <c r="CHC80"/>
      <c r="CHD80"/>
      <c r="CHE80"/>
      <c r="CHF80"/>
      <c r="CHG80"/>
      <c r="CHH80"/>
      <c r="CHI80"/>
      <c r="CHJ80"/>
      <c r="CHK80"/>
      <c r="CHL80"/>
      <c r="CHM80"/>
      <c r="CHN80"/>
      <c r="CHO80"/>
      <c r="CHP80"/>
      <c r="CHQ80"/>
      <c r="CHR80"/>
      <c r="CHS80"/>
      <c r="CHT80"/>
      <c r="CHU80"/>
      <c r="CHV80"/>
      <c r="CHW80"/>
      <c r="CHX80"/>
      <c r="CHY80"/>
      <c r="CHZ80"/>
      <c r="CIA80"/>
      <c r="CIB80"/>
      <c r="CIC80"/>
      <c r="CID80"/>
      <c r="CIE80"/>
      <c r="CIF80"/>
      <c r="CIG80"/>
      <c r="CIH80"/>
      <c r="CII80"/>
      <c r="CIJ80"/>
      <c r="CIK80"/>
      <c r="CIL80"/>
      <c r="CIM80"/>
      <c r="CIN80"/>
      <c r="CIO80"/>
      <c r="CIP80"/>
      <c r="CIQ80"/>
      <c r="CIR80"/>
      <c r="CIS80"/>
      <c r="CIT80"/>
      <c r="CIU80"/>
      <c r="CIV80"/>
      <c r="CIW80"/>
      <c r="CIX80"/>
      <c r="CIY80"/>
      <c r="CIZ80"/>
      <c r="CJA80"/>
      <c r="CJB80"/>
      <c r="CJC80"/>
      <c r="CJD80"/>
      <c r="CJE80"/>
      <c r="CJF80"/>
      <c r="CJG80"/>
      <c r="CJH80"/>
      <c r="CJI80"/>
      <c r="CJJ80"/>
      <c r="CJK80"/>
      <c r="CJL80"/>
      <c r="CJM80"/>
      <c r="CJN80"/>
      <c r="CJO80"/>
      <c r="CJP80"/>
      <c r="CJQ80"/>
      <c r="CJR80"/>
      <c r="CJS80"/>
      <c r="CJT80"/>
      <c r="CJU80"/>
      <c r="CJV80"/>
      <c r="CJW80"/>
      <c r="CJX80"/>
      <c r="CJY80"/>
      <c r="CJZ80"/>
      <c r="CKA80"/>
      <c r="CKB80"/>
      <c r="CKC80"/>
      <c r="CKD80"/>
      <c r="CKE80"/>
      <c r="CKF80"/>
      <c r="CKG80"/>
      <c r="CKH80"/>
      <c r="CKI80"/>
      <c r="CKJ80"/>
      <c r="CKK80"/>
      <c r="CKL80"/>
      <c r="CKM80"/>
      <c r="CKN80"/>
      <c r="CKO80"/>
      <c r="CKP80"/>
      <c r="CKQ80"/>
      <c r="CKR80"/>
      <c r="CKS80"/>
      <c r="CKT80"/>
      <c r="CKU80"/>
      <c r="CKV80"/>
      <c r="CKW80"/>
      <c r="CKX80"/>
      <c r="CKY80"/>
      <c r="CKZ80"/>
      <c r="CLA80"/>
      <c r="CLB80"/>
      <c r="CLC80"/>
      <c r="CLD80"/>
      <c r="CLE80"/>
      <c r="CLF80"/>
      <c r="CLG80"/>
      <c r="CLH80"/>
      <c r="CLI80"/>
      <c r="CLJ80"/>
      <c r="CLK80"/>
      <c r="CLL80"/>
      <c r="CLM80"/>
      <c r="CLN80"/>
      <c r="CLO80"/>
      <c r="CLP80"/>
      <c r="CLQ80"/>
      <c r="CLR80"/>
      <c r="CLS80"/>
      <c r="CLT80"/>
      <c r="CLU80"/>
      <c r="CLV80"/>
      <c r="CLW80"/>
      <c r="CLX80"/>
      <c r="CLY80"/>
      <c r="CLZ80"/>
      <c r="CMA80"/>
      <c r="CMB80"/>
      <c r="CMC80"/>
      <c r="CMD80"/>
      <c r="CME80"/>
      <c r="CMF80"/>
      <c r="CMG80"/>
      <c r="CMH80"/>
      <c r="CMI80"/>
      <c r="CMJ80"/>
      <c r="CMK80"/>
      <c r="CML80"/>
      <c r="CMM80"/>
      <c r="CMN80"/>
      <c r="CMO80"/>
      <c r="CMP80"/>
      <c r="CMQ80"/>
      <c r="CMR80"/>
      <c r="CMS80"/>
      <c r="CMT80"/>
      <c r="CMU80"/>
      <c r="CMV80"/>
      <c r="CMW80"/>
      <c r="CMX80"/>
      <c r="CMY80"/>
      <c r="CMZ80"/>
      <c r="CNA80"/>
      <c r="CNB80"/>
      <c r="CNC80"/>
      <c r="CND80"/>
      <c r="CNE80"/>
      <c r="CNF80"/>
      <c r="CNG80"/>
      <c r="CNH80"/>
      <c r="CNI80"/>
      <c r="CNJ80"/>
      <c r="CNK80"/>
      <c r="CNL80"/>
      <c r="CNM80"/>
      <c r="CNN80"/>
      <c r="CNO80"/>
      <c r="CNP80"/>
      <c r="CNQ80"/>
      <c r="CNR80"/>
      <c r="CNS80"/>
      <c r="CNT80"/>
      <c r="CNU80"/>
      <c r="CNV80"/>
      <c r="CNW80"/>
      <c r="CNX80"/>
      <c r="CNY80"/>
      <c r="CNZ80"/>
      <c r="COA80"/>
      <c r="COB80"/>
      <c r="COC80"/>
      <c r="COD80"/>
      <c r="COE80"/>
      <c r="COF80"/>
      <c r="COG80"/>
      <c r="COH80"/>
      <c r="COI80"/>
      <c r="COJ80"/>
      <c r="COK80"/>
      <c r="COL80"/>
      <c r="COM80"/>
      <c r="CON80"/>
      <c r="COO80"/>
      <c r="COP80"/>
      <c r="COQ80"/>
      <c r="COR80"/>
      <c r="COS80"/>
      <c r="COT80"/>
      <c r="COU80"/>
      <c r="COV80"/>
      <c r="COW80"/>
      <c r="COX80"/>
      <c r="COY80"/>
      <c r="COZ80"/>
      <c r="CPA80"/>
      <c r="CPB80"/>
      <c r="CPC80"/>
      <c r="CPD80"/>
      <c r="CPE80"/>
      <c r="CPF80"/>
      <c r="CPG80"/>
      <c r="CPH80"/>
      <c r="CPI80"/>
      <c r="CPJ80"/>
      <c r="CPK80"/>
      <c r="CPL80"/>
      <c r="CPM80"/>
      <c r="CPN80"/>
      <c r="CPO80"/>
      <c r="CPP80"/>
      <c r="CPQ80"/>
      <c r="CPR80"/>
      <c r="CPS80"/>
      <c r="CPT80"/>
      <c r="CPU80"/>
      <c r="CPV80"/>
      <c r="CPW80"/>
      <c r="CPX80"/>
      <c r="CPY80"/>
      <c r="CPZ80"/>
      <c r="CQA80"/>
      <c r="CQB80"/>
      <c r="CQC80"/>
      <c r="CQD80"/>
      <c r="CQE80"/>
      <c r="CQF80"/>
      <c r="CQG80"/>
      <c r="CQH80"/>
      <c r="CQI80"/>
      <c r="CQJ80"/>
      <c r="CQK80"/>
      <c r="CQL80"/>
      <c r="CQM80"/>
      <c r="CQN80"/>
      <c r="CQO80"/>
      <c r="CQP80"/>
      <c r="CQQ80"/>
      <c r="CQR80"/>
      <c r="CQS80"/>
      <c r="CQT80"/>
      <c r="CQU80"/>
      <c r="CQV80"/>
      <c r="CQW80"/>
      <c r="CQX80"/>
      <c r="CQY80"/>
      <c r="CQZ80"/>
      <c r="CRA80"/>
      <c r="CRB80"/>
      <c r="CRC80"/>
      <c r="CRD80"/>
      <c r="CRE80"/>
      <c r="CRF80"/>
      <c r="CRG80"/>
      <c r="CRH80"/>
      <c r="CRI80"/>
      <c r="CRJ80"/>
      <c r="CRK80"/>
      <c r="CRL80"/>
      <c r="CRM80"/>
      <c r="CRN80"/>
      <c r="CRO80"/>
      <c r="CRP80"/>
      <c r="CRQ80"/>
      <c r="CRR80"/>
      <c r="CRS80"/>
      <c r="CRT80"/>
      <c r="CRU80"/>
      <c r="CRV80"/>
      <c r="CRW80"/>
      <c r="CRX80"/>
      <c r="CRY80"/>
      <c r="CRZ80"/>
      <c r="CSA80"/>
      <c r="CSB80"/>
      <c r="CSC80"/>
      <c r="CSD80"/>
      <c r="CSE80"/>
      <c r="CSF80"/>
      <c r="CSG80"/>
      <c r="CSH80"/>
      <c r="CSI80"/>
      <c r="CSJ80"/>
      <c r="CSK80"/>
      <c r="CSL80"/>
      <c r="CSM80"/>
      <c r="CSN80"/>
      <c r="CSO80"/>
      <c r="CSP80"/>
      <c r="CSQ80"/>
      <c r="CSR80"/>
      <c r="CSS80"/>
      <c r="CST80"/>
      <c r="CSU80"/>
      <c r="CSV80"/>
      <c r="CSW80"/>
      <c r="CSX80"/>
      <c r="CSY80"/>
      <c r="CSZ80"/>
      <c r="CTA80"/>
      <c r="CTB80"/>
      <c r="CTC80"/>
      <c r="CTD80"/>
      <c r="CTE80"/>
      <c r="CTF80"/>
      <c r="CTG80"/>
      <c r="CTH80"/>
      <c r="CTI80"/>
      <c r="CTJ80"/>
      <c r="CTK80"/>
      <c r="CTL80"/>
      <c r="CTM80"/>
      <c r="CTN80"/>
      <c r="CTO80"/>
      <c r="CTP80"/>
      <c r="CTQ80"/>
      <c r="CTR80"/>
      <c r="CTS80"/>
      <c r="CTT80"/>
      <c r="CTU80"/>
      <c r="CTV80"/>
      <c r="CTW80"/>
      <c r="CTX80"/>
      <c r="CTY80"/>
      <c r="CTZ80"/>
      <c r="CUA80"/>
      <c r="CUB80"/>
      <c r="CUC80"/>
      <c r="CUD80"/>
      <c r="CUE80"/>
      <c r="CUF80"/>
      <c r="CUG80"/>
      <c r="CUH80"/>
      <c r="CUI80"/>
      <c r="CUJ80"/>
      <c r="CUK80"/>
      <c r="CUL80"/>
      <c r="CUM80"/>
      <c r="CUN80"/>
      <c r="CUO80"/>
      <c r="CUP80"/>
      <c r="CUQ80"/>
      <c r="CUR80"/>
      <c r="CUS80"/>
      <c r="CUT80"/>
      <c r="CUU80"/>
      <c r="CUV80"/>
      <c r="CUW80"/>
      <c r="CUX80"/>
      <c r="CUY80"/>
      <c r="CUZ80"/>
      <c r="CVA80"/>
      <c r="CVB80"/>
      <c r="CVC80"/>
      <c r="CVD80"/>
      <c r="CVE80"/>
      <c r="CVF80"/>
      <c r="CVG80"/>
      <c r="CVH80"/>
      <c r="CVI80"/>
      <c r="CVJ80"/>
      <c r="CVK80"/>
      <c r="CVL80"/>
      <c r="CVM80"/>
      <c r="CVN80"/>
      <c r="CVO80"/>
      <c r="CVP80"/>
      <c r="CVQ80"/>
      <c r="CVR80"/>
      <c r="CVS80"/>
      <c r="CVT80"/>
      <c r="CVU80"/>
      <c r="CVV80"/>
      <c r="CVW80"/>
      <c r="CVX80"/>
      <c r="CVY80"/>
      <c r="CVZ80"/>
      <c r="CWA80"/>
      <c r="CWB80"/>
      <c r="CWC80"/>
      <c r="CWD80"/>
      <c r="CWE80"/>
      <c r="CWF80"/>
      <c r="CWG80"/>
      <c r="CWH80"/>
      <c r="CWI80"/>
      <c r="CWJ80"/>
      <c r="CWK80"/>
      <c r="CWL80"/>
      <c r="CWM80"/>
      <c r="CWN80"/>
      <c r="CWO80"/>
      <c r="CWP80"/>
      <c r="CWQ80"/>
      <c r="CWR80"/>
      <c r="CWS80"/>
      <c r="CWT80"/>
      <c r="CWU80"/>
      <c r="CWV80"/>
      <c r="CWW80"/>
      <c r="CWX80"/>
      <c r="CWY80"/>
      <c r="CWZ80"/>
      <c r="CXA80"/>
      <c r="CXB80"/>
      <c r="CXC80"/>
      <c r="CXD80"/>
      <c r="CXE80"/>
      <c r="CXF80"/>
      <c r="CXG80"/>
      <c r="CXH80"/>
      <c r="CXI80"/>
      <c r="CXJ80"/>
      <c r="CXK80"/>
      <c r="CXL80"/>
      <c r="CXM80"/>
      <c r="CXN80"/>
      <c r="CXO80"/>
      <c r="CXP80"/>
      <c r="CXQ80"/>
      <c r="CXR80"/>
      <c r="CXS80"/>
      <c r="CXT80"/>
      <c r="CXU80"/>
      <c r="CXV80"/>
      <c r="CXW80"/>
      <c r="CXX80"/>
      <c r="CXY80"/>
      <c r="CXZ80"/>
      <c r="CYA80"/>
      <c r="CYB80"/>
      <c r="CYC80"/>
      <c r="CYD80"/>
      <c r="CYE80"/>
      <c r="CYF80"/>
      <c r="CYG80"/>
      <c r="CYH80"/>
      <c r="CYI80"/>
      <c r="CYJ80"/>
      <c r="CYK80"/>
      <c r="CYL80"/>
      <c r="CYM80"/>
      <c r="CYN80"/>
      <c r="CYO80"/>
      <c r="CYP80"/>
      <c r="CYQ80"/>
      <c r="CYR80"/>
      <c r="CYS80"/>
      <c r="CYT80"/>
      <c r="CYU80"/>
      <c r="CYV80"/>
      <c r="CYW80"/>
      <c r="CYX80"/>
      <c r="CYY80"/>
      <c r="CYZ80"/>
      <c r="CZA80"/>
      <c r="CZB80"/>
      <c r="CZC80"/>
      <c r="CZD80"/>
      <c r="CZE80"/>
      <c r="CZF80"/>
      <c r="CZG80"/>
      <c r="CZH80"/>
      <c r="CZI80"/>
      <c r="CZJ80"/>
      <c r="CZK80"/>
      <c r="CZL80"/>
      <c r="CZM80"/>
      <c r="CZN80"/>
      <c r="CZO80"/>
      <c r="CZP80"/>
      <c r="CZQ80"/>
      <c r="CZR80"/>
      <c r="CZS80"/>
      <c r="CZT80"/>
      <c r="CZU80"/>
      <c r="CZV80"/>
      <c r="CZW80"/>
      <c r="CZX80"/>
      <c r="CZY80"/>
      <c r="CZZ80"/>
      <c r="DAA80"/>
      <c r="DAB80"/>
      <c r="DAC80"/>
      <c r="DAD80"/>
      <c r="DAE80"/>
      <c r="DAF80"/>
      <c r="DAG80"/>
      <c r="DAH80"/>
      <c r="DAI80"/>
      <c r="DAJ80"/>
      <c r="DAK80"/>
      <c r="DAL80"/>
      <c r="DAM80"/>
      <c r="DAN80"/>
      <c r="DAO80"/>
      <c r="DAP80"/>
      <c r="DAQ80"/>
      <c r="DAR80"/>
      <c r="DAS80"/>
      <c r="DAT80"/>
      <c r="DAU80"/>
      <c r="DAV80"/>
      <c r="DAW80"/>
      <c r="DAX80"/>
      <c r="DAY80"/>
      <c r="DAZ80"/>
      <c r="DBA80"/>
      <c r="DBB80"/>
      <c r="DBC80"/>
      <c r="DBD80"/>
      <c r="DBE80"/>
      <c r="DBF80"/>
      <c r="DBG80"/>
      <c r="DBH80"/>
      <c r="DBI80"/>
      <c r="DBJ80"/>
      <c r="DBK80"/>
      <c r="DBL80"/>
      <c r="DBM80"/>
      <c r="DBN80"/>
      <c r="DBO80"/>
      <c r="DBP80"/>
      <c r="DBQ80"/>
      <c r="DBR80"/>
      <c r="DBS80"/>
      <c r="DBT80"/>
      <c r="DBU80"/>
      <c r="DBV80"/>
      <c r="DBW80"/>
      <c r="DBX80"/>
      <c r="DBY80"/>
      <c r="DBZ80"/>
      <c r="DCA80"/>
      <c r="DCB80"/>
      <c r="DCC80"/>
      <c r="DCD80"/>
      <c r="DCE80"/>
      <c r="DCF80"/>
      <c r="DCG80"/>
      <c r="DCH80"/>
      <c r="DCI80"/>
      <c r="DCJ80"/>
      <c r="DCK80"/>
      <c r="DCL80"/>
      <c r="DCM80"/>
      <c r="DCN80"/>
      <c r="DCO80"/>
      <c r="DCP80"/>
      <c r="DCQ80"/>
      <c r="DCR80"/>
      <c r="DCS80"/>
      <c r="DCT80"/>
      <c r="DCU80"/>
      <c r="DCV80"/>
      <c r="DCW80"/>
      <c r="DCX80"/>
      <c r="DCY80"/>
      <c r="DCZ80"/>
      <c r="DDA80"/>
      <c r="DDB80"/>
      <c r="DDC80"/>
      <c r="DDD80"/>
      <c r="DDE80"/>
      <c r="DDF80"/>
      <c r="DDG80"/>
      <c r="DDH80"/>
      <c r="DDI80"/>
      <c r="DDJ80"/>
      <c r="DDK80"/>
      <c r="DDL80"/>
      <c r="DDM80"/>
      <c r="DDN80"/>
      <c r="DDO80"/>
      <c r="DDP80"/>
      <c r="DDQ80"/>
      <c r="DDR80"/>
      <c r="DDS80"/>
      <c r="DDT80"/>
      <c r="DDU80"/>
      <c r="DDV80"/>
      <c r="DDW80"/>
      <c r="DDX80"/>
      <c r="DDY80"/>
      <c r="DDZ80"/>
      <c r="DEA80"/>
      <c r="DEB80"/>
      <c r="DEC80"/>
      <c r="DED80"/>
      <c r="DEE80"/>
      <c r="DEF80"/>
      <c r="DEG80"/>
      <c r="DEH80"/>
      <c r="DEI80"/>
      <c r="DEJ80"/>
      <c r="DEK80"/>
      <c r="DEL80"/>
      <c r="DEM80"/>
      <c r="DEN80"/>
      <c r="DEO80"/>
      <c r="DEP80"/>
      <c r="DEQ80"/>
      <c r="DER80"/>
      <c r="DES80"/>
      <c r="DET80"/>
      <c r="DEU80"/>
      <c r="DEV80"/>
      <c r="DEW80"/>
      <c r="DEX80"/>
      <c r="DEY80"/>
      <c r="DEZ80"/>
      <c r="DFA80"/>
      <c r="DFB80"/>
      <c r="DFC80"/>
      <c r="DFD80"/>
      <c r="DFE80"/>
      <c r="DFF80"/>
      <c r="DFG80"/>
      <c r="DFH80"/>
      <c r="DFI80"/>
      <c r="DFJ80"/>
      <c r="DFK80"/>
      <c r="DFL80"/>
      <c r="DFM80"/>
      <c r="DFN80"/>
      <c r="DFO80"/>
      <c r="DFP80"/>
      <c r="DFQ80"/>
      <c r="DFR80"/>
      <c r="DFS80"/>
      <c r="DFT80"/>
      <c r="DFU80"/>
      <c r="DFV80"/>
      <c r="DFW80"/>
      <c r="DFX80"/>
      <c r="DFY80"/>
      <c r="DFZ80"/>
      <c r="DGA80"/>
      <c r="DGB80"/>
      <c r="DGC80"/>
      <c r="DGD80"/>
      <c r="DGE80"/>
      <c r="DGF80"/>
      <c r="DGG80"/>
      <c r="DGH80"/>
      <c r="DGI80"/>
      <c r="DGJ80"/>
      <c r="DGK80"/>
      <c r="DGL80"/>
      <c r="DGM80"/>
      <c r="DGN80"/>
      <c r="DGO80"/>
      <c r="DGP80"/>
      <c r="DGQ80"/>
      <c r="DGR80"/>
      <c r="DGS80"/>
      <c r="DGT80"/>
      <c r="DGU80"/>
      <c r="DGV80"/>
      <c r="DGW80"/>
      <c r="DGX80"/>
      <c r="DGY80"/>
      <c r="DGZ80"/>
      <c r="DHA80"/>
      <c r="DHB80"/>
      <c r="DHC80"/>
      <c r="DHD80"/>
      <c r="DHE80"/>
      <c r="DHF80"/>
      <c r="DHG80"/>
      <c r="DHH80"/>
      <c r="DHI80"/>
      <c r="DHJ80"/>
      <c r="DHK80"/>
      <c r="DHL80"/>
      <c r="DHM80"/>
      <c r="DHN80"/>
      <c r="DHO80"/>
      <c r="DHP80"/>
      <c r="DHQ80"/>
      <c r="DHR80"/>
      <c r="DHS80"/>
      <c r="DHT80"/>
      <c r="DHU80"/>
      <c r="DHV80"/>
      <c r="DHW80"/>
      <c r="DHX80"/>
      <c r="DHY80"/>
      <c r="DHZ80"/>
      <c r="DIA80"/>
      <c r="DIB80"/>
      <c r="DIC80"/>
      <c r="DID80"/>
      <c r="DIE80"/>
      <c r="DIF80"/>
      <c r="DIG80"/>
      <c r="DIH80"/>
      <c r="DII80"/>
      <c r="DIJ80"/>
      <c r="DIK80"/>
      <c r="DIL80"/>
      <c r="DIM80"/>
      <c r="DIN80"/>
      <c r="DIO80"/>
      <c r="DIP80"/>
      <c r="DIQ80"/>
      <c r="DIR80"/>
      <c r="DIS80"/>
      <c r="DIT80"/>
      <c r="DIU80"/>
      <c r="DIV80"/>
      <c r="DIW80"/>
      <c r="DIX80"/>
      <c r="DIY80"/>
      <c r="DIZ80"/>
      <c r="DJA80"/>
      <c r="DJB80"/>
      <c r="DJC80"/>
      <c r="DJD80"/>
      <c r="DJE80"/>
      <c r="DJF80"/>
      <c r="DJG80"/>
      <c r="DJH80"/>
      <c r="DJI80"/>
      <c r="DJJ80"/>
      <c r="DJK80"/>
      <c r="DJL80"/>
      <c r="DJM80"/>
      <c r="DJN80"/>
      <c r="DJO80"/>
      <c r="DJP80"/>
      <c r="DJQ80"/>
      <c r="DJR80"/>
      <c r="DJS80"/>
      <c r="DJT80"/>
      <c r="DJU80"/>
      <c r="DJV80"/>
      <c r="DJW80"/>
      <c r="DJX80"/>
      <c r="DJY80"/>
      <c r="DJZ80"/>
      <c r="DKA80"/>
      <c r="DKB80"/>
      <c r="DKC80"/>
      <c r="DKD80"/>
      <c r="DKE80"/>
      <c r="DKF80"/>
      <c r="DKG80"/>
      <c r="DKH80"/>
      <c r="DKI80"/>
      <c r="DKJ80"/>
      <c r="DKK80"/>
      <c r="DKL80"/>
      <c r="DKM80"/>
      <c r="DKN80"/>
      <c r="DKO80"/>
      <c r="DKP80"/>
      <c r="DKQ80"/>
      <c r="DKR80"/>
      <c r="DKS80"/>
      <c r="DKT80"/>
      <c r="DKU80"/>
      <c r="DKV80"/>
      <c r="DKW80"/>
      <c r="DKX80"/>
      <c r="DKY80"/>
      <c r="DKZ80"/>
      <c r="DLA80"/>
      <c r="DLB80"/>
      <c r="DLC80"/>
      <c r="DLD80"/>
      <c r="DLE80"/>
      <c r="DLF80"/>
      <c r="DLG80"/>
      <c r="DLH80"/>
      <c r="DLI80"/>
      <c r="DLJ80"/>
      <c r="DLK80"/>
      <c r="DLL80"/>
      <c r="DLM80"/>
      <c r="DLN80"/>
      <c r="DLO80"/>
      <c r="DLP80"/>
      <c r="DLQ80"/>
      <c r="DLR80"/>
      <c r="DLS80"/>
      <c r="DLT80"/>
      <c r="DLU80"/>
      <c r="DLV80"/>
      <c r="DLW80"/>
      <c r="DLX80"/>
      <c r="DLY80"/>
      <c r="DLZ80"/>
      <c r="DMA80"/>
      <c r="DMB80"/>
      <c r="DMC80"/>
      <c r="DMD80"/>
      <c r="DME80"/>
      <c r="DMF80"/>
      <c r="DMG80"/>
      <c r="DMH80"/>
      <c r="DMI80"/>
      <c r="DMJ80"/>
      <c r="DMK80"/>
      <c r="DML80"/>
      <c r="DMM80"/>
      <c r="DMN80"/>
      <c r="DMO80"/>
      <c r="DMP80"/>
      <c r="DMQ80"/>
      <c r="DMR80"/>
      <c r="DMS80"/>
      <c r="DMT80"/>
      <c r="DMU80"/>
      <c r="DMV80"/>
      <c r="DMW80"/>
      <c r="DMX80"/>
      <c r="DMY80"/>
      <c r="DMZ80"/>
      <c r="DNA80"/>
      <c r="DNB80"/>
      <c r="DNC80"/>
      <c r="DND80"/>
      <c r="DNE80"/>
      <c r="DNF80"/>
      <c r="DNG80"/>
      <c r="DNH80"/>
      <c r="DNI80"/>
      <c r="DNJ80"/>
      <c r="DNK80"/>
      <c r="DNL80"/>
      <c r="DNM80"/>
      <c r="DNN80"/>
      <c r="DNO80"/>
      <c r="DNP80"/>
      <c r="DNQ80"/>
      <c r="DNR80"/>
      <c r="DNS80"/>
      <c r="DNT80"/>
      <c r="DNU80"/>
      <c r="DNV80"/>
      <c r="DNW80"/>
      <c r="DNX80"/>
      <c r="DNY80"/>
      <c r="DNZ80"/>
      <c r="DOA80"/>
      <c r="DOB80"/>
      <c r="DOC80"/>
      <c r="DOD80"/>
      <c r="DOE80"/>
      <c r="DOF80"/>
      <c r="DOG80"/>
      <c r="DOH80"/>
      <c r="DOI80"/>
      <c r="DOJ80"/>
      <c r="DOK80"/>
      <c r="DOL80"/>
      <c r="DOM80"/>
      <c r="DON80"/>
      <c r="DOO80"/>
      <c r="DOP80"/>
      <c r="DOQ80"/>
      <c r="DOR80"/>
      <c r="DOS80"/>
      <c r="DOT80"/>
      <c r="DOU80"/>
      <c r="DOV80"/>
      <c r="DOW80"/>
      <c r="DOX80"/>
      <c r="DOY80"/>
      <c r="DOZ80"/>
      <c r="DPA80"/>
      <c r="DPB80"/>
      <c r="DPC80"/>
      <c r="DPD80"/>
      <c r="DPE80"/>
      <c r="DPF80"/>
      <c r="DPG80"/>
      <c r="DPH80"/>
      <c r="DPI80"/>
      <c r="DPJ80"/>
      <c r="DPK80"/>
      <c r="DPL80"/>
      <c r="DPM80"/>
      <c r="DPN80"/>
      <c r="DPO80"/>
      <c r="DPP80"/>
      <c r="DPQ80"/>
      <c r="DPR80"/>
      <c r="DPS80"/>
      <c r="DPT80"/>
      <c r="DPU80"/>
      <c r="DPV80"/>
      <c r="DPW80"/>
      <c r="DPX80"/>
      <c r="DPY80"/>
      <c r="DPZ80"/>
      <c r="DQA80"/>
      <c r="DQB80"/>
      <c r="DQC80"/>
      <c r="DQD80"/>
      <c r="DQE80"/>
      <c r="DQF80"/>
      <c r="DQG80"/>
      <c r="DQH80"/>
      <c r="DQI80"/>
      <c r="DQJ80"/>
      <c r="DQK80"/>
      <c r="DQL80"/>
      <c r="DQM80"/>
      <c r="DQN80"/>
      <c r="DQO80"/>
      <c r="DQP80"/>
      <c r="DQQ80"/>
      <c r="DQR80"/>
      <c r="DQS80"/>
      <c r="DQT80"/>
      <c r="DQU80"/>
      <c r="DQV80"/>
      <c r="DQW80"/>
      <c r="DQX80"/>
      <c r="DQY80"/>
      <c r="DQZ80"/>
      <c r="DRA80"/>
      <c r="DRB80"/>
      <c r="DRC80"/>
      <c r="DRD80"/>
      <c r="DRE80"/>
      <c r="DRF80"/>
      <c r="DRG80"/>
      <c r="DRH80"/>
      <c r="DRI80"/>
      <c r="DRJ80"/>
      <c r="DRK80"/>
      <c r="DRL80"/>
      <c r="DRM80"/>
      <c r="DRN80"/>
      <c r="DRO80"/>
      <c r="DRP80"/>
      <c r="DRQ80"/>
      <c r="DRR80"/>
      <c r="DRS80"/>
      <c r="DRT80"/>
      <c r="DRU80"/>
      <c r="DRV80"/>
      <c r="DRW80"/>
      <c r="DRX80"/>
      <c r="DRY80"/>
      <c r="DRZ80"/>
      <c r="DSA80"/>
      <c r="DSB80"/>
      <c r="DSC80"/>
      <c r="DSD80"/>
      <c r="DSE80"/>
      <c r="DSF80"/>
      <c r="DSG80"/>
      <c r="DSH80"/>
      <c r="DSI80"/>
      <c r="DSJ80"/>
      <c r="DSK80"/>
      <c r="DSL80"/>
      <c r="DSM80"/>
      <c r="DSN80"/>
      <c r="DSO80"/>
      <c r="DSP80"/>
      <c r="DSQ80"/>
      <c r="DSR80"/>
      <c r="DSS80"/>
      <c r="DST80"/>
      <c r="DSU80"/>
      <c r="DSV80"/>
      <c r="DSW80"/>
      <c r="DSX80"/>
      <c r="DSY80"/>
      <c r="DSZ80"/>
      <c r="DTA80"/>
      <c r="DTB80"/>
      <c r="DTC80"/>
      <c r="DTD80"/>
      <c r="DTE80"/>
      <c r="DTF80"/>
      <c r="DTG80"/>
      <c r="DTH80"/>
      <c r="DTI80"/>
      <c r="DTJ80"/>
      <c r="DTK80"/>
      <c r="DTL80"/>
      <c r="DTM80"/>
      <c r="DTN80"/>
      <c r="DTO80"/>
      <c r="DTP80"/>
      <c r="DTQ80"/>
      <c r="DTR80"/>
      <c r="DTS80"/>
      <c r="DTT80"/>
      <c r="DTU80"/>
      <c r="DTV80"/>
      <c r="DTW80"/>
      <c r="DTX80"/>
      <c r="DTY80"/>
      <c r="DTZ80"/>
      <c r="DUA80"/>
      <c r="DUB80"/>
      <c r="DUC80"/>
      <c r="DUD80"/>
      <c r="DUE80"/>
      <c r="DUF80"/>
      <c r="DUG80"/>
      <c r="DUH80"/>
      <c r="DUI80"/>
      <c r="DUJ80"/>
      <c r="DUK80"/>
      <c r="DUL80"/>
      <c r="DUM80"/>
      <c r="DUN80"/>
      <c r="DUO80"/>
      <c r="DUP80"/>
      <c r="DUQ80"/>
      <c r="DUR80"/>
      <c r="DUS80"/>
      <c r="DUT80"/>
      <c r="DUU80"/>
      <c r="DUV80"/>
      <c r="DUW80"/>
      <c r="DUX80"/>
      <c r="DUY80"/>
      <c r="DUZ80"/>
      <c r="DVA80"/>
      <c r="DVB80"/>
      <c r="DVC80"/>
      <c r="DVD80"/>
      <c r="DVE80"/>
      <c r="DVF80"/>
      <c r="DVG80"/>
      <c r="DVH80"/>
      <c r="DVI80"/>
      <c r="DVJ80"/>
      <c r="DVK80"/>
      <c r="DVL80"/>
      <c r="DVM80"/>
      <c r="DVN80"/>
      <c r="DVO80"/>
      <c r="DVP80"/>
      <c r="DVQ80"/>
      <c r="DVR80"/>
      <c r="DVS80"/>
      <c r="DVT80"/>
      <c r="DVU80"/>
      <c r="DVV80"/>
      <c r="DVW80"/>
      <c r="DVX80"/>
      <c r="DVY80"/>
      <c r="DVZ80"/>
      <c r="DWA80"/>
      <c r="DWB80"/>
      <c r="DWC80"/>
      <c r="DWD80"/>
      <c r="DWE80"/>
      <c r="DWF80"/>
      <c r="DWG80"/>
      <c r="DWH80"/>
      <c r="DWI80"/>
      <c r="DWJ80"/>
      <c r="DWK80"/>
      <c r="DWL80"/>
      <c r="DWM80"/>
      <c r="DWN80"/>
      <c r="DWO80"/>
      <c r="DWP80"/>
      <c r="DWQ80"/>
      <c r="DWR80"/>
      <c r="DWS80"/>
      <c r="DWT80"/>
      <c r="DWU80"/>
      <c r="DWV80"/>
      <c r="DWW80"/>
      <c r="DWX80"/>
      <c r="DWY80"/>
      <c r="DWZ80"/>
      <c r="DXA80"/>
      <c r="DXB80"/>
      <c r="DXC80"/>
      <c r="DXD80"/>
      <c r="DXE80"/>
      <c r="DXF80"/>
      <c r="DXG80"/>
      <c r="DXH80"/>
      <c r="DXI80"/>
      <c r="DXJ80"/>
      <c r="DXK80"/>
      <c r="DXL80"/>
      <c r="DXM80"/>
      <c r="DXN80"/>
      <c r="DXO80"/>
      <c r="DXP80"/>
      <c r="DXQ80"/>
      <c r="DXR80"/>
      <c r="DXS80"/>
      <c r="DXT80"/>
      <c r="DXU80"/>
      <c r="DXV80"/>
      <c r="DXW80"/>
      <c r="DXX80"/>
      <c r="DXY80"/>
      <c r="DXZ80"/>
      <c r="DYA80"/>
      <c r="DYB80"/>
      <c r="DYC80"/>
      <c r="DYD80"/>
      <c r="DYE80"/>
      <c r="DYF80"/>
      <c r="DYG80"/>
      <c r="DYH80"/>
      <c r="DYI80"/>
      <c r="DYJ80"/>
      <c r="DYK80"/>
      <c r="DYL80"/>
      <c r="DYM80"/>
      <c r="DYN80"/>
      <c r="DYO80"/>
      <c r="DYP80"/>
      <c r="DYQ80"/>
      <c r="DYR80"/>
      <c r="DYS80"/>
      <c r="DYT80"/>
      <c r="DYU80"/>
      <c r="DYV80"/>
      <c r="DYW80"/>
      <c r="DYX80"/>
      <c r="DYY80"/>
      <c r="DYZ80"/>
      <c r="DZA80"/>
      <c r="DZB80"/>
      <c r="DZC80"/>
      <c r="DZD80"/>
      <c r="DZE80"/>
      <c r="DZF80"/>
      <c r="DZG80"/>
      <c r="DZH80"/>
      <c r="DZI80"/>
      <c r="DZJ80"/>
      <c r="DZK80"/>
      <c r="DZL80"/>
      <c r="DZM80"/>
      <c r="DZN80"/>
      <c r="DZO80"/>
      <c r="DZP80"/>
      <c r="DZQ80"/>
      <c r="DZR80"/>
      <c r="DZS80"/>
      <c r="DZT80"/>
      <c r="DZU80"/>
      <c r="DZV80"/>
      <c r="DZW80"/>
      <c r="DZX80"/>
      <c r="DZY80"/>
      <c r="DZZ80"/>
      <c r="EAA80"/>
      <c r="EAB80"/>
      <c r="EAC80"/>
      <c r="EAD80"/>
      <c r="EAE80"/>
      <c r="EAF80"/>
      <c r="EAG80"/>
      <c r="EAH80"/>
      <c r="EAI80"/>
      <c r="EAJ80"/>
      <c r="EAK80"/>
      <c r="EAL80"/>
      <c r="EAM80"/>
      <c r="EAN80"/>
      <c r="EAO80"/>
      <c r="EAP80"/>
      <c r="EAQ80"/>
      <c r="EAR80"/>
      <c r="EAS80"/>
      <c r="EAT80"/>
      <c r="EAU80"/>
      <c r="EAV80"/>
      <c r="EAW80"/>
      <c r="EAX80"/>
      <c r="EAY80"/>
      <c r="EAZ80"/>
      <c r="EBA80"/>
      <c r="EBB80"/>
      <c r="EBC80"/>
      <c r="EBD80"/>
      <c r="EBE80"/>
      <c r="EBF80"/>
      <c r="EBG80"/>
      <c r="EBH80"/>
      <c r="EBI80"/>
      <c r="EBJ80"/>
      <c r="EBK80"/>
      <c r="EBL80"/>
      <c r="EBM80"/>
      <c r="EBN80"/>
      <c r="EBO80"/>
      <c r="EBP80"/>
      <c r="EBQ80"/>
      <c r="EBR80"/>
      <c r="EBS80"/>
      <c r="EBT80"/>
      <c r="EBU80"/>
      <c r="EBV80"/>
      <c r="EBW80"/>
      <c r="EBX80"/>
      <c r="EBY80"/>
      <c r="EBZ80"/>
      <c r="ECA80"/>
      <c r="ECB80"/>
      <c r="ECC80"/>
      <c r="ECD80"/>
      <c r="ECE80"/>
      <c r="ECF80"/>
      <c r="ECG80"/>
      <c r="ECH80"/>
      <c r="ECI80"/>
      <c r="ECJ80"/>
      <c r="ECK80"/>
      <c r="ECL80"/>
      <c r="ECM80"/>
      <c r="ECN80"/>
      <c r="ECO80"/>
      <c r="ECP80"/>
      <c r="ECQ80"/>
      <c r="ECR80"/>
      <c r="ECS80"/>
      <c r="ECT80"/>
      <c r="ECU80"/>
      <c r="ECV80"/>
      <c r="ECW80"/>
      <c r="ECX80"/>
      <c r="ECY80"/>
      <c r="ECZ80"/>
      <c r="EDA80"/>
      <c r="EDB80"/>
      <c r="EDC80"/>
      <c r="EDD80"/>
      <c r="EDE80"/>
      <c r="EDF80"/>
      <c r="EDG80"/>
      <c r="EDH80"/>
      <c r="EDI80"/>
      <c r="EDJ80"/>
      <c r="EDK80"/>
      <c r="EDL80"/>
      <c r="EDM80"/>
      <c r="EDN80"/>
      <c r="EDO80"/>
      <c r="EDP80"/>
      <c r="EDQ80"/>
      <c r="EDR80"/>
      <c r="EDS80"/>
      <c r="EDT80"/>
      <c r="EDU80"/>
      <c r="EDV80"/>
      <c r="EDW80"/>
      <c r="EDX80"/>
      <c r="EDY80"/>
      <c r="EDZ80"/>
      <c r="EEA80"/>
      <c r="EEB80"/>
      <c r="EEC80"/>
      <c r="EED80"/>
      <c r="EEE80"/>
      <c r="EEF80"/>
      <c r="EEG80"/>
      <c r="EEH80"/>
      <c r="EEI80"/>
      <c r="EEJ80"/>
      <c r="EEK80"/>
      <c r="EEL80"/>
      <c r="EEM80"/>
      <c r="EEN80"/>
      <c r="EEO80"/>
      <c r="EEP80"/>
      <c r="EEQ80"/>
      <c r="EER80"/>
      <c r="EES80"/>
      <c r="EET80"/>
      <c r="EEU80"/>
      <c r="EEV80"/>
      <c r="EEW80"/>
      <c r="EEX80"/>
      <c r="EEY80"/>
      <c r="EEZ80"/>
      <c r="EFA80"/>
      <c r="EFB80"/>
      <c r="EFC80"/>
      <c r="EFD80"/>
      <c r="EFE80"/>
      <c r="EFF80"/>
      <c r="EFG80"/>
      <c r="EFH80"/>
      <c r="EFI80"/>
      <c r="EFJ80"/>
      <c r="EFK80"/>
      <c r="EFL80"/>
      <c r="EFM80"/>
      <c r="EFN80"/>
      <c r="EFO80"/>
      <c r="EFP80"/>
      <c r="EFQ80"/>
      <c r="EFR80"/>
      <c r="EFS80"/>
      <c r="EFT80"/>
      <c r="EFU80"/>
      <c r="EFV80"/>
      <c r="EFW80"/>
      <c r="EFX80"/>
      <c r="EFY80"/>
      <c r="EFZ80"/>
      <c r="EGA80"/>
      <c r="EGB80"/>
      <c r="EGC80"/>
      <c r="EGD80"/>
      <c r="EGE80"/>
      <c r="EGF80"/>
      <c r="EGG80"/>
      <c r="EGH80"/>
      <c r="EGI80"/>
      <c r="EGJ80"/>
      <c r="EGK80"/>
      <c r="EGL80"/>
      <c r="EGM80"/>
      <c r="EGN80"/>
      <c r="EGO80"/>
      <c r="EGP80"/>
      <c r="EGQ80"/>
      <c r="EGR80"/>
      <c r="EGS80"/>
      <c r="EGT80"/>
      <c r="EGU80"/>
      <c r="EGV80"/>
      <c r="EGW80"/>
      <c r="EGX80"/>
      <c r="EGY80"/>
      <c r="EGZ80"/>
      <c r="EHA80"/>
      <c r="EHB80"/>
      <c r="EHC80"/>
      <c r="EHD80"/>
      <c r="EHE80"/>
      <c r="EHF80"/>
      <c r="EHG80"/>
      <c r="EHH80"/>
      <c r="EHI80"/>
      <c r="EHJ80"/>
      <c r="EHK80"/>
      <c r="EHL80"/>
      <c r="EHM80"/>
      <c r="EHN80"/>
      <c r="EHO80"/>
      <c r="EHP80"/>
      <c r="EHQ80"/>
      <c r="EHR80"/>
      <c r="EHS80"/>
      <c r="EHT80"/>
      <c r="EHU80"/>
      <c r="EHV80"/>
      <c r="EHW80"/>
      <c r="EHX80"/>
      <c r="EHY80"/>
      <c r="EHZ80"/>
      <c r="EIA80"/>
      <c r="EIB80"/>
      <c r="EIC80"/>
      <c r="EID80"/>
      <c r="EIE80"/>
      <c r="EIF80"/>
      <c r="EIG80"/>
      <c r="EIH80"/>
      <c r="EII80"/>
      <c r="EIJ80"/>
      <c r="EIK80"/>
      <c r="EIL80"/>
      <c r="EIM80"/>
      <c r="EIN80"/>
      <c r="EIO80"/>
      <c r="EIP80"/>
      <c r="EIQ80"/>
      <c r="EIR80"/>
      <c r="EIS80"/>
      <c r="EIT80"/>
      <c r="EIU80"/>
      <c r="EIV80"/>
      <c r="EIW80"/>
      <c r="EIX80"/>
      <c r="EIY80"/>
      <c r="EIZ80"/>
      <c r="EJA80"/>
      <c r="EJB80"/>
      <c r="EJC80"/>
      <c r="EJD80"/>
      <c r="EJE80"/>
      <c r="EJF80"/>
      <c r="EJG80"/>
      <c r="EJH80"/>
      <c r="EJI80"/>
      <c r="EJJ80"/>
      <c r="EJK80"/>
      <c r="EJL80"/>
      <c r="EJM80"/>
      <c r="EJN80"/>
      <c r="EJO80"/>
      <c r="EJP80"/>
      <c r="EJQ80"/>
      <c r="EJR80"/>
      <c r="EJS80"/>
      <c r="EJT80"/>
      <c r="EJU80"/>
      <c r="EJV80"/>
      <c r="EJW80"/>
      <c r="EJX80"/>
      <c r="EJY80"/>
      <c r="EJZ80"/>
      <c r="EKA80"/>
      <c r="EKB80"/>
      <c r="EKC80"/>
      <c r="EKD80"/>
      <c r="EKE80"/>
      <c r="EKF80"/>
      <c r="EKG80"/>
      <c r="EKH80"/>
      <c r="EKI80"/>
      <c r="EKJ80"/>
      <c r="EKK80"/>
      <c r="EKL80"/>
      <c r="EKM80"/>
      <c r="EKN80"/>
      <c r="EKO80"/>
      <c r="EKP80"/>
      <c r="EKQ80"/>
      <c r="EKR80"/>
      <c r="EKS80"/>
      <c r="EKT80"/>
      <c r="EKU80"/>
      <c r="EKV80"/>
      <c r="EKW80"/>
      <c r="EKX80"/>
      <c r="EKY80"/>
      <c r="EKZ80"/>
      <c r="ELA80"/>
      <c r="ELB80"/>
      <c r="ELC80"/>
      <c r="ELD80"/>
      <c r="ELE80"/>
      <c r="ELF80"/>
      <c r="ELG80"/>
      <c r="ELH80"/>
      <c r="ELI80"/>
      <c r="ELJ80"/>
      <c r="ELK80"/>
      <c r="ELL80"/>
      <c r="ELM80"/>
      <c r="ELN80"/>
      <c r="ELO80"/>
      <c r="ELP80"/>
      <c r="ELQ80"/>
      <c r="ELR80"/>
      <c r="ELS80"/>
      <c r="ELT80"/>
      <c r="ELU80"/>
      <c r="ELV80"/>
      <c r="ELW80"/>
      <c r="ELX80"/>
      <c r="ELY80"/>
      <c r="ELZ80"/>
      <c r="EMA80"/>
      <c r="EMB80"/>
      <c r="EMC80"/>
      <c r="EMD80"/>
      <c r="EME80"/>
    </row>
    <row r="81" spans="1:84" ht="15" outlineLevel="1">
      <c r="A81" s="108" t="s">
        <v>1010</v>
      </c>
      <c r="B81" s="30" t="s">
        <v>357</v>
      </c>
      <c r="C81" s="43" t="s">
        <v>245</v>
      </c>
      <c r="D81" s="43" t="s">
        <v>262</v>
      </c>
      <c r="E81" s="517">
        <v>0.26</v>
      </c>
      <c r="F81" s="600">
        <v>1</v>
      </c>
      <c r="G81" s="600">
        <v>1</v>
      </c>
      <c r="H81" s="600">
        <f t="shared" si="74"/>
        <v>4.4072841850708251</v>
      </c>
      <c r="I81" s="628">
        <v>1E-3</v>
      </c>
      <c r="J81" s="517"/>
      <c r="K81" s="48"/>
      <c r="L81" s="516">
        <v>1</v>
      </c>
      <c r="M81" s="516">
        <f>IF(C81="","",SUMIFS(Energy_Balance!I$55:I$160,Energy_Balance!$C$55:$C$160,C81,Energy_Balance!$D$55:$D$160,D81)*L81)</f>
        <v>16.951093019503173</v>
      </c>
      <c r="N81" s="516">
        <f t="shared" si="28"/>
        <v>4.4072841850708251</v>
      </c>
      <c r="O81" s="25"/>
      <c r="P81" s="377">
        <f t="shared" si="75"/>
        <v>0.26</v>
      </c>
      <c r="Q81" s="377">
        <f t="shared" si="75"/>
        <v>0.27126666666666666</v>
      </c>
      <c r="R81" s="377">
        <f t="shared" si="75"/>
        <v>0.28253333333333336</v>
      </c>
      <c r="S81" s="377">
        <f t="shared" si="75"/>
        <v>0.29380000000000001</v>
      </c>
      <c r="T81" s="208"/>
      <c r="U81" s="50"/>
      <c r="V81" s="681">
        <f t="shared" si="76"/>
        <v>0.41384631267345151</v>
      </c>
      <c r="W81" s="50">
        <f t="shared" si="76"/>
        <v>0.39432296963505392</v>
      </c>
      <c r="X81" s="50">
        <f t="shared" si="77"/>
        <v>0.38292111239149973</v>
      </c>
      <c r="Y81" s="50">
        <f t="shared" si="78"/>
        <v>0.36391801698557619</v>
      </c>
      <c r="Z81" s="50">
        <f t="shared" si="79"/>
        <v>0.35251615974202199</v>
      </c>
      <c r="AA81" s="50">
        <f t="shared" si="80"/>
        <v>0.33351306433609829</v>
      </c>
      <c r="AB81" s="50">
        <f t="shared" si="81"/>
        <v>0.32211120709254415</v>
      </c>
      <c r="AC81" s="50">
        <f t="shared" si="82"/>
        <v>0.30310811168662055</v>
      </c>
      <c r="AD81" s="50"/>
      <c r="AE81" s="681">
        <f>IF($G$16=1,AU81,IF($G$16=2,AU81,IF($G$16=3,#REF!,AU81)))</f>
        <v>0.41274631267345152</v>
      </c>
      <c r="AF81" s="50">
        <f>IF($G$16=1,AV81,IF($G$16=2,AV81,IF($G$16=3,#REF!,AV81)))</f>
        <v>0.38726768938851247</v>
      </c>
      <c r="AG81" s="50">
        <f t="shared" si="83"/>
        <v>0.37519623200799079</v>
      </c>
      <c r="AH81" s="50">
        <f t="shared" si="84"/>
        <v>0.35507713637378807</v>
      </c>
      <c r="AI81" s="50">
        <f t="shared" si="85"/>
        <v>0.3445056789932664</v>
      </c>
      <c r="AJ81" s="50">
        <f t="shared" si="86"/>
        <v>0.32688658335906362</v>
      </c>
      <c r="AK81" s="50">
        <f t="shared" si="87"/>
        <v>0.31556512597854197</v>
      </c>
      <c r="AL81" s="50">
        <f t="shared" si="88"/>
        <v>0.29669603034433917</v>
      </c>
      <c r="AO81" s="140">
        <f>(IFERROR(IF(N81/(SUMIF(RES!$D$39:$D$145,D81,$N$39:$N$145))=1,1,(N81/(SUMIF(RES!$D$39:$D$145,D81,$N$39:$N$145))+$AO$28)),0))</f>
        <v>0.41384631267345151</v>
      </c>
      <c r="AP81" s="297">
        <f>$AO81-RES!$AO$79*'Census 2011_17'!B$20*RES!$AO81/(1-RES!$AO$79)+$AO$28</f>
        <v>0.39432296963505392</v>
      </c>
      <c r="AQ81" s="297">
        <f>$AO81-RES!$AO$79*'Census 2011_17'!C$20*RES!$AO81/(1-RES!$AO$79)+$AO$28</f>
        <v>0.36391801698557619</v>
      </c>
      <c r="AR81" s="297">
        <f>$AO81-RES!$AO$79*'Census 2011_17'!D$20*RES!$AO81/(1-RES!$AO$79)+$AO$28</f>
        <v>0.33351306433609829</v>
      </c>
      <c r="AS81" s="297">
        <f>$AO81-RES!$AO$79*'Census 2011_17'!E$20*RES!$AO81/(1-RES!$AO$79)+$AO$28</f>
        <v>0.30310811168662055</v>
      </c>
      <c r="AT81" s="21"/>
      <c r="AU81" s="198">
        <f>(IFERROR(IF($N81/(SUMIF(RES!$D$39:$D$145,$D81,$N$39:$N$145))=1,1,($N81/(SUMIF(RES!$D$39:$D$145,$D81,$N$39:$N$145))-$AU$28)),0))</f>
        <v>0.41274631267345152</v>
      </c>
      <c r="AV81" s="297">
        <f>$AU81-RES!$AU$79*'Census 2011_17'!B$20*RES!$AU81/(1-RES!$AU$79)-AV$28-$AU$28</f>
        <v>0.38726768938851247</v>
      </c>
      <c r="AW81" s="297">
        <f>$AU81-RES!$AU$79*'Census 2011_17'!C$20*RES!$AU81/(1-RES!$AU$79)-AW$28-$AU$28</f>
        <v>0.35507713637378807</v>
      </c>
      <c r="AX81" s="297">
        <f>$AU81-RES!$AU$79*'Census 2011_17'!D$20*RES!$AU81/(1-RES!$AU$79)-AX$28-$AU$28</f>
        <v>0.32688658335906362</v>
      </c>
      <c r="AY81" s="297">
        <f>$AU81-RES!$AU$79*'Census 2011_17'!E$20*RES!$AU81/(1-RES!$AU$79)-AY$28-$AU$28</f>
        <v>0.29669603034433917</v>
      </c>
      <c r="AZ81" s="125"/>
      <c r="BA81" s="140"/>
      <c r="BB81" s="297">
        <f t="shared" si="70"/>
        <v>0.39432296963505392</v>
      </c>
      <c r="BC81" s="297">
        <f t="shared" si="71"/>
        <v>0.36391801698557619</v>
      </c>
      <c r="BD81" s="297">
        <f t="shared" si="89"/>
        <v>0.33351306433609829</v>
      </c>
      <c r="BE81" s="297">
        <f t="shared" si="72"/>
        <v>0.30310811168662055</v>
      </c>
      <c r="BF81" s="21" t="str">
        <f t="shared" si="73"/>
        <v/>
      </c>
      <c r="BG81" s="172"/>
      <c r="BH81" s="140">
        <f t="shared" si="51"/>
        <v>0.35507713637378807</v>
      </c>
      <c r="BI81" s="140">
        <f t="shared" si="52"/>
        <v>0.32688658335906362</v>
      </c>
      <c r="BJ81" s="140">
        <f t="shared" si="53"/>
        <v>0.29669603034433917</v>
      </c>
      <c r="BK81" s="125" t="str">
        <f t="shared" si="54"/>
        <v/>
      </c>
      <c r="BL81" s="257" t="s">
        <v>110</v>
      </c>
      <c r="BM81" s="527">
        <f t="shared" si="90"/>
        <v>0.26</v>
      </c>
      <c r="BN81" s="377">
        <f>E81</f>
        <v>0.26</v>
      </c>
      <c r="BO81" s="377">
        <f>IF($BL81="","",($BQ81-$BN81)*1/3+$BN81)</f>
        <v>0.27126666666666666</v>
      </c>
      <c r="BP81" s="377">
        <f>IF($BL81="","",($BQ81-$BN81)*2/3+$BN81)</f>
        <v>0.28253333333333336</v>
      </c>
      <c r="BQ81" s="377">
        <f>IF($BL81="","",IF($BL81="*",$BM81*(1+$BN$29),E81))</f>
        <v>0.29380000000000001</v>
      </c>
      <c r="BR81" s="257" t="s">
        <v>110</v>
      </c>
    </row>
    <row r="82" spans="1:84" ht="15.35" outlineLevel="1">
      <c r="A82" s="108" t="s">
        <v>1011</v>
      </c>
      <c r="B82" s="30" t="s">
        <v>396</v>
      </c>
      <c r="C82" s="43" t="s">
        <v>246</v>
      </c>
      <c r="D82" s="43" t="s">
        <v>262</v>
      </c>
      <c r="E82" s="517">
        <v>0.11</v>
      </c>
      <c r="F82" s="600">
        <v>1</v>
      </c>
      <c r="G82" s="600">
        <v>1</v>
      </c>
      <c r="H82" s="600">
        <f t="shared" si="74"/>
        <v>0.18229543813022031</v>
      </c>
      <c r="I82" s="628">
        <v>1E-3</v>
      </c>
      <c r="J82" s="517"/>
      <c r="K82" s="48"/>
      <c r="L82" s="516">
        <v>1</v>
      </c>
      <c r="M82" s="516">
        <f>IF(C82="","",SUMIFS(Energy_Balance!I$55:I$160,Energy_Balance!$C$55:$C$160,C82,Energy_Balance!$D$55:$D$160,D82)*L82)</f>
        <v>1.6572312557292754</v>
      </c>
      <c r="N82" s="516">
        <f t="shared" si="28"/>
        <v>0.18229543813022031</v>
      </c>
      <c r="O82" s="25"/>
      <c r="P82" s="377">
        <f t="shared" si="75"/>
        <v>0.11</v>
      </c>
      <c r="Q82" s="377">
        <f t="shared" si="75"/>
        <v>0.11476666666666667</v>
      </c>
      <c r="R82" s="377">
        <f t="shared" si="75"/>
        <v>0.11953333333333332</v>
      </c>
      <c r="S82" s="377">
        <f t="shared" si="75"/>
        <v>0.12429999999999999</v>
      </c>
      <c r="T82" s="208"/>
      <c r="U82" s="50"/>
      <c r="V82" s="681">
        <f t="shared" si="76"/>
        <v>1.8076275613037953E-2</v>
      </c>
      <c r="W82" s="50">
        <f t="shared" si="76"/>
        <v>1.8179842338408955E-2</v>
      </c>
      <c r="X82" s="50">
        <f t="shared" si="77"/>
        <v>1.7681823852503959E-2</v>
      </c>
      <c r="Y82" s="50">
        <f t="shared" si="78"/>
        <v>1.6851793042662298E-2</v>
      </c>
      <c r="Z82" s="50">
        <f t="shared" si="79"/>
        <v>1.6353774556757298E-2</v>
      </c>
      <c r="AA82" s="50">
        <f t="shared" si="80"/>
        <v>1.5523743746915633E-2</v>
      </c>
      <c r="AB82" s="50">
        <f t="shared" si="81"/>
        <v>1.5025725261010637E-2</v>
      </c>
      <c r="AC82" s="50">
        <f t="shared" si="82"/>
        <v>1.4195694451168975E-2</v>
      </c>
      <c r="AD82" s="50"/>
      <c r="AE82" s="681">
        <f>IF($G$16=1,AU82,IF($G$16=2,AU82,IF($G$16=3,#REF!,AU82)))</f>
        <v>1.6976275613037953E-2</v>
      </c>
      <c r="AF82" s="50">
        <f>IF($G$16=1,AV82,IF($G$16=2,AV82,IF($G$16=3,#REF!,AV82)))</f>
        <v>1.1038101861082228E-2</v>
      </c>
      <c r="AG82" s="50">
        <f t="shared" si="83"/>
        <v>9.8224497766623807E-3</v>
      </c>
      <c r="AH82" s="50">
        <f t="shared" si="84"/>
        <v>7.7963629692959701E-3</v>
      </c>
      <c r="AI82" s="50">
        <f t="shared" si="85"/>
        <v>4.872726855809981E-3</v>
      </c>
      <c r="AJ82" s="50">
        <f t="shared" si="86"/>
        <v>0</v>
      </c>
      <c r="AK82" s="50">
        <f t="shared" si="87"/>
        <v>0</v>
      </c>
      <c r="AL82" s="50">
        <f t="shared" si="88"/>
        <v>0</v>
      </c>
      <c r="AO82" s="140">
        <f>(IFERROR(IF(N82/(SUMIF(RES!$D$39:$D$145,D82,$N$39:$N$145))=1,1,(N82/(SUMIF(RES!$D$39:$D$145,D82,$N$39:$N$145))+$AO$28)),0))</f>
        <v>1.8076275613037953E-2</v>
      </c>
      <c r="AP82" s="297">
        <f>$AO82-RES!$AO$79*'Census 2011_17'!B$20*RES!$AO82/(1-RES!$AO$79)+$AO$28</f>
        <v>1.8179842338408955E-2</v>
      </c>
      <c r="AQ82" s="297">
        <f>$AO82-RES!$AO$79*'Census 2011_17'!C$20*RES!$AO82/(1-RES!$AO$79)+$AO$28</f>
        <v>1.6851793042662298E-2</v>
      </c>
      <c r="AR82" s="297">
        <f>$AO82-RES!$AO$79*'Census 2011_17'!D$20*RES!$AO82/(1-RES!$AO$79)+$AO$28</f>
        <v>1.5523743746915633E-2</v>
      </c>
      <c r="AS82" s="297">
        <f>$AO82-RES!$AO$79*'Census 2011_17'!E$20*RES!$AO82/(1-RES!$AO$79)+$AO$28</f>
        <v>1.4195694451168975E-2</v>
      </c>
      <c r="AT82" s="21"/>
      <c r="AU82" s="198">
        <f>(IFERROR(IF($N82/(SUMIF(RES!$D$39:$D$145,$D82,$N$39:$N$145))=1,1,($N82/(SUMIF(RES!$D$39:$D$145,$D82,$N$39:$N$145))-$AU$28)),0))</f>
        <v>1.6976275613037953E-2</v>
      </c>
      <c r="AV82" s="297">
        <f>$AU82-RES!$AU$79*'Census 2011_17'!B$20*RES!$AU82/(1-RES!$AU$79)-AV$28-$AU$28</f>
        <v>1.1038101861082228E-2</v>
      </c>
      <c r="AW82" s="297">
        <f>$AU82-RES!$AU$79*'Census 2011_17'!C$20*RES!$AU82/(1-RES!$AU$79)-AW$28-$AU$28</f>
        <v>7.7963629692959701E-3</v>
      </c>
      <c r="AX82" s="459">
        <v>0</v>
      </c>
      <c r="AY82" s="459">
        <v>0</v>
      </c>
      <c r="AZ82" s="125"/>
      <c r="BA82" s="140"/>
      <c r="BB82" s="297">
        <f t="shared" si="70"/>
        <v>1.8179842338408955E-2</v>
      </c>
      <c r="BC82" s="297">
        <f t="shared" si="71"/>
        <v>1.6851793042662298E-2</v>
      </c>
      <c r="BD82" s="297">
        <f t="shared" si="89"/>
        <v>1.5523743746915633E-2</v>
      </c>
      <c r="BE82" s="297">
        <f t="shared" si="72"/>
        <v>1.4195694451168975E-2</v>
      </c>
      <c r="BF82" s="21" t="str">
        <f t="shared" si="73"/>
        <v/>
      </c>
      <c r="BG82" s="172"/>
      <c r="BH82" s="140">
        <f t="shared" si="51"/>
        <v>7.7963629692959701E-3</v>
      </c>
      <c r="BI82" s="140">
        <f t="shared" si="52"/>
        <v>0</v>
      </c>
      <c r="BJ82" s="140">
        <f t="shared" si="53"/>
        <v>0</v>
      </c>
      <c r="BK82" s="125" t="str">
        <f t="shared" si="54"/>
        <v/>
      </c>
      <c r="BL82" s="257" t="s">
        <v>110</v>
      </c>
      <c r="BM82" s="527">
        <f t="shared" si="90"/>
        <v>0.11</v>
      </c>
      <c r="BN82" s="377">
        <f>E82</f>
        <v>0.11</v>
      </c>
      <c r="BO82" s="377">
        <f>IF($BL82="","",($BQ82-$BN82)*1/3+$BN82)</f>
        <v>0.11476666666666667</v>
      </c>
      <c r="BP82" s="377">
        <f>IF($BL82="","",($BQ82-$BN82)*2/3+$BN82)</f>
        <v>0.11953333333333332</v>
      </c>
      <c r="BQ82" s="377">
        <f>IF($BL82="","",IF($BL82="*",$BM82*(1+$BN$29),E82))</f>
        <v>0.12429999999999999</v>
      </c>
      <c r="BR82" s="257" t="s">
        <v>110</v>
      </c>
    </row>
    <row r="83" spans="1:84" s="169" customFormat="1" ht="15.35" outlineLevel="1">
      <c r="A83" s="108" t="s">
        <v>1012</v>
      </c>
      <c r="B83" s="30" t="s">
        <v>358</v>
      </c>
      <c r="C83" s="43" t="s">
        <v>244</v>
      </c>
      <c r="D83" s="43" t="s">
        <v>262</v>
      </c>
      <c r="E83" s="517">
        <v>0.44</v>
      </c>
      <c r="F83" s="600">
        <v>1</v>
      </c>
      <c r="G83" s="600">
        <v>1</v>
      </c>
      <c r="H83" s="600">
        <f t="shared" si="74"/>
        <v>9.0707822108707314E-2</v>
      </c>
      <c r="I83" s="628">
        <v>1E-3</v>
      </c>
      <c r="J83" s="517"/>
      <c r="K83" s="48"/>
      <c r="L83" s="516">
        <v>1</v>
      </c>
      <c r="M83" s="516">
        <f>IF(C83="","",SUMIFS(Energy_Balance!I$55:I$160,Energy_Balance!$C$55:$C$160,C83,Energy_Balance!$D$55:$D$160,D83)*L83)</f>
        <v>0.20615414115615299</v>
      </c>
      <c r="N83" s="516">
        <f t="shared" si="28"/>
        <v>9.0707822108707314E-2</v>
      </c>
      <c r="O83" s="25"/>
      <c r="P83" s="377">
        <f t="shared" si="75"/>
        <v>0.44</v>
      </c>
      <c r="Q83" s="377">
        <f t="shared" si="75"/>
        <v>0.44</v>
      </c>
      <c r="R83" s="377">
        <f t="shared" si="75"/>
        <v>0.44</v>
      </c>
      <c r="S83" s="377">
        <f t="shared" si="75"/>
        <v>0.44</v>
      </c>
      <c r="T83" s="208"/>
      <c r="U83" s="63"/>
      <c r="V83" s="683">
        <f t="shared" si="76"/>
        <v>9.4969310613260138E-3</v>
      </c>
      <c r="W83" s="63">
        <f t="shared" si="76"/>
        <v>1.002596208561014E-2</v>
      </c>
      <c r="X83" s="63">
        <f t="shared" si="77"/>
        <v>9.764312654656878E-3</v>
      </c>
      <c r="Y83" s="63">
        <f t="shared" si="78"/>
        <v>9.3282302697347726E-3</v>
      </c>
      <c r="Z83" s="63">
        <f t="shared" si="79"/>
        <v>9.066580838781509E-3</v>
      </c>
      <c r="AA83" s="63">
        <f t="shared" si="80"/>
        <v>8.6304984538594053E-3</v>
      </c>
      <c r="AB83" s="63">
        <f t="shared" si="81"/>
        <v>8.3688490229061434E-3</v>
      </c>
      <c r="AC83" s="63">
        <f t="shared" si="82"/>
        <v>7.9327666379840379E-3</v>
      </c>
      <c r="AD83" s="63"/>
      <c r="AE83" s="683">
        <f>IF($G$16=1,AU83,IF($G$16=2,AU83,IF($G$16=3,#REF!,AU83)))</f>
        <v>8.3969310613260136E-3</v>
      </c>
      <c r="AF83" s="63">
        <f>IF($G$16=1,AV83,IF($G$16=2,AV83,IF($G$16=3,#REF!,AV83)))</f>
        <v>2.8823473579853418E-3</v>
      </c>
      <c r="AG83" s="63">
        <f t="shared" si="83"/>
        <v>1.902023078351636E-3</v>
      </c>
      <c r="AH83" s="63">
        <f t="shared" si="84"/>
        <v>2.6814927896212675E-4</v>
      </c>
      <c r="AI83" s="63">
        <f t="shared" si="85"/>
        <v>1.6759329935132921E-4</v>
      </c>
      <c r="AJ83" s="63">
        <f t="shared" si="86"/>
        <v>0</v>
      </c>
      <c r="AK83" s="63">
        <f t="shared" si="87"/>
        <v>0</v>
      </c>
      <c r="AL83" s="63">
        <f t="shared" si="88"/>
        <v>0</v>
      </c>
      <c r="AM83"/>
      <c r="AN83"/>
      <c r="AO83" s="140">
        <f>(IFERROR(IF(N83/(SUMIF(RES!$D$39:$D$145,D83,$N$39:$N$145))=1,1,(N83/(SUMIF(RES!$D$39:$D$145,D83,$N$39:$N$145))+$AO$28)),0))</f>
        <v>9.4969310613260138E-3</v>
      </c>
      <c r="AP83" s="297">
        <f>$AO83-RES!$AO$79*'Census 2011_17'!B$20*RES!$AO83/(1-RES!$AO$79)+$AO$28</f>
        <v>1.002596208561014E-2</v>
      </c>
      <c r="AQ83" s="297">
        <f>$AO83-RES!$AO$79*'Census 2011_17'!C$20*RES!$AO83/(1-RES!$AO$79)+$AO$28</f>
        <v>9.3282302697347726E-3</v>
      </c>
      <c r="AR83" s="297">
        <f>$AO83-RES!$AO$79*'Census 2011_17'!D$20*RES!$AO83/(1-RES!$AO$79)+$AO$28</f>
        <v>8.6304984538594053E-3</v>
      </c>
      <c r="AS83" s="297">
        <f>$AO83-RES!$AO$79*'Census 2011_17'!E$20*RES!$AO83/(1-RES!$AO$79)+$AO$28</f>
        <v>7.9327666379840379E-3</v>
      </c>
      <c r="AT83" s="21"/>
      <c r="AU83" s="198">
        <f>(IFERROR(IF($N83/(SUMIF(RES!$D$39:$D$145,$D83,$N$39:$N$145))=1,1,($N83/(SUMIF(RES!$D$39:$D$145,$D83,$N$39:$N$145))-$AU$28)),0))</f>
        <v>8.3969310613260136E-3</v>
      </c>
      <c r="AV83" s="297">
        <f>$AU83-RES!$AU$79*'Census 2011_17'!B$20*RES!$AU83/(1-RES!$AU$79)-AV$28-$AU$28</f>
        <v>2.8823473579853418E-3</v>
      </c>
      <c r="AW83" s="297">
        <f>$AU83-RES!$AU$79*'Census 2011_17'!C$20*RES!$AU83/(1-RES!$AU$79)-AW$28-$AU$28</f>
        <v>2.6814927896212675E-4</v>
      </c>
      <c r="AX83" s="459">
        <v>0</v>
      </c>
      <c r="AY83" s="459">
        <v>0</v>
      </c>
      <c r="AZ83" s="125"/>
      <c r="BA83" s="172"/>
      <c r="BB83" s="172">
        <f t="shared" si="70"/>
        <v>1.002596208561014E-2</v>
      </c>
      <c r="BC83" s="172">
        <f t="shared" si="71"/>
        <v>9.3282302697347726E-3</v>
      </c>
      <c r="BD83" s="172">
        <f t="shared" si="89"/>
        <v>8.6304984538594053E-3</v>
      </c>
      <c r="BE83" s="172">
        <f t="shared" si="72"/>
        <v>7.9327666379840379E-3</v>
      </c>
      <c r="BF83" s="173" t="str">
        <f t="shared" si="73"/>
        <v/>
      </c>
      <c r="BG83" s="172"/>
      <c r="BH83" s="172">
        <f t="shared" si="51"/>
        <v>2.6814927896212675E-4</v>
      </c>
      <c r="BI83" s="172">
        <f t="shared" si="52"/>
        <v>0</v>
      </c>
      <c r="BJ83" s="172">
        <f t="shared" si="53"/>
        <v>0</v>
      </c>
      <c r="BK83" s="175" t="str">
        <f t="shared" si="54"/>
        <v/>
      </c>
      <c r="BL83" s="173" t="s">
        <v>517</v>
      </c>
      <c r="BM83" s="527">
        <f t="shared" si="90"/>
        <v>0.44</v>
      </c>
      <c r="BN83" s="377">
        <f>E83</f>
        <v>0.44</v>
      </c>
      <c r="BO83" s="377">
        <f>IF($BL83="","",($BQ83-$BN83)*1/3+$BN83)</f>
        <v>0.44</v>
      </c>
      <c r="BP83" s="377">
        <f>IF($BL83="","",($BQ83-$BN83)*2/3+$BN83)</f>
        <v>0.44</v>
      </c>
      <c r="BQ83" s="377">
        <f>IF($BL83="","",IF($BL83="*",$BM83*(1+$BN$29),E83))</f>
        <v>0.44</v>
      </c>
      <c r="BR83" s="257" t="s">
        <v>517</v>
      </c>
      <c r="BS83"/>
      <c r="BT83"/>
      <c r="BU83"/>
      <c r="BV83"/>
      <c r="BW83"/>
      <c r="BX83"/>
      <c r="BY83"/>
      <c r="BZ83"/>
      <c r="CA83"/>
      <c r="CB83"/>
      <c r="CC83"/>
      <c r="CD83"/>
      <c r="CE83"/>
      <c r="CF83"/>
    </row>
    <row r="84" spans="1:84" ht="15" outlineLevel="1">
      <c r="A84" s="108" t="s">
        <v>1013</v>
      </c>
      <c r="B84" s="30" t="s">
        <v>359</v>
      </c>
      <c r="C84" s="43" t="s">
        <v>173</v>
      </c>
      <c r="D84" s="43" t="s">
        <v>262</v>
      </c>
      <c r="E84" s="517">
        <v>0.9</v>
      </c>
      <c r="F84" s="600">
        <v>1</v>
      </c>
      <c r="G84" s="600">
        <v>1</v>
      </c>
      <c r="H84" s="600">
        <f t="shared" si="74"/>
        <v>0</v>
      </c>
      <c r="I84" s="628">
        <v>1E-3</v>
      </c>
      <c r="J84" s="517"/>
      <c r="K84" s="48"/>
      <c r="L84" s="516">
        <v>1</v>
      </c>
      <c r="M84" s="516">
        <f>IF(C84="","",SUMIFS(Energy_Balance!I$55:I$160,Energy_Balance!$C$55:$C$160,C84,Energy_Balance!$D$55:$D$160,D84)*L84)</f>
        <v>0</v>
      </c>
      <c r="N84" s="516">
        <f t="shared" si="28"/>
        <v>0</v>
      </c>
      <c r="O84" s="25"/>
      <c r="P84" s="377">
        <f t="shared" si="75"/>
        <v>0.9</v>
      </c>
      <c r="Q84" s="377">
        <f t="shared" si="75"/>
        <v>0.9</v>
      </c>
      <c r="R84" s="377">
        <f t="shared" si="75"/>
        <v>0.9</v>
      </c>
      <c r="S84" s="377">
        <f t="shared" si="75"/>
        <v>0.9</v>
      </c>
      <c r="T84" s="208"/>
      <c r="U84" s="50"/>
      <c r="V84" s="681">
        <f t="shared" si="76"/>
        <v>1E-3</v>
      </c>
      <c r="W84" s="50">
        <f t="shared" si="76"/>
        <v>6.9504082979359744E-3</v>
      </c>
      <c r="X84" s="50">
        <f t="shared" si="77"/>
        <v>6.9228573523448488E-3</v>
      </c>
      <c r="Y84" s="50">
        <f t="shared" si="78"/>
        <v>6.8769391096929729E-3</v>
      </c>
      <c r="Z84" s="50">
        <f t="shared" si="79"/>
        <v>6.8493881641018472E-3</v>
      </c>
      <c r="AA84" s="50">
        <f t="shared" si="80"/>
        <v>6.8034699214499714E-3</v>
      </c>
      <c r="AB84" s="50">
        <f t="shared" si="81"/>
        <v>6.7759189758588457E-3</v>
      </c>
      <c r="AC84" s="50">
        <f t="shared" si="82"/>
        <v>6.7300007332069698E-3</v>
      </c>
      <c r="AD84" s="50"/>
      <c r="AE84" s="681">
        <f>IF($G$16=1,AU84,IF($G$16=2,AU84,IF($G$16=3,#REF!,AU84)))</f>
        <v>-1E-4</v>
      </c>
      <c r="AF84" s="50">
        <f>IF($G$16=1,AV84,IF($G$16=2,AV84,IF($G$16=3,#REF!,AV84)))</f>
        <v>0</v>
      </c>
      <c r="AG84" s="50">
        <f t="shared" si="83"/>
        <v>0</v>
      </c>
      <c r="AH84" s="50">
        <f t="shared" si="84"/>
        <v>0</v>
      </c>
      <c r="AI84" s="50">
        <f t="shared" si="85"/>
        <v>0</v>
      </c>
      <c r="AJ84" s="50">
        <f t="shared" si="86"/>
        <v>0</v>
      </c>
      <c r="AK84" s="50">
        <f t="shared" si="87"/>
        <v>0</v>
      </c>
      <c r="AL84" s="50">
        <f t="shared" si="88"/>
        <v>0</v>
      </c>
      <c r="AO84" s="140">
        <f>(IFERROR(IF(N84/(SUMIF(RES!$D$39:$D$145,D84,$N$39:$N$145))=1,1,(N84/(SUMIF(RES!$D$39:$D$145,D84,$N$39:$N$145))+$AO$28)),0))</f>
        <v>1E-3</v>
      </c>
      <c r="AP84" s="296">
        <f>$AO84-RES!$AO$79*'Census 2011_17'!B$20*RES!$AO84/(1-RES!$AO$79)+$AO$28+AP$28</f>
        <v>6.9504082979359744E-3</v>
      </c>
      <c r="AQ84" s="296">
        <f>$AO84-RES!$AO$79*'Census 2011_17'!C$20*RES!$AO84/(1-RES!$AO$79)+$AO$28+AQ$28</f>
        <v>6.8769391096929729E-3</v>
      </c>
      <c r="AR84" s="296">
        <f>$AO84-RES!$AO$79*'Census 2011_17'!D$20*RES!$AO84/(1-RES!$AO$79)+$AO$28+AR$28</f>
        <v>6.8034699214499714E-3</v>
      </c>
      <c r="AS84" s="296">
        <f>$AO84-RES!$AO$79*'Census 2011_17'!E$20*RES!$AO84/(1-RES!$AO$79)+$AO$28+AS$28</f>
        <v>6.7300007332069698E-3</v>
      </c>
      <c r="AT84" s="21"/>
      <c r="AU84" s="198">
        <f>(IFERROR(IF($N84/(SUMIF(RES!$D$39:$D$145,$D84,$N$39:$N$145))=1,1,($N84/(SUMIF(RES!$D$39:$D$145,$D84,$N$39:$N$145))-$AU$28)),0))</f>
        <v>-1E-4</v>
      </c>
      <c r="AV84" s="296">
        <v>0</v>
      </c>
      <c r="AW84" s="296">
        <v>0</v>
      </c>
      <c r="AX84" s="296">
        <v>0</v>
      </c>
      <c r="AY84" s="296">
        <v>0</v>
      </c>
      <c r="AZ84" s="125"/>
      <c r="BA84" s="140"/>
      <c r="BB84" s="140">
        <f t="shared" si="70"/>
        <v>6.9504082979359744E-3</v>
      </c>
      <c r="BC84" s="140">
        <f t="shared" si="71"/>
        <v>6.8769391096929729E-3</v>
      </c>
      <c r="BD84" s="140">
        <f t="shared" si="89"/>
        <v>6.8034699214499714E-3</v>
      </c>
      <c r="BE84" s="140">
        <f t="shared" si="72"/>
        <v>6.7300007332069698E-3</v>
      </c>
      <c r="BF84" s="21" t="str">
        <f t="shared" si="73"/>
        <v/>
      </c>
      <c r="BG84" s="172"/>
      <c r="BH84" s="140">
        <f t="shared" si="51"/>
        <v>0</v>
      </c>
      <c r="BI84" s="140">
        <f t="shared" si="52"/>
        <v>0</v>
      </c>
      <c r="BJ84" s="140">
        <f t="shared" si="53"/>
        <v>0</v>
      </c>
      <c r="BK84" s="125" t="str">
        <f t="shared" si="54"/>
        <v/>
      </c>
      <c r="BL84" s="21" t="s">
        <v>517</v>
      </c>
      <c r="BM84" s="527">
        <f t="shared" si="90"/>
        <v>0.9</v>
      </c>
      <c r="BN84" s="377">
        <f>E84</f>
        <v>0.9</v>
      </c>
      <c r="BO84" s="377">
        <f>IF($BL84="","",($BQ84-$BN84)*1/3+$BN84)</f>
        <v>0.9</v>
      </c>
      <c r="BP84" s="377">
        <f>IF($BL84="","",($BQ84-$BN84)*2/3+$BN84)</f>
        <v>0.9</v>
      </c>
      <c r="BQ84" s="377">
        <f>IF($BL84="","",IF($BL84="*",$BM84*(1+$BN$29),E84))</f>
        <v>0.9</v>
      </c>
      <c r="BR84" t="s">
        <v>517</v>
      </c>
    </row>
    <row r="85" spans="1:84" s="195" customFormat="1" ht="15" outlineLevel="1">
      <c r="A85" s="556" t="s">
        <v>974</v>
      </c>
      <c r="B85" s="557"/>
      <c r="C85" s="558"/>
      <c r="D85" s="558"/>
      <c r="E85" s="559" t="str">
        <f>IF(D85="","",IF(COUNTIF(#REF!,$B85)=1,SUMIF(#REF!,RES!B85,#REF!),SUMIF(#REF!,RES!$B85,#REF!)))</f>
        <v/>
      </c>
      <c r="F85" s="559"/>
      <c r="G85" s="559"/>
      <c r="H85" s="559"/>
      <c r="I85" s="629"/>
      <c r="J85" s="559"/>
      <c r="K85" s="560"/>
      <c r="L85" s="561"/>
      <c r="M85" s="561">
        <f>SUM(M79:M84)</f>
        <v>28.073174497534239</v>
      </c>
      <c r="N85" s="561">
        <f>SUM(N79:N84)</f>
        <v>10.675362840304325</v>
      </c>
      <c r="O85" s="196"/>
      <c r="P85" s="562"/>
      <c r="Q85" s="562"/>
      <c r="R85" s="562"/>
      <c r="S85" s="562"/>
      <c r="T85" s="563"/>
      <c r="U85" s="564"/>
      <c r="V85" s="564">
        <f>IF($G$16=1,AO85,IF($G$16=2,AO85,IF($G$16=3,BB85,AO85)))</f>
        <v>1.006</v>
      </c>
      <c r="W85" s="564"/>
      <c r="X85" s="564"/>
      <c r="Y85" s="564"/>
      <c r="Z85" s="564"/>
      <c r="AA85" s="564"/>
      <c r="AB85" s="564"/>
      <c r="AC85" s="564"/>
      <c r="AD85" s="564"/>
      <c r="AE85" s="564">
        <f>IF($G$16=1,AU85,IF($G$16=2,AU85,IF($G$16=3,BH85,AU85)))</f>
        <v>0.99940000000000007</v>
      </c>
      <c r="AF85" s="564"/>
      <c r="AG85" s="564"/>
      <c r="AH85" s="564"/>
      <c r="AI85" s="564"/>
      <c r="AJ85" s="564"/>
      <c r="AK85" s="564"/>
      <c r="AL85" s="564"/>
      <c r="AO85" s="566">
        <f>SUM(AO79:AO84)</f>
        <v>1.006</v>
      </c>
      <c r="AP85" s="566">
        <f>SUM(AP79:AP84)</f>
        <v>1.0217024497876159</v>
      </c>
      <c r="AQ85" s="566">
        <f>SUM(AQ79:AQ84)</f>
        <v>1.0212616346581582</v>
      </c>
      <c r="AR85" s="566">
        <f>SUM(AR79:AR84)</f>
        <v>1.2977615200528849</v>
      </c>
      <c r="AS85" s="566">
        <f>SUM(AS79:AS84)</f>
        <v>1.2627618549525486</v>
      </c>
      <c r="AT85" s="567"/>
      <c r="AU85" s="566">
        <f>SUM(AU79:AU84)</f>
        <v>0.99940000000000007</v>
      </c>
      <c r="AV85" s="566">
        <f>SUM(AV79:AV84)</f>
        <v>0.98312468662064234</v>
      </c>
      <c r="AW85" s="566">
        <f>SUM(AW79:AW84)</f>
        <v>0.9771612593919643</v>
      </c>
      <c r="AX85" s="566">
        <f>SUM(AX79:AX84)</f>
        <v>0.97298925688583748</v>
      </c>
      <c r="AY85" s="566">
        <f>SUM(AY79:AY84)</f>
        <v>0.95095039512545365</v>
      </c>
      <c r="AZ85" s="568"/>
      <c r="BA85" s="566"/>
      <c r="BB85" s="566">
        <f t="shared" si="70"/>
        <v>1.0217024497876159</v>
      </c>
      <c r="BC85" s="566">
        <f t="shared" si="71"/>
        <v>1.0212616346581582</v>
      </c>
      <c r="BD85" s="566">
        <f t="shared" si="89"/>
        <v>1.2977615200528849</v>
      </c>
      <c r="BE85" s="566">
        <f t="shared" si="72"/>
        <v>1.2627618549525486</v>
      </c>
      <c r="BF85" s="567" t="str">
        <f t="shared" si="73"/>
        <v/>
      </c>
      <c r="BG85" s="569"/>
      <c r="BH85" s="569">
        <f t="shared" si="51"/>
        <v>0.9771612593919643</v>
      </c>
      <c r="BI85" s="569">
        <f t="shared" si="52"/>
        <v>0.97298925688583748</v>
      </c>
      <c r="BJ85" s="569">
        <f t="shared" si="53"/>
        <v>0.95095039512545365</v>
      </c>
      <c r="BK85" s="568" t="str">
        <f t="shared" si="54"/>
        <v/>
      </c>
      <c r="BL85" s="567"/>
      <c r="BN85" s="562" t="str">
        <f>IF($BL85="","",($BP85-$BM85)*5/25+$BM85)</f>
        <v/>
      </c>
      <c r="BO85" s="562" t="str">
        <f>IF($BL85="","",($BP85-$BM85)*15/25+$BM85)</f>
        <v/>
      </c>
      <c r="BP85" s="562" t="str">
        <f>IF($BL85="","",IF($BL85="*",$BM85*(1+$BN$29),E85))</f>
        <v/>
      </c>
      <c r="BQ85" s="562" t="str">
        <f>IF(G85="","",IF(COUNTIF(#REF!,$B85)=1,SUMIF(#REF!,RES!$B85,#REF!),SUMIF(#REF!,RES!$B85,#REF!)))</f>
        <v/>
      </c>
    </row>
    <row r="86" spans="1:84" s="237" customFormat="1" ht="15">
      <c r="A86" s="577" t="s">
        <v>1014</v>
      </c>
      <c r="B86" s="578" t="s">
        <v>334</v>
      </c>
      <c r="C86" s="588"/>
      <c r="D86" s="588"/>
      <c r="E86" s="590" t="str">
        <f>IF(D86="","",IF(COUNTIF(#REF!,$B86)=1,SUMIF(#REF!,RES!B86,#REF!),SUMIF(#REF!,RES!$B86,#REF!)))</f>
        <v/>
      </c>
      <c r="F86" s="590"/>
      <c r="G86" s="590"/>
      <c r="H86" s="590"/>
      <c r="I86" s="630"/>
      <c r="J86" s="590"/>
      <c r="K86" s="579"/>
      <c r="L86" s="592"/>
      <c r="M86" s="592"/>
      <c r="N86" s="592"/>
      <c r="O86" s="584"/>
      <c r="P86" s="593"/>
      <c r="Q86" s="593"/>
      <c r="R86" s="593"/>
      <c r="S86" s="593"/>
      <c r="T86" s="594"/>
      <c r="U86" s="595"/>
      <c r="V86" s="595">
        <f>IF($G$16=1,AO86,IF($G$16=2,AO86,IF($G$16=3,BB86,AO86)))</f>
        <v>0</v>
      </c>
      <c r="W86" s="595"/>
      <c r="X86" s="595"/>
      <c r="Y86" s="595"/>
      <c r="Z86" s="595"/>
      <c r="AA86" s="595"/>
      <c r="AB86" s="595"/>
      <c r="AC86" s="595"/>
      <c r="AD86" s="595"/>
      <c r="AE86" s="595">
        <f>IF($G$16=1,AU86,IF($G$16=2,AU86,IF($G$16=3,BH86,AU86)))</f>
        <v>0</v>
      </c>
      <c r="AF86" s="595"/>
      <c r="AG86" s="595"/>
      <c r="AH86" s="595"/>
      <c r="AI86" s="595"/>
      <c r="AJ86" s="595"/>
      <c r="AK86" s="595"/>
      <c r="AL86" s="595"/>
      <c r="AO86" s="596"/>
      <c r="AP86" s="596"/>
      <c r="AQ86" s="596"/>
      <c r="AR86" s="596"/>
      <c r="AS86" s="596"/>
      <c r="AT86" s="586"/>
      <c r="AU86" s="596"/>
      <c r="AV86" s="596"/>
      <c r="AW86" s="596"/>
      <c r="AX86" s="596"/>
      <c r="AY86" s="596"/>
      <c r="AZ86" s="587"/>
      <c r="BA86" s="596"/>
      <c r="BB86" s="596" t="str">
        <f t="shared" si="70"/>
        <v/>
      </c>
      <c r="BC86" s="596" t="str">
        <f t="shared" si="71"/>
        <v/>
      </c>
      <c r="BD86" s="596" t="str">
        <f t="shared" si="89"/>
        <v/>
      </c>
      <c r="BE86" s="596" t="str">
        <f t="shared" si="72"/>
        <v/>
      </c>
      <c r="BF86" s="586" t="str">
        <f t="shared" si="73"/>
        <v/>
      </c>
      <c r="BG86" s="596"/>
      <c r="BH86" s="596" t="str">
        <f t="shared" si="51"/>
        <v/>
      </c>
      <c r="BI86" s="596" t="str">
        <f t="shared" si="52"/>
        <v/>
      </c>
      <c r="BJ86" s="596" t="str">
        <f t="shared" si="53"/>
        <v/>
      </c>
      <c r="BK86" s="587" t="str">
        <f t="shared" si="54"/>
        <v/>
      </c>
      <c r="BL86" s="586"/>
      <c r="BN86" s="593" t="str">
        <f>IF($BL86="","",($BP86-$BM86)*5/25+$BM86)</f>
        <v/>
      </c>
      <c r="BO86" s="593" t="str">
        <f>IF($BL86="","",($BP86-$BM86)*15/25+$BM86)</f>
        <v/>
      </c>
      <c r="BP86" s="593" t="str">
        <f>IF($BL86="","",IF($BL86="*",$BM86*(1+$BN$29),E86))</f>
        <v/>
      </c>
      <c r="BQ86" s="593" t="str">
        <f>IF(G86="","",IF(COUNTIF(#REF!,$B86)=1,SUMIF(#REF!,RES!$B86,#REF!),SUMIF(#REF!,RES!$B86,#REF!)))</f>
        <v/>
      </c>
    </row>
    <row r="87" spans="1:84" s="169" customFormat="1" ht="15.35" outlineLevel="1">
      <c r="A87" s="108" t="s">
        <v>1015</v>
      </c>
      <c r="B87" s="30" t="s">
        <v>360</v>
      </c>
      <c r="C87" s="43" t="s">
        <v>242</v>
      </c>
      <c r="D87" s="43" t="s">
        <v>263</v>
      </c>
      <c r="E87" s="525">
        <f>INDEX('Electrical efficiency'!$L$8:$L$23,MATCH(RES!D87,'Electrical efficiency'!$K$8:$K$23,0))</f>
        <v>0.94750000000000012</v>
      </c>
      <c r="F87" s="600">
        <v>1</v>
      </c>
      <c r="G87" s="600">
        <v>1</v>
      </c>
      <c r="H87" s="600">
        <f t="shared" ref="H87:H92" si="91">N87/F87*(1+$D$31)</f>
        <v>2.5919919594643832</v>
      </c>
      <c r="I87" s="628">
        <v>1E-3</v>
      </c>
      <c r="J87" s="517"/>
      <c r="K87" s="48" t="s">
        <v>931</v>
      </c>
      <c r="L87" s="516">
        <v>1</v>
      </c>
      <c r="M87" s="516">
        <f>IF(C87="","",SUMIFS(Energy_Balance!I$55:I$160,Energy_Balance!$C$55:$C$160,C87,Energy_Balance!$D$55:$D$160,D87)*L87)</f>
        <v>3.5506739170744979</v>
      </c>
      <c r="N87" s="516">
        <f>E88*M87</f>
        <v>2.5919919594643832</v>
      </c>
      <c r="O87" s="25"/>
      <c r="P87" s="377">
        <f t="shared" ref="P87:S92" si="92">IF($G$16=0,BN87,IF($G$16=1,BS87,IF($G$16=2,BX87,IF($G$16=3,BN87,IF($G$16=4,BS87,"NA")))))</f>
        <v>0.94750000000000012</v>
      </c>
      <c r="Q87" s="377">
        <f t="shared" si="92"/>
        <v>0.94750000000000012</v>
      </c>
      <c r="R87" s="377">
        <f t="shared" si="92"/>
        <v>0.94750000000000012</v>
      </c>
      <c r="S87" s="377">
        <f t="shared" si="92"/>
        <v>0.94750000000000012</v>
      </c>
      <c r="T87" s="208"/>
      <c r="U87" s="50"/>
      <c r="V87" s="50">
        <f t="shared" ref="V87:W92" si="93">IF($G$16=1,AO87,IF($G$16=2,AO87,IF($G$16=3,BA87,AO87)))</f>
        <v>0.23960218309868969</v>
      </c>
      <c r="W87" s="50">
        <f t="shared" si="93"/>
        <v>0.25115562346355857</v>
      </c>
      <c r="X87" s="50">
        <f t="shared" ref="X87:X92" si="94">$V$32*W87+(1-$V$32)*Y87</f>
        <v>0.25701864588848572</v>
      </c>
      <c r="Y87" s="50">
        <f t="shared" ref="Y87:Y92" si="95">IF($G$16=1,AQ87,IF($G$16=2,AQ87,IF($G$16=3,BC87,AQ87)))</f>
        <v>0.26679034993003098</v>
      </c>
      <c r="Z87" s="50">
        <f t="shared" ref="Z87:Z92" si="96">$V$32*Y87+(1-$V$32)*AA87</f>
        <v>0.52299396870626935</v>
      </c>
      <c r="AA87" s="50">
        <f t="shared" ref="AA87:AA92" si="97">IF($G$16=1,AR87,IF($G$16=2,AR87,IF($G$16=3,BD87,AR87)))</f>
        <v>0.95</v>
      </c>
      <c r="AB87" s="50">
        <f t="shared" ref="AB87:AB92" si="98">$V$32*AA87+(1-$V$32)*AC87</f>
        <v>0.95</v>
      </c>
      <c r="AC87" s="50">
        <f t="shared" ref="AC87:AC92" si="99">IF($G$16=1,AS87,IF($G$16=2,AS87,IF($G$16=3,BE87,AS87)))</f>
        <v>0.95</v>
      </c>
      <c r="AD87" s="50"/>
      <c r="AE87" s="50">
        <f>IF($G$16=1,AU87,IF($G$16=2,AU87,IF($G$16=3,#REF!,AU87)))</f>
        <v>0.2385021830986897</v>
      </c>
      <c r="AF87" s="50">
        <f>IF($G$16=1,AV87,IF($G$16=2,AV87,IF($G$16=3,#REF!,AV87)))</f>
        <v>0.2480071732188604</v>
      </c>
      <c r="AG87" s="50">
        <f t="shared" ref="AG87:AG92" si="100">$V$32*AF87+(1-$V$32)*AH87</f>
        <v>0.25384327884117741</v>
      </c>
      <c r="AH87" s="50">
        <f t="shared" ref="AH87:AH92" si="101">IF($G$16=1,AW87,IF($G$16=2,AW87,IF($G$16=3,BH87,AW87)))</f>
        <v>0.26357012154503912</v>
      </c>
      <c r="AI87" s="50">
        <f t="shared" ref="AI87:AI92" si="102">$V$32*AH87+(1-$V$32)*AJ87</f>
        <v>0.26940622716735613</v>
      </c>
      <c r="AJ87" s="50">
        <f t="shared" ref="AJ87:AJ92" si="103">IF($G$16=1,AX87,IF($G$16=2,AX87,IF($G$16=3,BI87,AX87)))</f>
        <v>0.27913306987121789</v>
      </c>
      <c r="AK87" s="50">
        <f t="shared" ref="AK87:AK92" si="104">$V$32*AJ87+(1-$V$32)*AL87</f>
        <v>0.28496917549353495</v>
      </c>
      <c r="AL87" s="50">
        <f t="shared" ref="AL87:AL92" si="105">IF($G$16=1,AY87,IF($G$16=2,AY87,IF($G$16=3,BJ87,AY87)))</f>
        <v>0.29469601819739671</v>
      </c>
      <c r="AM87"/>
      <c r="AN87"/>
      <c r="AO87" s="140">
        <f>(IFERROR(IF(N87/(SUMIF(RES!$D$39:$D$145,D87,$N$39:$N$145))=1,1,(N87/(SUMIF(RES!$D$39:$D$145,D87,$N$39:$N$145))+$AO$28)),0))</f>
        <v>0.23960218309868969</v>
      </c>
      <c r="AP87" s="450">
        <f>$AO87*(1+'Census 2011_17'!B$20)+$AO$28</f>
        <v>0.25115562346355857</v>
      </c>
      <c r="AQ87" s="450">
        <f>$AO87*(1+'Census 2011_17'!C$20)+$AO$28</f>
        <v>0.26679034993003098</v>
      </c>
      <c r="AR87" s="459">
        <v>0.95</v>
      </c>
      <c r="AS87" s="459">
        <v>0.95</v>
      </c>
      <c r="AT87" s="21"/>
      <c r="AU87" s="198">
        <f>(IFERROR(IF($N87/(SUMIF(RES!$D$39:$D$145,$D87,$N$39:$N$145))=1,1,($N87/(SUMIF(RES!$D$39:$D$145,$D87,$N$39:$N$145))-$AU$28)),0))</f>
        <v>0.2385021830986897</v>
      </c>
      <c r="AV87" s="452">
        <f>$AU87*(1+'Census 2011_17'!B$20)-$AO$28</f>
        <v>0.2480071732188604</v>
      </c>
      <c r="AW87" s="452">
        <f>$AU87*(1+'Census 2011_17'!C$20)-$AO$28</f>
        <v>0.26357012154503912</v>
      </c>
      <c r="AX87" s="452">
        <f>$AU87*(1+'Census 2011_17'!D$20)-$AO$28</f>
        <v>0.27913306987121789</v>
      </c>
      <c r="AY87" s="452">
        <f>$AU87*(1+'Census 2011_17'!E$20)-$AO$28</f>
        <v>0.29469601819739671</v>
      </c>
      <c r="AZ87" s="125"/>
      <c r="BA87" s="172"/>
      <c r="BB87" s="172">
        <f t="shared" si="70"/>
        <v>0.25115562346355857</v>
      </c>
      <c r="BC87" s="172">
        <f t="shared" si="71"/>
        <v>0.26679034993003098</v>
      </c>
      <c r="BD87" s="172">
        <f t="shared" si="89"/>
        <v>0.95</v>
      </c>
      <c r="BE87" s="172">
        <f t="shared" si="72"/>
        <v>0.95</v>
      </c>
      <c r="BF87" s="173" t="str">
        <f t="shared" si="73"/>
        <v/>
      </c>
      <c r="BG87" s="172"/>
      <c r="BH87" s="172">
        <f t="shared" si="51"/>
        <v>0.26357012154503912</v>
      </c>
      <c r="BI87" s="172">
        <f t="shared" si="52"/>
        <v>0.27913306987121789</v>
      </c>
      <c r="BJ87" s="172">
        <f t="shared" si="53"/>
        <v>0.29469601819739671</v>
      </c>
      <c r="BK87" s="175" t="str">
        <f t="shared" si="54"/>
        <v/>
      </c>
      <c r="BL87" s="183" t="s">
        <v>517</v>
      </c>
      <c r="BM87" s="527">
        <f t="shared" ref="BM87:BM92" si="106">E87</f>
        <v>0.94750000000000012</v>
      </c>
      <c r="BN87" s="377">
        <f>INDEX('Electrical efficiency'!$M$8:$M$23,MATCH(RES!D87,'Electrical efficiency'!$K$8:$K$23,0))</f>
        <v>0.94750000000000012</v>
      </c>
      <c r="BO87" s="377">
        <f>INDEX('Electrical efficiency'!$N$8:$N$23,MATCH(RES!D87,'Electrical efficiency'!$K$8:$K$23,0))</f>
        <v>0.94750000000000012</v>
      </c>
      <c r="BP87" s="377">
        <f>INDEX('Electrical efficiency'!$O$8:$O$23,MATCH(RES!D87,'Electrical efficiency'!$K$8:$K$23,0))</f>
        <v>0.94750000000000012</v>
      </c>
      <c r="BQ87" s="377">
        <f>INDEX('Electrical efficiency'!$P$8:$P$23,MATCH(RES!D87,'Electrical efficiency'!$K$8:$K$23,0))</f>
        <v>0.94750000000000012</v>
      </c>
      <c r="BR87" s="183" t="s">
        <v>517</v>
      </c>
      <c r="BS87"/>
      <c r="BT87"/>
      <c r="BU87"/>
      <c r="BV87"/>
      <c r="BW87"/>
      <c r="BX87"/>
      <c r="BY87"/>
      <c r="BZ87"/>
      <c r="CA87"/>
      <c r="CB87"/>
      <c r="CC87"/>
      <c r="CD87"/>
      <c r="CE87"/>
      <c r="CF87"/>
    </row>
    <row r="88" spans="1:84" ht="15.35" outlineLevel="1">
      <c r="A88" s="108" t="s">
        <v>1016</v>
      </c>
      <c r="B88" s="30" t="s">
        <v>361</v>
      </c>
      <c r="C88" s="43" t="s">
        <v>244</v>
      </c>
      <c r="D88" s="43" t="s">
        <v>263</v>
      </c>
      <c r="E88" s="517">
        <v>0.73</v>
      </c>
      <c r="F88" s="600">
        <v>1</v>
      </c>
      <c r="G88" s="600">
        <v>1</v>
      </c>
      <c r="H88" s="600">
        <f t="shared" si="91"/>
        <v>0.44066852061890316</v>
      </c>
      <c r="I88" s="628">
        <v>1E-3</v>
      </c>
      <c r="J88" s="517"/>
      <c r="K88" s="48"/>
      <c r="L88" s="516">
        <v>1</v>
      </c>
      <c r="M88" s="516">
        <f>IF(C88="","",SUMIFS(Energy_Balance!I$55:I$160,Energy_Balance!$C$55:$C$160,C88,Energy_Balance!$D$55:$D$160,D88)*L88)</f>
        <v>0.74689579765915792</v>
      </c>
      <c r="N88" s="516">
        <f>E89*M88</f>
        <v>0.44066852061890316</v>
      </c>
      <c r="O88" s="25"/>
      <c r="P88" s="377">
        <f t="shared" si="92"/>
        <v>0.73</v>
      </c>
      <c r="Q88" s="377">
        <f t="shared" si="92"/>
        <v>0.73</v>
      </c>
      <c r="R88" s="377">
        <f t="shared" si="92"/>
        <v>0.73</v>
      </c>
      <c r="S88" s="377">
        <f t="shared" si="92"/>
        <v>0.73</v>
      </c>
      <c r="T88" s="208"/>
      <c r="U88" s="50"/>
      <c r="V88" s="50">
        <f t="shared" si="93"/>
        <v>4.1565122379572356E-2</v>
      </c>
      <c r="W88" s="50">
        <f t="shared" si="93"/>
        <v>4.1988246656705537E-2</v>
      </c>
      <c r="X88" s="50">
        <f t="shared" si="94"/>
        <v>4.1988246656705537E-2</v>
      </c>
      <c r="Y88" s="50">
        <f t="shared" si="95"/>
        <v>4.1988246656705537E-2</v>
      </c>
      <c r="Z88" s="50">
        <f t="shared" si="96"/>
        <v>4.1988246656705537E-2</v>
      </c>
      <c r="AA88" s="50">
        <f t="shared" si="97"/>
        <v>4.1988246656705537E-2</v>
      </c>
      <c r="AB88" s="50">
        <f t="shared" si="98"/>
        <v>4.1988246656705537E-2</v>
      </c>
      <c r="AC88" s="50">
        <f t="shared" si="99"/>
        <v>4.1988246656705537E-2</v>
      </c>
      <c r="AD88" s="50"/>
      <c r="AE88" s="50">
        <f>IF($G$16=1,AU88,IF($G$16=2,AU88,IF($G$16=3,#REF!,AU88)))</f>
        <v>4.0465122379572352E-2</v>
      </c>
      <c r="AF88" s="50">
        <f>IF($G$16=1,AV88,IF($G$16=2,AV88,IF($G$16=3,#REF!,AV88)))</f>
        <v>3.4806899228600405E-2</v>
      </c>
      <c r="AG88" s="50">
        <f t="shared" si="100"/>
        <v>3.3746775255838218E-2</v>
      </c>
      <c r="AH88" s="50">
        <f t="shared" si="101"/>
        <v>3.1979901967901236E-2</v>
      </c>
      <c r="AI88" s="50">
        <f t="shared" si="102"/>
        <v>1.9987438729938273E-2</v>
      </c>
      <c r="AJ88" s="50">
        <f t="shared" si="103"/>
        <v>0</v>
      </c>
      <c r="AK88" s="50">
        <f t="shared" si="104"/>
        <v>0</v>
      </c>
      <c r="AL88" s="50">
        <f t="shared" si="105"/>
        <v>0</v>
      </c>
      <c r="AO88" s="140">
        <f>(IFERROR(IF(N88/(SUMIF(RES!$D$39:$D$145,D88,$N$39:$N$145))=1,1,(N88/(SUMIF(RES!$D$39:$D$145,D88,$N$39:$N$145))+$AO$28)),0))</f>
        <v>4.1565122379572356E-2</v>
      </c>
      <c r="AP88" s="297">
        <f>$AO88-RES!$AO$87*'Census 2011_17'!B$20*RES!$AO88/(1-RES!$AO$87)+$AO$28</f>
        <v>4.1988246656705537E-2</v>
      </c>
      <c r="AQ88" s="140">
        <f t="shared" ref="AP88:AQ89" si="107">AP88</f>
        <v>4.1988246656705537E-2</v>
      </c>
      <c r="AR88" s="140">
        <f t="shared" ref="AR88:AR89" si="108">AQ88</f>
        <v>4.1988246656705537E-2</v>
      </c>
      <c r="AS88" s="140">
        <f t="shared" ref="AS88:AS89" si="109">AR88</f>
        <v>4.1988246656705537E-2</v>
      </c>
      <c r="AT88" s="21"/>
      <c r="AU88" s="198">
        <f>(IFERROR(IF($N88/(SUMIF(RES!$D$39:$D$145,$D88,$N$39:$N$145))=1,1,($N88/(SUMIF(RES!$D$39:$D$145,$D88,$N$39:$N$145))-$AU$28)),0))</f>
        <v>4.0465122379572352E-2</v>
      </c>
      <c r="AV88" s="297">
        <f>$AU88-RES!$AU$87*'Census 2011_17'!B$20*RES!$AU88/(1-RES!$AU$87)-AV$28-$AU$28</f>
        <v>3.4806899228600405E-2</v>
      </c>
      <c r="AW88" s="297">
        <f>$AU88-RES!$AU$87*'Census 2011_17'!C$20*RES!$AU88/(1-RES!$AU$87)-AW$28-$AU$28</f>
        <v>3.1979901967901236E-2</v>
      </c>
      <c r="AX88" s="459">
        <v>0</v>
      </c>
      <c r="AY88" s="459">
        <v>0</v>
      </c>
      <c r="AZ88" s="125"/>
      <c r="BA88" s="140"/>
      <c r="BB88" s="297">
        <f t="shared" si="70"/>
        <v>4.1988246656705537E-2</v>
      </c>
      <c r="BC88" s="297">
        <f t="shared" si="71"/>
        <v>4.1988246656705537E-2</v>
      </c>
      <c r="BD88" s="297">
        <f t="shared" si="89"/>
        <v>4.1988246656705537E-2</v>
      </c>
      <c r="BE88" s="297">
        <f t="shared" si="72"/>
        <v>4.1988246656705537E-2</v>
      </c>
      <c r="BF88" s="21" t="str">
        <f t="shared" si="73"/>
        <v/>
      </c>
      <c r="BG88" s="172"/>
      <c r="BH88" s="140">
        <f t="shared" ref="BH88:BH95" si="110">IF(AW88="","",AW88)</f>
        <v>3.1979901967901236E-2</v>
      </c>
      <c r="BI88" s="140">
        <f t="shared" ref="BI88:BI95" si="111">IF(AX88="","",AX88)</f>
        <v>0</v>
      </c>
      <c r="BJ88" s="140">
        <f t="shared" ref="BJ88:BJ95" si="112">IF(AY88="","",AY88)</f>
        <v>0</v>
      </c>
      <c r="BK88" s="125" t="str">
        <f t="shared" ref="BK88:BK95" si="113">IF(AZ88="","",AZ88)</f>
        <v/>
      </c>
      <c r="BL88" s="183" t="s">
        <v>517</v>
      </c>
      <c r="BM88" s="527">
        <f t="shared" si="106"/>
        <v>0.73</v>
      </c>
      <c r="BN88" s="377">
        <f>E88</f>
        <v>0.73</v>
      </c>
      <c r="BO88" s="377">
        <f>IF($BL88="","",($BQ88-$BN88)*1/3+$BN88)</f>
        <v>0.73</v>
      </c>
      <c r="BP88" s="377">
        <f>IF($BL88="","",($BQ88-$BN88)*2/3+$BN88)</f>
        <v>0.73</v>
      </c>
      <c r="BQ88" s="377">
        <f>IF($BL88="","",IF($BL88="*",$BM88*(1+$BN$29),E88))</f>
        <v>0.73</v>
      </c>
      <c r="BR88" s="183" t="s">
        <v>517</v>
      </c>
    </row>
    <row r="89" spans="1:84" ht="15" outlineLevel="1">
      <c r="A89" s="108" t="s">
        <v>1017</v>
      </c>
      <c r="B89" s="30" t="s">
        <v>362</v>
      </c>
      <c r="C89" s="43" t="s">
        <v>245</v>
      </c>
      <c r="D89" s="43" t="s">
        <v>263</v>
      </c>
      <c r="E89" s="517">
        <v>0.59</v>
      </c>
      <c r="F89" s="600">
        <v>1</v>
      </c>
      <c r="G89" s="600">
        <v>1</v>
      </c>
      <c r="H89" s="600">
        <f t="shared" si="91"/>
        <v>3.0392353351358481</v>
      </c>
      <c r="I89" s="628">
        <v>1E-3</v>
      </c>
      <c r="J89" s="517"/>
      <c r="K89" s="48"/>
      <c r="L89" s="516">
        <v>1</v>
      </c>
      <c r="M89" s="516">
        <f>IF(C89="","",SUMIFS(Energy_Balance!I$55:I$160,Energy_Balance!$C$55:$C$160,C89,Energy_Balance!$D$55:$D$160,D89)*L89)</f>
        <v>5.1512463307387257</v>
      </c>
      <c r="N89" s="516">
        <f>E90*M89</f>
        <v>3.0392353351358481</v>
      </c>
      <c r="O89" s="25"/>
      <c r="P89" s="377">
        <f t="shared" si="92"/>
        <v>0.59</v>
      </c>
      <c r="Q89" s="377">
        <f t="shared" si="92"/>
        <v>0.59</v>
      </c>
      <c r="R89" s="377">
        <f t="shared" si="92"/>
        <v>0.59</v>
      </c>
      <c r="S89" s="377">
        <f t="shared" si="92"/>
        <v>0.59</v>
      </c>
      <c r="T89" s="208"/>
      <c r="U89" s="50"/>
      <c r="V89" s="50">
        <f t="shared" si="93"/>
        <v>0.28077254453518524</v>
      </c>
      <c r="W89" s="50">
        <f t="shared" si="93"/>
        <v>0.28077254453518524</v>
      </c>
      <c r="X89" s="50">
        <f t="shared" si="94"/>
        <v>0.28077254453518524</v>
      </c>
      <c r="Y89" s="50">
        <f t="shared" si="95"/>
        <v>0.28077254453518524</v>
      </c>
      <c r="Z89" s="50">
        <f t="shared" si="96"/>
        <v>0.28077254453518524</v>
      </c>
      <c r="AA89" s="50">
        <f t="shared" si="97"/>
        <v>0.28077254453518524</v>
      </c>
      <c r="AB89" s="50">
        <f t="shared" si="98"/>
        <v>0.28077254453518524</v>
      </c>
      <c r="AC89" s="50">
        <f t="shared" si="99"/>
        <v>0.28077254453518524</v>
      </c>
      <c r="AD89" s="50"/>
      <c r="AE89" s="50">
        <f>IF($G$16=1,AU89,IF($G$16=2,AU89,IF($G$16=3,#REF!,AU89)))</f>
        <v>0.27967254453518525</v>
      </c>
      <c r="AF89" s="50">
        <f>IF($G$16=1,AV89,IF($G$16=2,AV89,IF($G$16=3,#REF!,AV89)))</f>
        <v>0.27071441487017811</v>
      </c>
      <c r="AG89" s="50">
        <f t="shared" si="100"/>
        <v>0.26782100950072973</v>
      </c>
      <c r="AH89" s="50">
        <f t="shared" si="101"/>
        <v>0.26299866721831572</v>
      </c>
      <c r="AI89" s="50">
        <f t="shared" si="102"/>
        <v>0.26160526184886734</v>
      </c>
      <c r="AJ89" s="50">
        <f t="shared" si="103"/>
        <v>0.25928291956645327</v>
      </c>
      <c r="AK89" s="50">
        <f t="shared" si="104"/>
        <v>0.25713951419700487</v>
      </c>
      <c r="AL89" s="50">
        <f t="shared" si="105"/>
        <v>0.25356717191459088</v>
      </c>
      <c r="AO89" s="140">
        <f>(IFERROR(IF(N89/(SUMIF(RES!$D$39:$D$145,D89,$N$39:$N$145))=1,1,(N89/(SUMIF(RES!$D$39:$D$145,D89,$N$39:$N$145))+$AO$28)),0))</f>
        <v>0.28077254453518524</v>
      </c>
      <c r="AP89" s="140">
        <f t="shared" si="107"/>
        <v>0.28077254453518524</v>
      </c>
      <c r="AQ89" s="140">
        <f t="shared" ref="AQ89" si="114">AP89</f>
        <v>0.28077254453518524</v>
      </c>
      <c r="AR89" s="140">
        <f t="shared" si="108"/>
        <v>0.28077254453518524</v>
      </c>
      <c r="AS89" s="140">
        <f t="shared" si="109"/>
        <v>0.28077254453518524</v>
      </c>
      <c r="AT89" s="21"/>
      <c r="AU89" s="198">
        <f>(IFERROR(IF($N89/(SUMIF(RES!$D$39:$D$145,$D89,$N$39:$N$145))=1,1,($N89/(SUMIF(RES!$D$39:$D$145,$D89,$N$39:$N$145))-$AU$28)),0))</f>
        <v>0.27967254453518525</v>
      </c>
      <c r="AV89" s="297">
        <f>$AU89-RES!$AU$87*'Census 2011_17'!B$20*RES!$AU89/(1-RES!$AU$87)-AV$28-$AU$28</f>
        <v>0.27071441487017811</v>
      </c>
      <c r="AW89" s="297">
        <f>$AU89-RES!$AU$87*'Census 2011_17'!C$20*RES!$AU89/(1-RES!$AU$87)-AW$28-$AU$28</f>
        <v>0.26299866721831572</v>
      </c>
      <c r="AX89" s="297">
        <f>$AU89-RES!$AU$87*'Census 2011_17'!D$20*RES!$AU89/(1-RES!$AU$87)-AX$28-$AU$28</f>
        <v>0.25928291956645327</v>
      </c>
      <c r="AY89" s="297">
        <f>$AU89-RES!$AU$87*'Census 2011_17'!E$20*RES!$AU89/(1-RES!$AU$87)-AY$28-$AU$28</f>
        <v>0.25356717191459088</v>
      </c>
      <c r="AZ89" s="125"/>
      <c r="BA89" s="140"/>
      <c r="BB89" s="297">
        <f t="shared" si="70"/>
        <v>0.28077254453518524</v>
      </c>
      <c r="BC89" s="297">
        <f t="shared" si="71"/>
        <v>0.28077254453518524</v>
      </c>
      <c r="BD89" s="297">
        <f t="shared" si="89"/>
        <v>0.28077254453518524</v>
      </c>
      <c r="BE89" s="297">
        <f t="shared" si="72"/>
        <v>0.28077254453518524</v>
      </c>
      <c r="BF89" s="21" t="str">
        <f t="shared" si="73"/>
        <v/>
      </c>
      <c r="BG89" s="172"/>
      <c r="BH89" s="140">
        <f t="shared" si="110"/>
        <v>0.26299866721831572</v>
      </c>
      <c r="BI89" s="140">
        <f t="shared" si="111"/>
        <v>0.25928291956645327</v>
      </c>
      <c r="BJ89" s="140">
        <f t="shared" si="112"/>
        <v>0.25356717191459088</v>
      </c>
      <c r="BK89" s="125" t="str">
        <f t="shared" si="113"/>
        <v/>
      </c>
      <c r="BL89" s="183" t="s">
        <v>517</v>
      </c>
      <c r="BM89" s="527">
        <f t="shared" si="106"/>
        <v>0.59</v>
      </c>
      <c r="BN89" s="377">
        <f>E89</f>
        <v>0.59</v>
      </c>
      <c r="BO89" s="377">
        <f>IF($BL89="","",($BQ89-$BN89)*1/3+$BN89)</f>
        <v>0.59</v>
      </c>
      <c r="BP89" s="377">
        <f>IF($BL89="","",($BQ89-$BN89)*2/3+$BN89)</f>
        <v>0.59</v>
      </c>
      <c r="BQ89" s="377">
        <f>IF($BL89="","",IF($BL89="*",$BM89*(1+$BN$29),E89))</f>
        <v>0.59</v>
      </c>
      <c r="BR89" s="183" t="s">
        <v>517</v>
      </c>
    </row>
    <row r="90" spans="1:84" ht="15.35" outlineLevel="1">
      <c r="A90" s="108" t="s">
        <v>1018</v>
      </c>
      <c r="B90" s="30" t="s">
        <v>363</v>
      </c>
      <c r="C90" s="43" t="s">
        <v>246</v>
      </c>
      <c r="D90" s="43" t="s">
        <v>263</v>
      </c>
      <c r="E90" s="517">
        <v>0.59</v>
      </c>
      <c r="F90" s="600">
        <v>1</v>
      </c>
      <c r="G90" s="600">
        <v>1</v>
      </c>
      <c r="H90" s="600">
        <f t="shared" si="91"/>
        <v>4.0939901333834783</v>
      </c>
      <c r="I90" s="628">
        <v>1E-3</v>
      </c>
      <c r="J90" s="517"/>
      <c r="K90" s="48"/>
      <c r="L90" s="516">
        <v>1</v>
      </c>
      <c r="M90" s="516">
        <f>IF(C90="","",SUMIFS(Energy_Balance!I$55:I$160,Energy_Balance!$C$55:$C$160,C90,Energy_Balance!$D$55:$D$160,D90)*L90)</f>
        <v>5.1822659916246563</v>
      </c>
      <c r="N90" s="516">
        <f>E91*M90</f>
        <v>4.0939901333834783</v>
      </c>
      <c r="O90" s="25"/>
      <c r="P90" s="377">
        <f t="shared" si="92"/>
        <v>0.59</v>
      </c>
      <c r="Q90" s="377">
        <f t="shared" si="92"/>
        <v>0.59</v>
      </c>
      <c r="R90" s="377">
        <f t="shared" si="92"/>
        <v>0.59</v>
      </c>
      <c r="S90" s="377">
        <f t="shared" si="92"/>
        <v>0.59</v>
      </c>
      <c r="T90" s="208"/>
      <c r="U90" s="50"/>
      <c r="V90" s="50">
        <f t="shared" si="93"/>
        <v>0.37786651759971113</v>
      </c>
      <c r="W90" s="50">
        <f t="shared" si="93"/>
        <v>0.37786651759971113</v>
      </c>
      <c r="X90" s="50">
        <f t="shared" si="94"/>
        <v>0.37786651759971113</v>
      </c>
      <c r="Y90" s="50">
        <f t="shared" si="95"/>
        <v>0.37786651759971113</v>
      </c>
      <c r="Z90" s="50">
        <f t="shared" si="96"/>
        <v>0.37786651759971113</v>
      </c>
      <c r="AA90" s="50">
        <f t="shared" si="97"/>
        <v>0.37786651759971113</v>
      </c>
      <c r="AB90" s="50">
        <f t="shared" si="98"/>
        <v>0.37786651759971113</v>
      </c>
      <c r="AC90" s="50">
        <f t="shared" si="99"/>
        <v>0.37786651759971113</v>
      </c>
      <c r="AD90" s="50"/>
      <c r="AE90" s="50">
        <f>IF($G$16=1,AU90,IF($G$16=2,AU90,IF($G$16=3,#REF!,AU90)))</f>
        <v>0.37676651759971114</v>
      </c>
      <c r="AF90" s="50">
        <f>IF($G$16=1,AV90,IF($G$16=2,AV90,IF($G$16=3,#REF!,AV90)))</f>
        <v>0.36646896028943321</v>
      </c>
      <c r="AG90" s="50">
        <f t="shared" si="100"/>
        <v>0.36283142845038996</v>
      </c>
      <c r="AH90" s="50">
        <f t="shared" si="101"/>
        <v>0.35676887538531782</v>
      </c>
      <c r="AI90" s="50">
        <f t="shared" si="102"/>
        <v>0.22298054711582363</v>
      </c>
      <c r="AJ90" s="50">
        <f t="shared" si="103"/>
        <v>0</v>
      </c>
      <c r="AK90" s="50">
        <f t="shared" si="104"/>
        <v>0</v>
      </c>
      <c r="AL90" s="50">
        <f t="shared" si="105"/>
        <v>0</v>
      </c>
      <c r="AO90" s="140">
        <f>(IFERROR(IF(N90/(SUMIF(RES!$D$39:$D$145,D90,$N$39:$N$145))=1,1,(N90/(SUMIF(RES!$D$39:$D$145,D90,$N$39:$N$145))+$AO$28)),0))</f>
        <v>0.37786651759971113</v>
      </c>
      <c r="AP90" s="140">
        <f t="shared" ref="AP90" si="115">AO90</f>
        <v>0.37786651759971113</v>
      </c>
      <c r="AQ90" s="140">
        <f t="shared" ref="AQ90" si="116">AP90</f>
        <v>0.37786651759971113</v>
      </c>
      <c r="AR90" s="140">
        <f t="shared" ref="AR90" si="117">AQ90</f>
        <v>0.37786651759971113</v>
      </c>
      <c r="AS90" s="140">
        <f t="shared" ref="AS90" si="118">AR90</f>
        <v>0.37786651759971113</v>
      </c>
      <c r="AT90" s="21"/>
      <c r="AU90" s="198">
        <f>(IFERROR(IF($N90/(SUMIF(RES!$D$39:$D$145,$D90,$N$39:$N$145))=1,1,($N90/(SUMIF(RES!$D$39:$D$145,$D90,$N$39:$N$145))-$AU$28)),0))</f>
        <v>0.37676651759971114</v>
      </c>
      <c r="AV90" s="297">
        <f>$AU90-RES!$AU$87*'Census 2011_17'!B$20*RES!$AU90/(1-RES!$AU$87)-AV$28-$AU$28</f>
        <v>0.36646896028943321</v>
      </c>
      <c r="AW90" s="297">
        <f>$AU90-RES!$AU$87*'Census 2011_17'!C$20*RES!$AU90/(1-RES!$AU$87)-AW$28-$AU$28</f>
        <v>0.35676887538531782</v>
      </c>
      <c r="AX90" s="459">
        <v>0</v>
      </c>
      <c r="AY90" s="459">
        <v>0</v>
      </c>
      <c r="AZ90" s="125"/>
      <c r="BA90" s="140"/>
      <c r="BB90" s="297">
        <f t="shared" si="70"/>
        <v>0.37786651759971113</v>
      </c>
      <c r="BC90" s="297">
        <f t="shared" si="71"/>
        <v>0.37786651759971113</v>
      </c>
      <c r="BD90" s="297">
        <f t="shared" si="89"/>
        <v>0.37786651759971113</v>
      </c>
      <c r="BE90" s="297">
        <f t="shared" si="72"/>
        <v>0.37786651759971113</v>
      </c>
      <c r="BF90" s="21" t="str">
        <f t="shared" si="73"/>
        <v/>
      </c>
      <c r="BG90" s="172"/>
      <c r="BH90" s="140">
        <f t="shared" si="110"/>
        <v>0.35676887538531782</v>
      </c>
      <c r="BI90" s="140">
        <f t="shared" si="111"/>
        <v>0</v>
      </c>
      <c r="BJ90" s="140">
        <f t="shared" si="112"/>
        <v>0</v>
      </c>
      <c r="BK90" s="125" t="str">
        <f t="shared" si="113"/>
        <v/>
      </c>
      <c r="BL90" s="183" t="s">
        <v>517</v>
      </c>
      <c r="BM90" s="527">
        <f t="shared" si="106"/>
        <v>0.59</v>
      </c>
      <c r="BN90" s="377">
        <f>E90</f>
        <v>0.59</v>
      </c>
      <c r="BO90" s="377">
        <f>IF($BL90="","",($BQ90-$BN90)*1/3+$BN90)</f>
        <v>0.59</v>
      </c>
      <c r="BP90" s="377">
        <f>IF($BL90="","",($BQ90-$BN90)*2/3+$BN90)</f>
        <v>0.59</v>
      </c>
      <c r="BQ90" s="377">
        <f>IF($BL90="","",IF($BL90="*",$BM90*(1+$BN$29),E90))</f>
        <v>0.59</v>
      </c>
      <c r="BR90" s="183" t="s">
        <v>517</v>
      </c>
    </row>
    <row r="91" spans="1:84" ht="15.35" outlineLevel="1">
      <c r="A91" s="108" t="s">
        <v>1019</v>
      </c>
      <c r="B91" s="30" t="s">
        <v>364</v>
      </c>
      <c r="C91" s="43" t="s">
        <v>243</v>
      </c>
      <c r="D91" s="43" t="s">
        <v>263</v>
      </c>
      <c r="E91" s="517">
        <v>0.79</v>
      </c>
      <c r="F91" s="600">
        <v>1</v>
      </c>
      <c r="G91" s="600">
        <v>1</v>
      </c>
      <c r="H91" s="600">
        <f t="shared" si="91"/>
        <v>0.69735061446057556</v>
      </c>
      <c r="I91" s="628">
        <v>1E-3</v>
      </c>
      <c r="J91" s="517"/>
      <c r="K91" s="48"/>
      <c r="L91" s="516">
        <v>1</v>
      </c>
      <c r="M91" s="516">
        <f>IF(C91="","",SUMIFS(Energy_Balance!I$55:I$160,Energy_Balance!$C$55:$C$160,C91,Energy_Balance!$D$55:$D$160,D91)*L91)</f>
        <v>0.72640689006309955</v>
      </c>
      <c r="N91" s="516">
        <f>E92*M91</f>
        <v>0.69735061446057556</v>
      </c>
      <c r="O91" s="25"/>
      <c r="P91" s="377">
        <f t="shared" si="92"/>
        <v>0.79</v>
      </c>
      <c r="Q91" s="377">
        <f t="shared" si="92"/>
        <v>0.79</v>
      </c>
      <c r="R91" s="377">
        <f t="shared" si="92"/>
        <v>0.79</v>
      </c>
      <c r="S91" s="377">
        <f t="shared" si="92"/>
        <v>0.79</v>
      </c>
      <c r="T91" s="208"/>
      <c r="U91" s="50"/>
      <c r="V91" s="50">
        <f t="shared" si="93"/>
        <v>6.5193632386841657E-2</v>
      </c>
      <c r="W91" s="50">
        <f t="shared" si="93"/>
        <v>7.0288820331531651E-2</v>
      </c>
      <c r="X91" s="50">
        <f t="shared" si="94"/>
        <v>6.9786146967470541E-2</v>
      </c>
      <c r="Y91" s="50">
        <f t="shared" si="95"/>
        <v>6.8948358027368678E-2</v>
      </c>
      <c r="Z91" s="50">
        <f t="shared" si="96"/>
        <v>6.8445684663307554E-2</v>
      </c>
      <c r="AA91" s="50">
        <f t="shared" si="97"/>
        <v>6.7607895723205705E-2</v>
      </c>
      <c r="AB91" s="50">
        <f t="shared" si="98"/>
        <v>6.7105222359144595E-2</v>
      </c>
      <c r="AC91" s="50">
        <f t="shared" si="99"/>
        <v>6.6267433419042732E-2</v>
      </c>
      <c r="AD91" s="50"/>
      <c r="AE91" s="50">
        <f>IF($G$16=1,AU91,IF($G$16=2,AU91,IF($G$16=3,#REF!,AU91)))</f>
        <v>6.4093632386841654E-2</v>
      </c>
      <c r="AF91" s="50">
        <f>IF($G$16=1,AV91,IF($G$16=2,AV91,IF($G$16=3,#REF!,AV91)))</f>
        <v>6.3109449976799514E-2</v>
      </c>
      <c r="AG91" s="50">
        <f t="shared" si="100"/>
        <v>6.2618237526776116E-2</v>
      </c>
      <c r="AH91" s="50">
        <f t="shared" si="101"/>
        <v>6.1799550110070434E-2</v>
      </c>
      <c r="AI91" s="50">
        <f t="shared" si="102"/>
        <v>3.8624718818794021E-2</v>
      </c>
      <c r="AJ91" s="50">
        <f t="shared" si="103"/>
        <v>0</v>
      </c>
      <c r="AK91" s="50">
        <f t="shared" si="104"/>
        <v>0</v>
      </c>
      <c r="AL91" s="50">
        <f t="shared" si="105"/>
        <v>0</v>
      </c>
      <c r="AO91" s="160">
        <f>(IFERROR(IF(N91/(SUMIF(RES!$D$39:$D$145,D91,$N$39:$N$145))=1,1,(N91/(SUMIF(RES!$D$39:$D$145,D91,$N$39:$N$145))+$AO$28)),0))</f>
        <v>6.5193632386841657E-2</v>
      </c>
      <c r="AP91" s="296">
        <f>$AO91-RES!$AO$87*'Census 2011_17'!B$20*RES!$AO91/(1-RES!$AO$87)+$AO$28+AP$28</f>
        <v>7.0288820331531651E-2</v>
      </c>
      <c r="AQ91" s="296">
        <f>$AO91-RES!$AO$87*'Census 2011_17'!C$20*RES!$AO91/(1-RES!$AO$87)+$AO$28+AQ$28</f>
        <v>6.8948358027368678E-2</v>
      </c>
      <c r="AR91" s="296">
        <f>$AO91-RES!$AO$87*'Census 2011_17'!D$20*RES!$AO91/(1-RES!$AO$87)+$AO$28+AR$28</f>
        <v>6.7607895723205705E-2</v>
      </c>
      <c r="AS91" s="296">
        <f>$AO91-RES!$AO$87*'Census 2011_17'!E$20*RES!$AO91/(1-RES!$AO$87)+$AO$28+AS$28</f>
        <v>6.6267433419042732E-2</v>
      </c>
      <c r="AT91" s="21"/>
      <c r="AU91" s="198">
        <f>(IFERROR(IF($N91/(SUMIF(RES!$D$39:$D$145,$D91,$N$39:$N$145))=1,1,($N91/(SUMIF(RES!$D$39:$D$145,$D91,$N$39:$N$145))-$AU$28)),0))</f>
        <v>6.4093632386841654E-2</v>
      </c>
      <c r="AV91" s="296">
        <f>$AU91-RES!$AU$87*'Census 2011_17'!B$20*RES!$AU91/(1-RES!$AU$87)-$AU$28</f>
        <v>6.3109449976799514E-2</v>
      </c>
      <c r="AW91" s="296">
        <f>$AU91-RES!$AU$87*'Census 2011_17'!C$20*RES!$AU91/(1-RES!$AU$87)-$AU$28</f>
        <v>6.1799550110070434E-2</v>
      </c>
      <c r="AX91" s="459">
        <v>0</v>
      </c>
      <c r="AY91" s="459">
        <v>0</v>
      </c>
      <c r="AZ91" s="125"/>
      <c r="BA91" s="140"/>
      <c r="BB91" s="140">
        <f t="shared" si="70"/>
        <v>7.0288820331531651E-2</v>
      </c>
      <c r="BC91" s="140">
        <f t="shared" si="71"/>
        <v>6.8948358027368678E-2</v>
      </c>
      <c r="BD91" s="140">
        <f t="shared" si="89"/>
        <v>6.7607895723205705E-2</v>
      </c>
      <c r="BE91" s="140">
        <f t="shared" si="72"/>
        <v>6.6267433419042732E-2</v>
      </c>
      <c r="BF91" s="21" t="str">
        <f t="shared" si="73"/>
        <v/>
      </c>
      <c r="BG91" s="172"/>
      <c r="BH91" s="140">
        <f t="shared" si="110"/>
        <v>6.1799550110070434E-2</v>
      </c>
      <c r="BI91" s="140">
        <f t="shared" si="111"/>
        <v>0</v>
      </c>
      <c r="BJ91" s="140">
        <f t="shared" si="112"/>
        <v>0</v>
      </c>
      <c r="BK91" s="125" t="str">
        <f t="shared" si="113"/>
        <v/>
      </c>
      <c r="BL91" s="183" t="s">
        <v>517</v>
      </c>
      <c r="BM91" s="527">
        <f t="shared" si="106"/>
        <v>0.79</v>
      </c>
      <c r="BN91" s="377">
        <f>E91</f>
        <v>0.79</v>
      </c>
      <c r="BO91" s="377">
        <f>IF($BL91="","",($BQ91-$BN91)*1/3+$BN91)</f>
        <v>0.79</v>
      </c>
      <c r="BP91" s="377">
        <f>IF($BL91="","",($BQ91-$BN91)*2/3+$BN91)</f>
        <v>0.79</v>
      </c>
      <c r="BQ91" s="377">
        <f>IF($BL91="","",IF($BL91="*",$BM91*(1+$BN$29),E91))</f>
        <v>0.79</v>
      </c>
      <c r="BR91" s="183" t="s">
        <v>517</v>
      </c>
    </row>
    <row r="92" spans="1:84" ht="15" outlineLevel="1">
      <c r="A92" s="108" t="s">
        <v>1020</v>
      </c>
      <c r="B92" s="30" t="s">
        <v>365</v>
      </c>
      <c r="C92" s="43" t="s">
        <v>173</v>
      </c>
      <c r="D92" s="43" t="s">
        <v>263</v>
      </c>
      <c r="E92" s="517">
        <v>0.96</v>
      </c>
      <c r="F92" s="600">
        <v>1</v>
      </c>
      <c r="G92" s="600">
        <v>1</v>
      </c>
      <c r="H92" s="600">
        <f t="shared" si="91"/>
        <v>0</v>
      </c>
      <c r="I92" s="628">
        <v>1E-3</v>
      </c>
      <c r="J92" s="517"/>
      <c r="K92" s="48"/>
      <c r="L92" s="516">
        <v>0.6</v>
      </c>
      <c r="M92" s="516">
        <f>IF(C92="","",SUMIFS(Energy_Balance!I$55:I$160,Energy_Balance!$C$55:$C$160,C92,Energy_Balance!$D$55:$D$160,D92)*L92)</f>
        <v>0</v>
      </c>
      <c r="N92" s="516">
        <f>E92*M92</f>
        <v>0</v>
      </c>
      <c r="O92" s="25"/>
      <c r="P92" s="377">
        <f t="shared" si="92"/>
        <v>0.96</v>
      </c>
      <c r="Q92" s="377">
        <f t="shared" si="92"/>
        <v>0.96</v>
      </c>
      <c r="R92" s="377">
        <f t="shared" si="92"/>
        <v>0.96</v>
      </c>
      <c r="S92" s="377">
        <f t="shared" si="92"/>
        <v>0.96</v>
      </c>
      <c r="T92" s="208"/>
      <c r="U92" s="50"/>
      <c r="V92" s="50">
        <f t="shared" si="93"/>
        <v>1E-3</v>
      </c>
      <c r="W92" s="50">
        <f t="shared" si="93"/>
        <v>6.9861211590429399E-3</v>
      </c>
      <c r="X92" s="50">
        <f t="shared" si="94"/>
        <v>6.9784106918445738E-3</v>
      </c>
      <c r="Y92" s="50">
        <f t="shared" si="95"/>
        <v>6.9655599131806297E-3</v>
      </c>
      <c r="Z92" s="50">
        <f t="shared" si="96"/>
        <v>6.9578494459822627E-3</v>
      </c>
      <c r="AA92" s="50">
        <f t="shared" si="97"/>
        <v>6.9449986673183178E-3</v>
      </c>
      <c r="AB92" s="50">
        <f t="shared" si="98"/>
        <v>6.9372882001199516E-3</v>
      </c>
      <c r="AC92" s="50">
        <f t="shared" si="99"/>
        <v>6.9244374214560075E-3</v>
      </c>
      <c r="AD92" s="50"/>
      <c r="AE92" s="50">
        <f>IF($G$16=1,AU92,IF($G$16=2,AU92,IF($G$16=3,#REF!,AU92)))</f>
        <v>-1E-4</v>
      </c>
      <c r="AF92" s="50">
        <f>IF($G$16=1,AV92,IF($G$16=2,AV92,IF($G$16=3,#REF!,AV92)))</f>
        <v>0</v>
      </c>
      <c r="AG92" s="50">
        <f t="shared" si="100"/>
        <v>0</v>
      </c>
      <c r="AH92" s="50">
        <f t="shared" si="101"/>
        <v>0</v>
      </c>
      <c r="AI92" s="50">
        <f t="shared" si="102"/>
        <v>0</v>
      </c>
      <c r="AJ92" s="50">
        <f t="shared" si="103"/>
        <v>0</v>
      </c>
      <c r="AK92" s="50">
        <f t="shared" si="104"/>
        <v>0</v>
      </c>
      <c r="AL92" s="50">
        <f t="shared" si="105"/>
        <v>0</v>
      </c>
      <c r="AO92" s="453">
        <f>(IFERROR(IF(N92/(SUMIF(RES!$D$39:$D$145,D92,$N$39:$N$145))=1,1,(N92/(SUMIF(RES!$D$39:$D$145,D92,$N$39:$N$145))+$AO$28)),0))</f>
        <v>1E-3</v>
      </c>
      <c r="AP92" s="296">
        <f>$AO92-RES!$AO$87*'Census 2011_17'!B$20*RES!$AO92/(1-RES!$AO$87)+$AO$28+AP$28</f>
        <v>6.9861211590429399E-3</v>
      </c>
      <c r="AQ92" s="296">
        <f>$AO92-RES!$AO$87*'Census 2011_17'!C$20*RES!$AO92/(1-RES!$AO$87)+$AO$28+AQ$28</f>
        <v>6.9655599131806297E-3</v>
      </c>
      <c r="AR92" s="296">
        <f>$AO92-RES!$AO$87*'Census 2011_17'!D$20*RES!$AO92/(1-RES!$AO$87)+$AO$28+AR$28</f>
        <v>6.9449986673183178E-3</v>
      </c>
      <c r="AS92" s="296">
        <f>$AO92-RES!$AO$87*'Census 2011_17'!E$20*RES!$AO92/(1-RES!$AO$87)+$AO$28+AS$28</f>
        <v>6.9244374214560075E-3</v>
      </c>
      <c r="AT92" s="21"/>
      <c r="AU92" s="198">
        <f>(IFERROR(IF($N92/(SUMIF(RES!$D$39:$D$145,$D92,$N$39:$N$145))=1,1,($N92/(SUMIF(RES!$D$39:$D$145,$D92,$N$39:$N$145))-$AU$28)),0))</f>
        <v>-1E-4</v>
      </c>
      <c r="AV92" s="296">
        <v>0</v>
      </c>
      <c r="AW92" s="296">
        <v>0</v>
      </c>
      <c r="AX92" s="296">
        <v>0</v>
      </c>
      <c r="AY92" s="296">
        <v>0</v>
      </c>
      <c r="AZ92" s="125"/>
      <c r="BA92" s="140"/>
      <c r="BB92" s="140">
        <f t="shared" si="70"/>
        <v>6.9861211590429399E-3</v>
      </c>
      <c r="BC92" s="140">
        <f t="shared" si="71"/>
        <v>6.9655599131806297E-3</v>
      </c>
      <c r="BD92" s="140">
        <f t="shared" si="89"/>
        <v>6.9449986673183178E-3</v>
      </c>
      <c r="BE92" s="140">
        <f t="shared" si="72"/>
        <v>6.9244374214560075E-3</v>
      </c>
      <c r="BF92" s="21" t="str">
        <f t="shared" si="73"/>
        <v/>
      </c>
      <c r="BG92" s="172"/>
      <c r="BH92" s="140">
        <f t="shared" si="110"/>
        <v>0</v>
      </c>
      <c r="BI92" s="140">
        <f t="shared" si="111"/>
        <v>0</v>
      </c>
      <c r="BJ92" s="140">
        <f t="shared" si="112"/>
        <v>0</v>
      </c>
      <c r="BK92" s="125" t="str">
        <f t="shared" si="113"/>
        <v/>
      </c>
      <c r="BL92" s="183" t="s">
        <v>517</v>
      </c>
      <c r="BM92" s="527">
        <f t="shared" si="106"/>
        <v>0.96</v>
      </c>
      <c r="BN92" s="377">
        <f>E92</f>
        <v>0.96</v>
      </c>
      <c r="BO92" s="377">
        <f>IF($BL92="","",($BQ92-$BN92)*1/3+$BN92)</f>
        <v>0.96</v>
      </c>
      <c r="BP92" s="377">
        <f>IF($BL92="","",($BQ92-$BN92)*2/3+$BN92)</f>
        <v>0.96</v>
      </c>
      <c r="BQ92" s="377">
        <f>IF($BL92="","",IF($BL92="*",$BM92*(1+$BN$29),E92))</f>
        <v>0.96</v>
      </c>
      <c r="BR92" s="183" t="s">
        <v>517</v>
      </c>
    </row>
    <row r="93" spans="1:84" s="195" customFormat="1" ht="15" outlineLevel="1">
      <c r="A93" s="556" t="s">
        <v>974</v>
      </c>
      <c r="B93" s="557"/>
      <c r="C93" s="558"/>
      <c r="D93" s="558"/>
      <c r="F93" s="559"/>
      <c r="G93" s="559"/>
      <c r="H93" s="559"/>
      <c r="I93" s="629"/>
      <c r="J93" s="559"/>
      <c r="K93" s="560"/>
      <c r="L93" s="561"/>
      <c r="M93" s="561">
        <f>SUM(M87:M92)</f>
        <v>15.357488927160137</v>
      </c>
      <c r="N93" s="561">
        <f>SUM(N87:N92)</f>
        <v>10.863236563063188</v>
      </c>
      <c r="O93" s="196"/>
      <c r="P93" s="562"/>
      <c r="Q93" s="562"/>
      <c r="R93" s="562"/>
      <c r="S93" s="562"/>
      <c r="T93" s="563"/>
      <c r="U93" s="564"/>
      <c r="V93" s="564">
        <f>IF($G$16=1,AO93,IF($G$16=2,AO93,IF($G$16=3,BB93,AO93)))</f>
        <v>1.006</v>
      </c>
      <c r="W93" s="564"/>
      <c r="X93" s="564"/>
      <c r="Y93" s="564"/>
      <c r="Z93" s="564"/>
      <c r="AA93" s="564"/>
      <c r="AB93" s="564"/>
      <c r="AC93" s="564"/>
      <c r="AD93" s="564"/>
      <c r="AE93" s="564"/>
      <c r="AF93" s="564"/>
      <c r="AG93" s="564"/>
      <c r="AH93" s="564"/>
      <c r="AI93" s="564"/>
      <c r="AJ93" s="564"/>
      <c r="AK93" s="564"/>
      <c r="AL93" s="564"/>
      <c r="AO93" s="566">
        <f>SUM(AO87:AO92)</f>
        <v>1.006</v>
      </c>
      <c r="AP93" s="566">
        <f>SUM(AP87:AP92)</f>
        <v>1.0290578737457352</v>
      </c>
      <c r="AQ93" s="566">
        <f>SUM(AQ87:AQ92)</f>
        <v>1.0433315766621822</v>
      </c>
      <c r="AR93" s="566">
        <f>SUM(AR87:AR92)</f>
        <v>1.7251802031821259</v>
      </c>
      <c r="AS93" s="566">
        <f>SUM(AS87:AS92)</f>
        <v>1.7238191796321007</v>
      </c>
      <c r="AT93" s="567"/>
      <c r="AU93" s="566">
        <f>SUM(AU87:AU92)</f>
        <v>0.99940000000000007</v>
      </c>
      <c r="AV93" s="566">
        <f>SUM(AV87:AV92)</f>
        <v>0.98310689758387171</v>
      </c>
      <c r="AW93" s="566">
        <f>SUM(AW87:AW92)</f>
        <v>0.97711711622664421</v>
      </c>
      <c r="AX93" s="566">
        <f>SUM(AX87:AX92)</f>
        <v>0.53841598943767122</v>
      </c>
      <c r="AY93" s="566">
        <f>SUM(AY87:AY92)</f>
        <v>0.54826319011198765</v>
      </c>
      <c r="AZ93" s="568"/>
      <c r="BA93" s="573"/>
      <c r="BB93" s="573">
        <f t="shared" si="70"/>
        <v>1.0290578737457352</v>
      </c>
      <c r="BC93" s="573">
        <f t="shared" si="71"/>
        <v>1.0433315766621822</v>
      </c>
      <c r="BD93" s="573">
        <f t="shared" si="89"/>
        <v>1.7251802031821259</v>
      </c>
      <c r="BE93" s="573">
        <f t="shared" si="72"/>
        <v>1.7238191796321007</v>
      </c>
      <c r="BF93" s="567" t="str">
        <f t="shared" si="73"/>
        <v/>
      </c>
      <c r="BG93" s="569"/>
      <c r="BH93" s="569">
        <f t="shared" si="110"/>
        <v>0.97711711622664421</v>
      </c>
      <c r="BI93" s="569">
        <f t="shared" si="111"/>
        <v>0.53841598943767122</v>
      </c>
      <c r="BJ93" s="569">
        <f t="shared" si="112"/>
        <v>0.54826319011198765</v>
      </c>
      <c r="BK93" s="568" t="str">
        <f t="shared" si="113"/>
        <v/>
      </c>
      <c r="BL93" s="567"/>
      <c r="BN93" s="562" t="str">
        <f>IF($BL93="","",($BP93-$BM93)*5/25+$BM93)</f>
        <v/>
      </c>
      <c r="BO93" s="562" t="str">
        <f>IF($BL93="","",($BP93-$BM93)*15/25+$BM93)</f>
        <v/>
      </c>
      <c r="BP93" s="562" t="str">
        <f>IF($BL93="","",IF($BL93="*",$BM93*(1+$BN$29),#REF!))</f>
        <v/>
      </c>
      <c r="BQ93" s="562" t="str">
        <f>IF(G93="","",IF(COUNTIF(#REF!,$B93)=1,SUMIF(#REF!,RES!$B93,#REF!),SUMIF(#REF!,RES!$B93,#REF!)))</f>
        <v/>
      </c>
    </row>
    <row r="94" spans="1:84" s="237" customFormat="1" ht="15">
      <c r="A94" s="597" t="s">
        <v>1021</v>
      </c>
      <c r="B94" s="578" t="s">
        <v>334</v>
      </c>
      <c r="C94" s="588"/>
      <c r="D94" s="588"/>
      <c r="E94" s="590" t="str">
        <f>IF(D94="","",IF(COUNTIF(#REF!,$B94)=1,SUMIF(#REF!,RES!B94,#REF!),SUMIF(#REF!,RES!$B94,#REF!)))</f>
        <v/>
      </c>
      <c r="F94" s="590"/>
      <c r="G94" s="590"/>
      <c r="H94" s="590"/>
      <c r="I94" s="630"/>
      <c r="J94" s="590"/>
      <c r="K94" s="579"/>
      <c r="L94" s="592"/>
      <c r="M94" s="592"/>
      <c r="N94" s="592"/>
      <c r="O94" s="584"/>
      <c r="P94" s="593"/>
      <c r="Q94" s="593"/>
      <c r="R94" s="593"/>
      <c r="S94" s="593"/>
      <c r="T94" s="594"/>
      <c r="U94" s="595"/>
      <c r="V94" s="595">
        <f>IF($G$16=1,AO94,IF($G$16=2,AO94,IF($G$16=3,BB94,AO94)))</f>
        <v>0</v>
      </c>
      <c r="W94" s="595"/>
      <c r="X94" s="595"/>
      <c r="Y94" s="595"/>
      <c r="Z94" s="595"/>
      <c r="AA94" s="595"/>
      <c r="AB94" s="595"/>
      <c r="AC94" s="595"/>
      <c r="AD94" s="595"/>
      <c r="AE94" s="595"/>
      <c r="AF94" s="595"/>
      <c r="AG94" s="595"/>
      <c r="AH94" s="595"/>
      <c r="AI94" s="595"/>
      <c r="AJ94" s="595"/>
      <c r="AK94" s="595"/>
      <c r="AL94" s="595"/>
      <c r="AO94" s="598"/>
      <c r="AP94" s="596"/>
      <c r="AQ94" s="596"/>
      <c r="AR94" s="596"/>
      <c r="AS94" s="596"/>
      <c r="AT94" s="586"/>
      <c r="AU94" s="598"/>
      <c r="AV94" s="596"/>
      <c r="AW94" s="596"/>
      <c r="AX94" s="596"/>
      <c r="AY94" s="596"/>
      <c r="AZ94" s="587"/>
      <c r="BA94" s="596"/>
      <c r="BB94" s="596" t="str">
        <f t="shared" si="70"/>
        <v/>
      </c>
      <c r="BC94" s="596" t="str">
        <f t="shared" si="71"/>
        <v/>
      </c>
      <c r="BD94" s="596" t="str">
        <f t="shared" si="89"/>
        <v/>
      </c>
      <c r="BE94" s="596" t="str">
        <f t="shared" si="72"/>
        <v/>
      </c>
      <c r="BF94" s="586" t="str">
        <f t="shared" si="73"/>
        <v/>
      </c>
      <c r="BG94" s="596"/>
      <c r="BH94" s="596" t="str">
        <f t="shared" si="110"/>
        <v/>
      </c>
      <c r="BI94" s="596" t="str">
        <f t="shared" si="111"/>
        <v/>
      </c>
      <c r="BJ94" s="596" t="str">
        <f t="shared" si="112"/>
        <v/>
      </c>
      <c r="BK94" s="587" t="str">
        <f t="shared" si="113"/>
        <v/>
      </c>
      <c r="BL94" s="586"/>
      <c r="BN94" s="593" t="str">
        <f>IF($BL94="","",($BP94-$BM94)*5/25+$BM94)</f>
        <v/>
      </c>
      <c r="BO94" s="593" t="str">
        <f>IF($BL94="","",($BP94-$BM94)*15/25+$BM94)</f>
        <v/>
      </c>
      <c r="BP94" s="593" t="str">
        <f>IF($BL94="","",IF($BL94="*",$BM94*(1+$BN$29),E94))</f>
        <v/>
      </c>
      <c r="BQ94" s="593" t="str">
        <f>IF(G94="","",IF(COUNTIF(#REF!,$B94)=1,SUMIF(#REF!,RES!$B94,#REF!),SUMIF(#REF!,RES!$B94,#REF!)))</f>
        <v/>
      </c>
    </row>
    <row r="95" spans="1:84" s="169" customFormat="1" ht="15" outlineLevel="2">
      <c r="A95" s="108" t="s">
        <v>1022</v>
      </c>
      <c r="B95" s="30" t="s">
        <v>366</v>
      </c>
      <c r="C95" s="43" t="s">
        <v>242</v>
      </c>
      <c r="D95" s="43" t="s">
        <v>591</v>
      </c>
      <c r="E95" s="517">
        <f>'Electrical efficiency'!M13</f>
        <v>0.73684210526315785</v>
      </c>
      <c r="F95" s="600">
        <v>1</v>
      </c>
      <c r="G95" s="600">
        <v>1</v>
      </c>
      <c r="H95" s="600">
        <f>N95/F95*(1+$D$31)</f>
        <v>4.5653131993968739</v>
      </c>
      <c r="I95" s="628">
        <v>1E-3</v>
      </c>
      <c r="J95" s="517"/>
      <c r="K95" s="48"/>
      <c r="L95" s="516">
        <v>1</v>
      </c>
      <c r="M95" s="516">
        <f>IF(C95="","",SUMIFS(Energy_Balance!I$55:I$160,Energy_Balance!$C$55:$C$160,C95,Energy_Balance!$D$55:$D$160,D95)*L95)</f>
        <v>6.1957821991814717</v>
      </c>
      <c r="N95" s="516">
        <f>M95*E95</f>
        <v>4.5653131993968739</v>
      </c>
      <c r="O95" s="25"/>
      <c r="P95" s="377">
        <f t="shared" ref="P95:S96" si="119">IF($G$16=0,BN95,IF($G$16=1,BS95,IF($G$16=2,BX95,IF($G$16=3,BN95,IF($G$16=4,BS95,"NA")))))</f>
        <v>0.73684210526315785</v>
      </c>
      <c r="Q95" s="377">
        <f t="shared" si="119"/>
        <v>0.76877192982456133</v>
      </c>
      <c r="R95" s="377">
        <f t="shared" si="119"/>
        <v>0.8007017543859648</v>
      </c>
      <c r="S95" s="377">
        <f t="shared" si="119"/>
        <v>0.83263157894736828</v>
      </c>
      <c r="T95" s="208"/>
      <c r="U95" s="280"/>
      <c r="V95" s="280">
        <f>IF($G$16=1,AO95,IF($G$16=2,AO95,IF($G$16=3,BA95,AO95)))</f>
        <v>0.501</v>
      </c>
      <c r="W95" s="280">
        <f>IF($G$16=1,AP95,IF($G$16=2,AP95,IF($G$16=3,BB95,AP95)))</f>
        <v>0.501</v>
      </c>
      <c r="X95" s="50">
        <f>$V$32*W95+(1-$V$32)*Y95</f>
        <v>0.501</v>
      </c>
      <c r="Y95" s="280">
        <f>IF($G$16=1,AQ95,IF($G$16=2,AQ95,IF($G$16=3,BC95,AQ95)))</f>
        <v>0.501</v>
      </c>
      <c r="Z95" s="50">
        <f>$V$32*Y95+(1-$V$32)*AA95</f>
        <v>0.501</v>
      </c>
      <c r="AA95" s="280">
        <f>IF($G$16=1,AR95,IF($G$16=2,AR95,IF($G$16=3,BD95,AR95)))</f>
        <v>0.501</v>
      </c>
      <c r="AB95" s="50">
        <f>$V$32*AA95+(1-$V$32)*AC95</f>
        <v>0.501</v>
      </c>
      <c r="AC95" s="280">
        <f>IF($G$16=1,AS95,IF($G$16=2,AS95,IF($G$16=3,BE95,AS95)))</f>
        <v>0.501</v>
      </c>
      <c r="AD95" s="280"/>
      <c r="AE95" s="280">
        <f>IF($G$16=1,AU95,IF($G$16=2,AU95,IF($G$16=3,#REF!,AU95)))</f>
        <v>0.49990000000000001</v>
      </c>
      <c r="AF95" s="280">
        <f>IF($G$16=1,AV95,IF($G$16=2,AV95,IF($G$16=3,#REF!,AV95)))</f>
        <v>0.49990000000000001</v>
      </c>
      <c r="AG95" s="50">
        <f>$V$32*AF95+(1-$V$32)*AH95</f>
        <v>0.49990000000000001</v>
      </c>
      <c r="AH95" s="280">
        <f>IF($G$16=1,AW95,IF($G$16=2,AW95,IF($G$16=3,BH95,AW95)))</f>
        <v>0.49990000000000001</v>
      </c>
      <c r="AI95" s="50">
        <f>$V$32*AH95+(1-$V$32)*AJ95</f>
        <v>0.49990000000000001</v>
      </c>
      <c r="AJ95" s="280">
        <f>IF($G$16=1,AX95,IF($G$16=2,AX95,IF($G$16=3,BI95,AX95)))</f>
        <v>0.49990000000000001</v>
      </c>
      <c r="AK95" s="50">
        <f>$V$32*AJ95+(1-$V$32)*AL95</f>
        <v>0.49990000000000001</v>
      </c>
      <c r="AL95" s="280">
        <f>IF($G$16=1,AY95,IF($G$16=2,AY95,IF($G$16=3,BJ95,AY95)))</f>
        <v>0.49990000000000001</v>
      </c>
      <c r="AM95"/>
      <c r="AN95"/>
      <c r="AO95" s="140">
        <f>(IFERROR(IF(N95/(SUMIF(RES!$D$39:$D$145,D95,$N$39:$N$145))=1,1,(N95/(SUMIF(RES!$D$39:$D$145,D95,$N$39:$N$145))+$AO$28)),0))</f>
        <v>0.501</v>
      </c>
      <c r="AP95" s="140">
        <f t="shared" ref="AP95:AQ96" si="120">AO95</f>
        <v>0.501</v>
      </c>
      <c r="AQ95" s="140">
        <f t="shared" si="120"/>
        <v>0.501</v>
      </c>
      <c r="AR95" s="140">
        <f t="shared" ref="AR95:AR96" si="121">AQ95</f>
        <v>0.501</v>
      </c>
      <c r="AS95" s="140">
        <f t="shared" ref="AS95:AS96" si="122">AR95</f>
        <v>0.501</v>
      </c>
      <c r="AT95" s="125"/>
      <c r="AU95" s="198">
        <f>(IFERROR(IF($N95/(SUMIF(RES!$D$39:$D$145,$D95,$N$39:$N$145))=1,1,($N95/(SUMIF(RES!$D$39:$D$145,$D95,$N$39:$N$145))-$AU$28)),0))</f>
        <v>0.49990000000000001</v>
      </c>
      <c r="AV95" s="172">
        <f>AU95</f>
        <v>0.49990000000000001</v>
      </c>
      <c r="AW95" s="172">
        <f t="shared" ref="AW95:AY95" si="123">AV95</f>
        <v>0.49990000000000001</v>
      </c>
      <c r="AX95" s="172">
        <f t="shared" si="123"/>
        <v>0.49990000000000001</v>
      </c>
      <c r="AY95" s="172">
        <f t="shared" si="123"/>
        <v>0.49990000000000001</v>
      </c>
      <c r="AZ95" s="125"/>
      <c r="BA95" s="172"/>
      <c r="BB95" s="172">
        <f t="shared" si="70"/>
        <v>0.501</v>
      </c>
      <c r="BC95" s="172">
        <f t="shared" si="71"/>
        <v>0.501</v>
      </c>
      <c r="BD95" s="172">
        <f t="shared" si="89"/>
        <v>0.501</v>
      </c>
      <c r="BE95" s="172">
        <f t="shared" si="72"/>
        <v>0.501</v>
      </c>
      <c r="BF95" s="173" t="str">
        <f t="shared" si="73"/>
        <v/>
      </c>
      <c r="BG95" s="172"/>
      <c r="BH95" s="172">
        <f t="shared" si="110"/>
        <v>0.49990000000000001</v>
      </c>
      <c r="BI95" s="172">
        <f t="shared" si="111"/>
        <v>0.49990000000000001</v>
      </c>
      <c r="BJ95" s="172">
        <f t="shared" si="112"/>
        <v>0.49990000000000001</v>
      </c>
      <c r="BK95" s="175" t="str">
        <f t="shared" si="113"/>
        <v/>
      </c>
      <c r="BL95" s="257" t="s">
        <v>110</v>
      </c>
      <c r="BM95" s="527">
        <f>E95</f>
        <v>0.73684210526315785</v>
      </c>
      <c r="BN95" s="377">
        <f>E95</f>
        <v>0.73684210526315785</v>
      </c>
      <c r="BO95" s="377">
        <f>IF($BL95="","",($BQ95-$BN95)*1/3+$BN95)</f>
        <v>0.76877192982456133</v>
      </c>
      <c r="BP95" s="377">
        <f>IF($BL95="","",($BQ95-$BN95)*2/3+$BN95)</f>
        <v>0.8007017543859648</v>
      </c>
      <c r="BQ95" s="377">
        <f>IF($BL95="","",IF($BL95="*",$BM95*(1+$BN$29),E95))</f>
        <v>0.83263157894736828</v>
      </c>
      <c r="BR95" s="257" t="s">
        <v>110</v>
      </c>
      <c r="BS95"/>
      <c r="BT95"/>
      <c r="BU95"/>
      <c r="BV95"/>
      <c r="BW95"/>
      <c r="BX95"/>
      <c r="BY95"/>
      <c r="BZ95"/>
      <c r="CA95"/>
      <c r="CB95"/>
      <c r="CC95"/>
      <c r="CD95"/>
      <c r="CE95"/>
      <c r="CF95"/>
    </row>
    <row r="96" spans="1:84" ht="15.35" outlineLevel="2">
      <c r="A96" s="599" t="s">
        <v>1023</v>
      </c>
      <c r="B96" s="30" t="s">
        <v>367</v>
      </c>
      <c r="C96" s="43" t="s">
        <v>242</v>
      </c>
      <c r="D96" s="43" t="s">
        <v>591</v>
      </c>
      <c r="E96" s="517">
        <v>2.15</v>
      </c>
      <c r="F96" s="600">
        <v>1</v>
      </c>
      <c r="G96" s="600">
        <v>1</v>
      </c>
      <c r="H96" s="600">
        <f>N96/F96*(1+$D$31)</f>
        <v>4.5653131993968739</v>
      </c>
      <c r="I96" s="628">
        <v>1E-3</v>
      </c>
      <c r="J96" s="517"/>
      <c r="K96" s="48"/>
      <c r="L96" s="516">
        <v>1</v>
      </c>
      <c r="M96" s="516">
        <f>IF(C96="","",SUMIFS(Energy_Balance!I$55:I$160,Energy_Balance!$C$55:$C$160,C96,Energy_Balance!$D$55:$D$160,D96)*L96)</f>
        <v>6.1957821991814717</v>
      </c>
      <c r="N96" s="516">
        <f>N95*L96/L95</f>
        <v>4.5653131993968739</v>
      </c>
      <c r="O96" s="25"/>
      <c r="P96" s="377">
        <f t="shared" si="119"/>
        <v>2.15</v>
      </c>
      <c r="Q96" s="377">
        <f t="shared" si="119"/>
        <v>2.2431666666666663</v>
      </c>
      <c r="R96" s="377">
        <f t="shared" si="119"/>
        <v>2.3363333333333332</v>
      </c>
      <c r="S96" s="377">
        <f t="shared" si="119"/>
        <v>2.4294999999999995</v>
      </c>
      <c r="T96" s="208"/>
      <c r="U96" s="280"/>
      <c r="V96" s="280">
        <f>IF($G$16=1,AO96,IF($G$16=2,AO96,IF($G$16=3,BA96,IF($G$16=4,BA96,AO96))))</f>
        <v>0.501</v>
      </c>
      <c r="W96" s="280">
        <f>IF($G$16=1,AP96,IF($G$16=2,AP96,IF($G$16=3,BB96,IF($G$16=4,BB96,AP96))))</f>
        <v>0.501</v>
      </c>
      <c r="X96" s="50">
        <f>$V$32*W96+(1-$V$32)*Y96</f>
        <v>0.501</v>
      </c>
      <c r="Y96" s="280">
        <f>IF($G$16=1,AQ96,IF($G$16=2,AQ96,IF($G$16=3,BC96,IF($G$16=4,BC96,AQ96))))</f>
        <v>0.501</v>
      </c>
      <c r="Z96" s="50">
        <f>$V$32*Y96+(1-$V$32)*AA96</f>
        <v>0.501</v>
      </c>
      <c r="AA96" s="280">
        <f>IF($G$16=1,AR96,IF($G$16=2,AR96,IF($G$16=3,BD96,IF($G$16=4,BD96,AR96))))</f>
        <v>0.501</v>
      </c>
      <c r="AB96" s="50">
        <f>$V$32*AA96+(1-$V$32)*AC96</f>
        <v>0.501</v>
      </c>
      <c r="AC96" s="280">
        <f>IF($G$16=1,AS96,IF($G$16=2,AS96,IF($G$16=3,BE96,IF($G$16=4,BE96,AS96))))</f>
        <v>0.501</v>
      </c>
      <c r="AD96" s="280"/>
      <c r="AE96" s="280">
        <f>IF($G$16=1,AU96,IF($G$16=2,AU96,IF($G$16=3,#REF!,IF($G$16=4,#REF!,AU96))))</f>
        <v>0.49990000000000001</v>
      </c>
      <c r="AF96" s="280">
        <f>IF($G$16=1,AV96,IF($G$16=2,AV96,IF($G$16=3,#REF!,IF($G$16=4,#REF!,AV96))))</f>
        <v>0.49990000000000001</v>
      </c>
      <c r="AG96" s="50">
        <f>$V$32*AF96+(1-$V$32)*AH96</f>
        <v>0.49990000000000001</v>
      </c>
      <c r="AH96" s="280">
        <f>IF($G$16=1,AW96,IF($G$16=2,AW96,IF($G$16=3,BH96,IF($G$16=4,BH96,AW96))))</f>
        <v>0.49990000000000001</v>
      </c>
      <c r="AI96" s="50">
        <f>$V$32*AH96+(1-$V$32)*AJ96</f>
        <v>0.49990000000000001</v>
      </c>
      <c r="AJ96" s="280">
        <f>IF($G$16=1,AX96,IF($G$16=2,AX96,IF($G$16=3,BI96,IF($G$16=4,BI96,AX96))))</f>
        <v>0.49990000000000001</v>
      </c>
      <c r="AK96" s="50">
        <f>$V$32*AJ96+(1-$V$32)*AL96</f>
        <v>0.49990000000000001</v>
      </c>
      <c r="AL96" s="280">
        <f>IF($G$16=1,AY96,IF($G$16=2,AY96,IF($G$16=3,BJ96,IF($G$16=4,BJ96,AY96))))</f>
        <v>0.49990000000000001</v>
      </c>
      <c r="AO96" s="140">
        <f>(IFERROR(IF(N96/(SUMIF(RES!$D$39:$D$145,D96,$N$39:$N$145))=1,1,(N96/(SUMIF(RES!$D$39:$D$145,D96,$N$39:$N$145))+$AO$28)),0))</f>
        <v>0.501</v>
      </c>
      <c r="AP96" s="140">
        <f t="shared" si="120"/>
        <v>0.501</v>
      </c>
      <c r="AQ96" s="140">
        <f t="shared" si="120"/>
        <v>0.501</v>
      </c>
      <c r="AR96" s="140">
        <f t="shared" si="121"/>
        <v>0.501</v>
      </c>
      <c r="AS96" s="140">
        <f t="shared" si="122"/>
        <v>0.501</v>
      </c>
      <c r="AT96" s="21"/>
      <c r="AU96" s="198">
        <f>(IFERROR(IF($N96/(SUMIF(RES!$D$39:$D$145,$D96,$N$39:$N$145))=1,1,($N96/(SUMIF(RES!$D$39:$D$145,$D96,$N$39:$N$145))-$AU$28)),0))</f>
        <v>0.49990000000000001</v>
      </c>
      <c r="AV96" s="346">
        <f>AU96</f>
        <v>0.49990000000000001</v>
      </c>
      <c r="AW96" s="346">
        <f t="shared" ref="AW96:AY96" si="124">AV96</f>
        <v>0.49990000000000001</v>
      </c>
      <c r="AX96" s="346">
        <f t="shared" si="124"/>
        <v>0.49990000000000001</v>
      </c>
      <c r="AY96" s="346">
        <f t="shared" si="124"/>
        <v>0.49990000000000001</v>
      </c>
      <c r="AZ96" s="125"/>
      <c r="BA96" s="374"/>
      <c r="BB96" s="374">
        <f>SUMIFS('access to services'!G$241:G$248,'access to services'!$B$241:$B$248,$B96,'access to services'!$C$241:$C$248,#REF!,'access to services'!$D$241:$D$248,#REF!)</f>
        <v>0</v>
      </c>
      <c r="BC96" s="374">
        <f>SUMIFS('access to services'!H$241:H$248,'access to services'!$B$241:$B$248,$B96,'access to services'!$C$241:$C$248,#REF!,'access to services'!$D$241:$D$248,#REF!)</f>
        <v>0</v>
      </c>
      <c r="BD96" s="374">
        <f>SUMIFS('access to services'!I$241:I$248,'access to services'!$B$241:$B$248,$B96,'access to services'!$C$241:$C$248,#REF!,'access to services'!$D$241:$D$248,#REF!)</f>
        <v>0</v>
      </c>
      <c r="BE96" s="374">
        <f>SUMIFS('access to services'!J$241:J$248,'access to services'!$B$241:$B$248,$B96,'access to services'!$C$241:$C$248,#REF!,'access to services'!$D$241:$D$248,#REF!)</f>
        <v>0</v>
      </c>
      <c r="BF96" s="375" t="str">
        <f t="shared" ref="BF96:BF120" si="125">IF(AT96="","",AT96)</f>
        <v/>
      </c>
      <c r="BG96" s="374"/>
      <c r="BH96" s="374">
        <f>SUMIFS('access to services'!H$241:H$248,'access to services'!$B$241:$B$248,$B96,'access to services'!$C$241:$C$248,$AU$38,'access to services'!$D$241:$D$248,#REF!)</f>
        <v>0</v>
      </c>
      <c r="BI96" s="387">
        <v>0.84499999999999997</v>
      </c>
      <c r="BJ96" s="374">
        <f>SUMIFS('access to services'!J$241:J$248,'access to services'!$B$241:$B$248,$B96,'access to services'!$C$241:$C$248,$AU$38,'access to services'!$D$241:$D$248,#REF!)</f>
        <v>0</v>
      </c>
      <c r="BK96" s="125" t="str">
        <f t="shared" ref="BK96:BK120" si="126">IF(AZ96="","",AZ96)</f>
        <v/>
      </c>
      <c r="BL96" s="257" t="s">
        <v>110</v>
      </c>
      <c r="BM96" s="527">
        <f>E96</f>
        <v>2.15</v>
      </c>
      <c r="BN96" s="377">
        <f>E96</f>
        <v>2.15</v>
      </c>
      <c r="BO96" s="377">
        <f>IF($BL96="","",($BQ96-$BN96)*1/3+$BN96)</f>
        <v>2.2431666666666663</v>
      </c>
      <c r="BP96" s="377">
        <f>IF($BL96="","",($BQ96-$BN96)*2/3+$BN96)</f>
        <v>2.3363333333333332</v>
      </c>
      <c r="BQ96" s="377">
        <f>IF($BL96="","",IF($BL96="*",$BM96*(1+$BN$29),E96))</f>
        <v>2.4294999999999995</v>
      </c>
      <c r="BR96" s="257" t="s">
        <v>110</v>
      </c>
    </row>
    <row r="97" spans="1:84" s="195" customFormat="1" ht="15">
      <c r="A97" s="556" t="s">
        <v>974</v>
      </c>
      <c r="B97" s="557"/>
      <c r="C97" s="558"/>
      <c r="D97" s="558"/>
      <c r="E97" s="559" t="str">
        <f>IF(D97="","",IF(COUNTIF(#REF!,$B97)=1,SUMIF(#REF!,RES!B97,#REF!),SUMIF(#REF!,RES!$B97,#REF!)))</f>
        <v/>
      </c>
      <c r="F97" s="559"/>
      <c r="G97" s="559"/>
      <c r="H97" s="559"/>
      <c r="I97" s="629"/>
      <c r="J97" s="559"/>
      <c r="K97" s="560"/>
      <c r="L97" s="561"/>
      <c r="M97" s="561">
        <f>SUM(M95:M96)</f>
        <v>12.391564398362943</v>
      </c>
      <c r="N97" s="561">
        <f>SUM(N95:N96)</f>
        <v>9.1306263987937477</v>
      </c>
      <c r="O97" s="196"/>
      <c r="P97" s="562"/>
      <c r="Q97" s="562"/>
      <c r="R97" s="562"/>
      <c r="S97" s="562"/>
      <c r="T97" s="563"/>
      <c r="U97" s="564"/>
      <c r="V97" s="564">
        <f>IF($G$16=1,AO97,IF($G$16=2,AO97,IF($G$16=3,BB97,AO97)))</f>
        <v>1.002</v>
      </c>
      <c r="W97" s="565">
        <f>SUM(W95:W96)</f>
        <v>1.002</v>
      </c>
      <c r="X97" s="564">
        <f>$V$32*W97+(1-$V$32)*Y97</f>
        <v>1.002</v>
      </c>
      <c r="Y97" s="565">
        <f>SUM(Y95:Y96)</f>
        <v>1.002</v>
      </c>
      <c r="Z97" s="564">
        <f>$V$32*Y97+(1-$V$32)*AA97</f>
        <v>1.002</v>
      </c>
      <c r="AA97" s="565">
        <f>SUM(AA95:AA96)</f>
        <v>1.002</v>
      </c>
      <c r="AB97" s="564">
        <f>$V$32*AA97+(1-$V$32)*AC97</f>
        <v>1.002</v>
      </c>
      <c r="AC97" s="565">
        <f>SUM(AC95:AC96)</f>
        <v>1.002</v>
      </c>
      <c r="AD97" s="565"/>
      <c r="AE97" s="564">
        <f>IF($G$16=1,AU97,IF($G$16=2,AU97,IF($G$16=3,#REF!,AU97)))</f>
        <v>0.99980000000000002</v>
      </c>
      <c r="AF97" s="564">
        <f>IF($G$16=1,AV97,IF($G$16=2,AV97,IF($G$16=3,#REF!,AV97)))</f>
        <v>0.99980000000000002</v>
      </c>
      <c r="AG97" s="564">
        <f>$V$32*AF97+(1-$V$32)*AH97</f>
        <v>0.99980000000000002</v>
      </c>
      <c r="AH97" s="564">
        <f>IF($G$16=1,AW97,IF($G$16=2,AW97,IF($G$16=3,BH97,AW97)))</f>
        <v>0.99980000000000002</v>
      </c>
      <c r="AI97" s="564">
        <f>$V$32*AH97+(1-$V$32)*AJ97</f>
        <v>0.99980000000000002</v>
      </c>
      <c r="AJ97" s="564">
        <f>IF($G$16=1,AX97,IF($G$16=2,AX97,IF($G$16=3,BI97,AX97)))</f>
        <v>0.99980000000000002</v>
      </c>
      <c r="AK97" s="564">
        <f>$V$32*AJ97+(1-$V$32)*AL97</f>
        <v>0.99980000000000002</v>
      </c>
      <c r="AL97" s="564">
        <f>IF($G$16=1,AY97,IF($G$16=2,AY97,IF($G$16=3,BJ97,AY97)))</f>
        <v>0.99980000000000002</v>
      </c>
      <c r="AO97" s="566">
        <f>SUM(AO95:AO96)</f>
        <v>1.002</v>
      </c>
      <c r="AP97" s="566">
        <f>SUM(AP95:AP96)</f>
        <v>1.002</v>
      </c>
      <c r="AQ97" s="566">
        <f>SUM(AQ95:AQ96)</f>
        <v>1.002</v>
      </c>
      <c r="AR97" s="566">
        <f>SUM(AR95:AR96)</f>
        <v>1.002</v>
      </c>
      <c r="AS97" s="566">
        <f>SUM(AS95:AS96)</f>
        <v>1.002</v>
      </c>
      <c r="AT97" s="567"/>
      <c r="AU97" s="566">
        <f>SUM(AU95:AU96)</f>
        <v>0.99980000000000002</v>
      </c>
      <c r="AV97" s="566">
        <f>SUM(AV95:AV96)</f>
        <v>0.99980000000000002</v>
      </c>
      <c r="AW97" s="566">
        <f>SUM(AW95:AW96)</f>
        <v>0.99980000000000002</v>
      </c>
      <c r="AX97" s="566">
        <f>SUM(AX95:AX96)</f>
        <v>0.99980000000000002</v>
      </c>
      <c r="AY97" s="566">
        <f>SUM(AY95:AY96)</f>
        <v>0.99980000000000002</v>
      </c>
      <c r="AZ97" s="568"/>
      <c r="BA97" s="566"/>
      <c r="BB97" s="566">
        <f t="shared" ref="BB97:BB121" si="127">IF(AP97="","",AP97)</f>
        <v>1.002</v>
      </c>
      <c r="BC97" s="566">
        <f t="shared" ref="BC97:BC121" si="128">IF(AQ97="","",AQ97)</f>
        <v>1.002</v>
      </c>
      <c r="BD97" s="566">
        <f t="shared" ref="BD97:BD121" si="129">IF(AR97="","",AR97)</f>
        <v>1.002</v>
      </c>
      <c r="BE97" s="566">
        <f t="shared" ref="BE97:BE121" si="130">IF(AS97="","",AS97)</f>
        <v>1.002</v>
      </c>
      <c r="BF97" s="567" t="str">
        <f t="shared" si="125"/>
        <v/>
      </c>
      <c r="BG97" s="569"/>
      <c r="BH97" s="569">
        <f t="shared" ref="BH97:BH121" si="131">IF(AW97="","",AW97)</f>
        <v>0.99980000000000002</v>
      </c>
      <c r="BI97" s="569">
        <f t="shared" ref="BI97:BI121" si="132">IF(AX97="","",AX97)</f>
        <v>0.99980000000000002</v>
      </c>
      <c r="BJ97" s="569">
        <f t="shared" ref="BJ97:BJ121" si="133">IF(AY97="","",AY97)</f>
        <v>0.99980000000000002</v>
      </c>
      <c r="BK97" s="568" t="str">
        <f t="shared" si="126"/>
        <v/>
      </c>
      <c r="BL97" s="567"/>
      <c r="BN97" s="562" t="str">
        <f>IF($BL97="","",($BP97-$BM97)*5/25+$BM97)</f>
        <v/>
      </c>
      <c r="BO97" s="562" t="str">
        <f>IF($BL97="","",($BP97-$BM97)*15/25+$BM97)</f>
        <v/>
      </c>
      <c r="BP97" s="562" t="str">
        <f>IF($BL97="","",IF($BL97="*",$BM97*(1+$BN$29),E97))</f>
        <v/>
      </c>
      <c r="BQ97" s="562" t="str">
        <f>IF(G97="","",IF(COUNTIF(#REF!,$B97)=1,SUMIF(#REF!,RES!$B97,#REF!),SUMIF(#REF!,RES!$B97,#REF!)))</f>
        <v/>
      </c>
    </row>
    <row r="98" spans="1:84" s="237" customFormat="1" ht="15">
      <c r="A98" s="597" t="s">
        <v>1024</v>
      </c>
      <c r="B98" s="578"/>
      <c r="C98" s="588"/>
      <c r="D98" s="588"/>
      <c r="E98" s="590"/>
      <c r="F98" s="590"/>
      <c r="G98" s="590"/>
      <c r="H98" s="590"/>
      <c r="I98" s="630"/>
      <c r="J98" s="590"/>
      <c r="K98" s="579"/>
      <c r="L98" s="592"/>
      <c r="M98" s="592"/>
      <c r="N98" s="592"/>
      <c r="O98" s="584"/>
      <c r="P98" s="593"/>
      <c r="Q98" s="593"/>
      <c r="R98" s="593"/>
      <c r="S98" s="593"/>
      <c r="T98" s="594"/>
      <c r="U98" s="595"/>
      <c r="V98" s="595">
        <f>IF($G$16=1,AO98,IF($G$16=2,AO98,IF($G$16=3,BB98,AO98)))</f>
        <v>0</v>
      </c>
      <c r="W98" s="595"/>
      <c r="X98" s="595"/>
      <c r="Y98" s="595"/>
      <c r="Z98" s="595"/>
      <c r="AA98" s="595"/>
      <c r="AB98" s="595"/>
      <c r="AC98" s="595"/>
      <c r="AD98" s="595"/>
      <c r="AE98" s="595"/>
      <c r="AF98" s="595"/>
      <c r="AG98" s="595"/>
      <c r="AH98" s="595"/>
      <c r="AI98" s="595"/>
      <c r="AJ98" s="595"/>
      <c r="AK98" s="595"/>
      <c r="AL98" s="595"/>
      <c r="AO98" s="596"/>
      <c r="AT98" s="586"/>
      <c r="AU98" s="596"/>
      <c r="AV98" s="596"/>
      <c r="AW98" s="596"/>
      <c r="AX98" s="596"/>
      <c r="AY98" s="596"/>
      <c r="AZ98" s="587"/>
      <c r="BB98" s="237" t="str">
        <f t="shared" si="127"/>
        <v/>
      </c>
      <c r="BC98" s="237" t="str">
        <f t="shared" si="128"/>
        <v/>
      </c>
      <c r="BD98" s="237" t="str">
        <f t="shared" si="129"/>
        <v/>
      </c>
      <c r="BE98" s="237" t="str">
        <f t="shared" si="130"/>
        <v/>
      </c>
      <c r="BF98" s="586" t="str">
        <f t="shared" si="125"/>
        <v/>
      </c>
      <c r="BG98" s="596"/>
      <c r="BH98" s="596" t="str">
        <f t="shared" si="131"/>
        <v/>
      </c>
      <c r="BI98" s="596" t="str">
        <f t="shared" si="132"/>
        <v/>
      </c>
      <c r="BJ98" s="596" t="str">
        <f t="shared" si="133"/>
        <v/>
      </c>
      <c r="BK98" s="587" t="str">
        <f t="shared" si="126"/>
        <v/>
      </c>
      <c r="BL98" s="586"/>
      <c r="BN98" s="593" t="str">
        <f>IF($BL98="","",($BP98-$BM98)*5/25+$BM98)</f>
        <v/>
      </c>
      <c r="BO98" s="593" t="str">
        <f>IF($BL98="","",($BP98-$BM98)*15/25+$BM98)</f>
        <v/>
      </c>
      <c r="BP98" s="593" t="str">
        <f>IF($BL98="","",IF($BL98="*",$BM98*(1+$BN$29),E98))</f>
        <v/>
      </c>
      <c r="BQ98" s="593" t="str">
        <f>IF(G98="","",IF(COUNTIF(#REF!,$B98)=1,SUMIF(#REF!,RES!$B98,#REF!),SUMIF(#REF!,RES!$B98,#REF!)))</f>
        <v/>
      </c>
    </row>
    <row r="99" spans="1:84" s="169" customFormat="1" ht="15.35" outlineLevel="1">
      <c r="A99" s="599" t="s">
        <v>1025</v>
      </c>
      <c r="B99" s="30" t="s">
        <v>466</v>
      </c>
      <c r="C99" s="43" t="s">
        <v>242</v>
      </c>
      <c r="D99" s="43" t="s">
        <v>264</v>
      </c>
      <c r="E99" s="517">
        <v>0.95</v>
      </c>
      <c r="F99" s="600">
        <v>1</v>
      </c>
      <c r="G99" s="600">
        <v>1</v>
      </c>
      <c r="H99" s="600">
        <f t="shared" ref="H99:H104" si="134">N99/F99*(1+$D$31)</f>
        <v>1.1530921959972824</v>
      </c>
      <c r="I99" s="628">
        <v>1E-3</v>
      </c>
      <c r="J99" s="517"/>
      <c r="K99" s="48"/>
      <c r="L99" s="516">
        <v>1</v>
      </c>
      <c r="M99" s="516">
        <f>IF(C99="","",SUMIFS(Energy_Balance!I$55:I$160,Energy_Balance!$C$55:$C$160,C99,Energy_Balance!$D$55:$D$160,D99)*L99)</f>
        <v>1.2137812589445078</v>
      </c>
      <c r="N99" s="516">
        <f>E99*M99</f>
        <v>1.1530921959972824</v>
      </c>
      <c r="O99" s="25"/>
      <c r="P99" s="377">
        <f t="shared" ref="P99:S104" si="135">IF($G$16=0,BN99,IF($G$16=1,BS99,IF($G$16=2,BX99,IF($G$16=3,BN99,IF($G$16=4,BS99,"NA")))))</f>
        <v>0.95</v>
      </c>
      <c r="Q99" s="377">
        <f t="shared" si="135"/>
        <v>0.95</v>
      </c>
      <c r="R99" s="377">
        <f t="shared" si="135"/>
        <v>0.95</v>
      </c>
      <c r="S99" s="377">
        <f t="shared" si="135"/>
        <v>0.95</v>
      </c>
      <c r="T99" s="208"/>
      <c r="U99" s="280"/>
      <c r="V99" s="280">
        <f t="shared" ref="V99:W104" si="136">IF($G$16=1,AO99,IF($G$16=2,AO99,IF($G$16=3,BA99,AO99)))</f>
        <v>0.20985730675383393</v>
      </c>
      <c r="W99" s="280">
        <f t="shared" si="136"/>
        <v>0.20985730675383393</v>
      </c>
      <c r="X99" s="50">
        <f t="shared" ref="X99:X105" si="137">$V$32*W99+(1-$V$32)*Y99</f>
        <v>0.20985730675383393</v>
      </c>
      <c r="Y99" s="280">
        <f t="shared" ref="Y99:Y104" si="138">IF($G$16=1,AQ99,IF($G$16=2,AQ99,IF($G$16=3,BC99,AQ99)))</f>
        <v>0.20985730675383393</v>
      </c>
      <c r="Z99" s="50">
        <f t="shared" ref="Z99:Z105" si="139">$V$32*Y99+(1-$V$32)*AA99</f>
        <v>0.46866081672114623</v>
      </c>
      <c r="AA99" s="280">
        <f t="shared" ref="AA99:AA104" si="140">IF($G$16=1,AR99,IF($G$16=2,AR99,IF($G$16=3,BD99,AR99)))</f>
        <v>0.9</v>
      </c>
      <c r="AB99" s="50">
        <f t="shared" ref="AB99:AB105" si="141">$V$32*AA99+(1-$V$32)*AC99</f>
        <v>0.9</v>
      </c>
      <c r="AC99" s="280">
        <f t="shared" ref="AC99:AC104" si="142">IF($G$16=1,AS99,IF($G$16=2,AS99,IF($G$16=3,BE99,AS99)))</f>
        <v>0.9</v>
      </c>
      <c r="AD99" s="280"/>
      <c r="AE99" s="280">
        <f>IF($G$16=1,AU99,IF($G$16=2,AU99,IF($G$16=3,#REF!,AU99)))</f>
        <v>0.20875730675383394</v>
      </c>
      <c r="AF99" s="280">
        <f>IF($G$16=1,AV99,IF($G$16=2,AV99,IF($G$16=3,#REF!,AV99)))</f>
        <v>0.20875730675383394</v>
      </c>
      <c r="AG99" s="50">
        <f t="shared" ref="AG99:AG105" si="143">$V$32*AF99+(1-$V$32)*AH99</f>
        <v>0.20875730675383392</v>
      </c>
      <c r="AH99" s="280">
        <f t="shared" ref="AH99:AH104" si="144">IF($G$16=1,AW99,IF($G$16=2,AW99,IF($G$16=3,BH99,AW99)))</f>
        <v>0.20875730675383394</v>
      </c>
      <c r="AI99" s="50">
        <f t="shared" ref="AI99:AI105" si="145">$V$32*AH99+(1-$V$32)*AJ99</f>
        <v>0.20875730675383392</v>
      </c>
      <c r="AJ99" s="280">
        <f t="shared" ref="AJ99:AJ104" si="146">IF($G$16=1,AX99,IF($G$16=2,AX99,IF($G$16=3,BI99,AX99)))</f>
        <v>0.20875730675383394</v>
      </c>
      <c r="AK99" s="50">
        <f t="shared" ref="AK99:AK105" si="147">$V$32*AJ99+(1-$V$32)*AL99</f>
        <v>0.20875730675383392</v>
      </c>
      <c r="AL99" s="280">
        <f t="shared" ref="AL99:AL104" si="148">IF($G$16=1,AY99,IF($G$16=2,AY99,IF($G$16=3,BJ99,AY99)))</f>
        <v>0.20875730675383394</v>
      </c>
      <c r="AM99"/>
      <c r="AN99"/>
      <c r="AO99" s="140">
        <f>(IFERROR(IF(N99/(SUMIF(RES!$D$39:$D$145,D99,$N$39:$N$145))=1,1,(N99/(SUMIF(RES!$D$39:$D$145,D99,$N$39:$N$145))+$AO$28)),0))</f>
        <v>0.20985730675383393</v>
      </c>
      <c r="AP99" s="172">
        <f t="shared" ref="AP99:AP104" si="149">AO99</f>
        <v>0.20985730675383393</v>
      </c>
      <c r="AQ99" s="172">
        <f t="shared" ref="AQ99" si="150">AP99</f>
        <v>0.20985730675383393</v>
      </c>
      <c r="AR99" s="461">
        <v>0.9</v>
      </c>
      <c r="AS99" s="461">
        <v>0.9</v>
      </c>
      <c r="AT99" s="21"/>
      <c r="AU99" s="198">
        <f>(IFERROR(IF($N99/(SUMIF(RES!$D$39:$D$145,$D99,$N$39:$N$145))=1,1,($N99/(SUMIF(RES!$D$39:$D$145,$D99,$N$39:$N$145))-$AU$28)),0))</f>
        <v>0.20875730675383394</v>
      </c>
      <c r="AV99" s="172">
        <f t="shared" ref="AV99:AV104" si="151">AU99</f>
        <v>0.20875730675383394</v>
      </c>
      <c r="AW99" s="172">
        <f t="shared" ref="AW99:AY99" si="152">AV99</f>
        <v>0.20875730675383394</v>
      </c>
      <c r="AX99" s="172">
        <f t="shared" si="152"/>
        <v>0.20875730675383394</v>
      </c>
      <c r="AY99" s="172">
        <f t="shared" si="152"/>
        <v>0.20875730675383394</v>
      </c>
      <c r="AZ99" s="175"/>
      <c r="BA99" s="172"/>
      <c r="BB99" s="172">
        <f t="shared" si="127"/>
        <v>0.20985730675383393</v>
      </c>
      <c r="BC99" s="172">
        <f t="shared" si="128"/>
        <v>0.20985730675383393</v>
      </c>
      <c r="BD99" s="172">
        <f t="shared" si="129"/>
        <v>0.9</v>
      </c>
      <c r="BE99" s="172">
        <f t="shared" si="130"/>
        <v>0.9</v>
      </c>
      <c r="BF99" s="173" t="str">
        <f t="shared" si="125"/>
        <v/>
      </c>
      <c r="BG99" s="172"/>
      <c r="BH99" s="172">
        <f t="shared" si="131"/>
        <v>0.20875730675383394</v>
      </c>
      <c r="BI99" s="172">
        <f t="shared" si="132"/>
        <v>0.20875730675383394</v>
      </c>
      <c r="BJ99" s="172">
        <f t="shared" si="133"/>
        <v>0.20875730675383394</v>
      </c>
      <c r="BK99" s="175" t="str">
        <f t="shared" si="126"/>
        <v/>
      </c>
      <c r="BL99" s="183" t="s">
        <v>517</v>
      </c>
      <c r="BM99" s="527">
        <f t="shared" ref="BM99:BM104" si="153">E99</f>
        <v>0.95</v>
      </c>
      <c r="BN99" s="377">
        <f t="shared" ref="BN99:BN104" si="154">E99</f>
        <v>0.95</v>
      </c>
      <c r="BO99" s="377">
        <f>IF($BL99="","",($BQ99-$BN99)*1/3+$BN99)</f>
        <v>0.95</v>
      </c>
      <c r="BP99" s="377">
        <f>IF($BL99="","",($BQ99-$BN99)*2/3+$BN99)</f>
        <v>0.95</v>
      </c>
      <c r="BQ99" s="377">
        <f>IF($BL99="","",IF($BL99="*",$BM99*(1+$BN$29),E99))</f>
        <v>0.95</v>
      </c>
      <c r="BR99" s="183" t="s">
        <v>517</v>
      </c>
      <c r="BS99"/>
      <c r="BT99"/>
      <c r="BU99"/>
      <c r="BV99"/>
      <c r="BW99"/>
      <c r="BX99"/>
      <c r="BY99"/>
      <c r="BZ99"/>
      <c r="CA99"/>
      <c r="CB99"/>
      <c r="CC99"/>
      <c r="CD99"/>
      <c r="CE99"/>
      <c r="CF99"/>
    </row>
    <row r="100" spans="1:84" ht="15.35" outlineLevel="1">
      <c r="A100" s="108" t="s">
        <v>1026</v>
      </c>
      <c r="B100" s="30" t="s">
        <v>368</v>
      </c>
      <c r="C100" s="43" t="s">
        <v>244</v>
      </c>
      <c r="D100" s="43" t="s">
        <v>264</v>
      </c>
      <c r="E100" s="517">
        <v>0.56999999999999995</v>
      </c>
      <c r="F100" s="600">
        <v>1</v>
      </c>
      <c r="G100" s="600">
        <v>1</v>
      </c>
      <c r="H100" s="600">
        <f t="shared" si="134"/>
        <v>1.195937030490883</v>
      </c>
      <c r="I100" s="628">
        <v>1E-3</v>
      </c>
      <c r="J100" s="517"/>
      <c r="K100" s="48"/>
      <c r="L100" s="516">
        <v>1</v>
      </c>
      <c r="M100" s="516">
        <f>IF(C100="","",SUMIFS(Energy_Balance!I$55:I$160,Energy_Balance!$C$55:$C$160,C100,Energy_Balance!$D$55:$D$160,D100)*L100)</f>
        <v>2.0981351412120754</v>
      </c>
      <c r="N100" s="516">
        <f t="shared" ref="N100:N134" si="155">E100*M100</f>
        <v>1.195937030490883</v>
      </c>
      <c r="O100" s="25"/>
      <c r="P100" s="377">
        <f t="shared" si="135"/>
        <v>0.56999999999999995</v>
      </c>
      <c r="Q100" s="377">
        <f t="shared" si="135"/>
        <v>0.56999999999999995</v>
      </c>
      <c r="R100" s="377">
        <f t="shared" si="135"/>
        <v>0.56999999999999995</v>
      </c>
      <c r="S100" s="377">
        <f t="shared" si="135"/>
        <v>0.56999999999999995</v>
      </c>
      <c r="T100" s="208"/>
      <c r="U100" s="280"/>
      <c r="V100" s="280">
        <f t="shared" si="136"/>
        <v>0.21761770680832207</v>
      </c>
      <c r="W100" s="280">
        <f t="shared" si="136"/>
        <v>0.21761770680832207</v>
      </c>
      <c r="X100" s="50">
        <f t="shared" si="137"/>
        <v>0.2176177068083221</v>
      </c>
      <c r="Y100" s="280">
        <f t="shared" si="138"/>
        <v>0.21761770680832207</v>
      </c>
      <c r="Z100" s="50">
        <f t="shared" si="139"/>
        <v>0.2176177068083221</v>
      </c>
      <c r="AA100" s="280">
        <f t="shared" si="140"/>
        <v>0.21761770680832207</v>
      </c>
      <c r="AB100" s="50">
        <f t="shared" si="141"/>
        <v>0.2176177068083221</v>
      </c>
      <c r="AC100" s="280">
        <f t="shared" si="142"/>
        <v>0.21761770680832207</v>
      </c>
      <c r="AD100" s="280"/>
      <c r="AE100" s="280">
        <f>IF($G$16=1,AU100,IF($G$16=2,AU100,IF($G$16=3,#REF!,AU100)))</f>
        <v>0.21651770680832208</v>
      </c>
      <c r="AF100" s="280">
        <f>IF($G$16=1,AV100,IF($G$16=2,AV100,IF($G$16=3,#REF!,AV100)))</f>
        <v>0.21651770680832208</v>
      </c>
      <c r="AG100" s="50">
        <f t="shared" si="143"/>
        <v>0.21651770680832208</v>
      </c>
      <c r="AH100" s="280">
        <f t="shared" si="144"/>
        <v>0.21651770680832208</v>
      </c>
      <c r="AI100" s="50">
        <f t="shared" si="145"/>
        <v>0.1353235667552013</v>
      </c>
      <c r="AJ100" s="280">
        <f t="shared" si="146"/>
        <v>0</v>
      </c>
      <c r="AK100" s="50">
        <f t="shared" si="147"/>
        <v>0</v>
      </c>
      <c r="AL100" s="280">
        <f t="shared" si="148"/>
        <v>0</v>
      </c>
      <c r="AO100" s="140">
        <f>(IFERROR(IF(N100/(SUMIF(RES!$D$39:$D$145,D100,$N$39:$N$145))=1,1,(N100/(SUMIF(RES!$D$39:$D$145,D100,$N$39:$N$145))+$AO$28)),0))</f>
        <v>0.21761770680832207</v>
      </c>
      <c r="AP100" s="140">
        <f t="shared" si="149"/>
        <v>0.21761770680832207</v>
      </c>
      <c r="AQ100" s="140">
        <f>AP100</f>
        <v>0.21761770680832207</v>
      </c>
      <c r="AR100" s="140">
        <f t="shared" ref="AR100:AR104" si="156">AQ100</f>
        <v>0.21761770680832207</v>
      </c>
      <c r="AS100" s="140">
        <f t="shared" ref="AS100:AS104" si="157">AR100</f>
        <v>0.21761770680832207</v>
      </c>
      <c r="AT100" s="21"/>
      <c r="AU100" s="198">
        <f>(IFERROR(IF($N100/(SUMIF(RES!$D$39:$D$145,$D100,$N$39:$N$145))=1,1,($N100/(SUMIF(RES!$D$39:$D$145,$D100,$N$39:$N$145))-$AU$28)),0))</f>
        <v>0.21651770680832208</v>
      </c>
      <c r="AV100" s="346">
        <f t="shared" si="151"/>
        <v>0.21651770680832208</v>
      </c>
      <c r="AW100" s="346">
        <f t="shared" ref="AW100:AY104" si="158">AV100</f>
        <v>0.21651770680832208</v>
      </c>
      <c r="AX100" s="460">
        <v>0</v>
      </c>
      <c r="AY100" s="460">
        <v>0</v>
      </c>
      <c r="AZ100" s="125"/>
      <c r="BA100" s="140"/>
      <c r="BB100" s="297">
        <f t="shared" si="127"/>
        <v>0.21761770680832207</v>
      </c>
      <c r="BC100" s="297">
        <f t="shared" si="128"/>
        <v>0.21761770680832207</v>
      </c>
      <c r="BD100" s="297">
        <f t="shared" si="129"/>
        <v>0.21761770680832207</v>
      </c>
      <c r="BE100" s="297">
        <f t="shared" si="130"/>
        <v>0.21761770680832207</v>
      </c>
      <c r="BF100" s="21" t="str">
        <f t="shared" si="125"/>
        <v/>
      </c>
      <c r="BG100" s="172"/>
      <c r="BH100" s="140">
        <f t="shared" si="131"/>
        <v>0.21651770680832208</v>
      </c>
      <c r="BI100" s="140">
        <f t="shared" si="132"/>
        <v>0</v>
      </c>
      <c r="BJ100" s="140">
        <f t="shared" si="133"/>
        <v>0</v>
      </c>
      <c r="BK100" s="125" t="str">
        <f t="shared" si="126"/>
        <v/>
      </c>
      <c r="BL100" s="183" t="s">
        <v>517</v>
      </c>
      <c r="BM100" s="527">
        <f t="shared" si="153"/>
        <v>0.56999999999999995</v>
      </c>
      <c r="BN100" s="377">
        <f t="shared" si="154"/>
        <v>0.56999999999999995</v>
      </c>
      <c r="BO100" s="377">
        <f>IF($BL100="","",($BQ100-$BN100)*1/3+$BN100)</f>
        <v>0.56999999999999995</v>
      </c>
      <c r="BP100" s="377">
        <f>IF($BL100="","",($BQ100-$BN100)*2/3+$BN100)</f>
        <v>0.56999999999999995</v>
      </c>
      <c r="BQ100" s="377">
        <f>IF($BL100="","",IF($BL100="*",$BM100*(1+$BN$29),E100))</f>
        <v>0.56999999999999995</v>
      </c>
      <c r="BR100" s="183" t="s">
        <v>517</v>
      </c>
    </row>
    <row r="101" spans="1:84" ht="15" outlineLevel="1">
      <c r="A101" s="108" t="s">
        <v>1027</v>
      </c>
      <c r="B101" s="30" t="s">
        <v>369</v>
      </c>
      <c r="C101" s="43" t="s">
        <v>245</v>
      </c>
      <c r="D101" s="43" t="s">
        <v>264</v>
      </c>
      <c r="E101" s="517">
        <v>0.25</v>
      </c>
      <c r="F101" s="600">
        <v>1</v>
      </c>
      <c r="G101" s="600">
        <v>1</v>
      </c>
      <c r="H101" s="600">
        <f t="shared" si="134"/>
        <v>1.5288042050703874</v>
      </c>
      <c r="I101" s="628">
        <v>1E-3</v>
      </c>
      <c r="J101" s="517"/>
      <c r="K101" s="48"/>
      <c r="L101" s="516">
        <v>1</v>
      </c>
      <c r="M101" s="516">
        <f>IF(C101="","",SUMIFS(Energy_Balance!I$55:I$160,Energy_Balance!$C$55:$C$160,C101,Energy_Balance!$D$55:$D$160,D101)*L101)</f>
        <v>6.1152168202815496</v>
      </c>
      <c r="N101" s="516">
        <f t="shared" si="155"/>
        <v>1.5288042050703874</v>
      </c>
      <c r="O101" s="25"/>
      <c r="P101" s="377">
        <f t="shared" si="135"/>
        <v>0.25</v>
      </c>
      <c r="Q101" s="377">
        <f t="shared" si="135"/>
        <v>0.25</v>
      </c>
      <c r="R101" s="377">
        <f t="shared" si="135"/>
        <v>0.25</v>
      </c>
      <c r="S101" s="377">
        <f t="shared" si="135"/>
        <v>0.25</v>
      </c>
      <c r="T101" s="208"/>
      <c r="U101" s="280"/>
      <c r="V101" s="280">
        <f t="shared" si="136"/>
        <v>0.27790927918281538</v>
      </c>
      <c r="W101" s="280">
        <f t="shared" si="136"/>
        <v>0.27790927918281538</v>
      </c>
      <c r="X101" s="50">
        <f t="shared" si="137"/>
        <v>0.27790927918281538</v>
      </c>
      <c r="Y101" s="280">
        <f t="shared" si="138"/>
        <v>0.27790927918281538</v>
      </c>
      <c r="Z101" s="50">
        <f t="shared" si="139"/>
        <v>0.27790927918281538</v>
      </c>
      <c r="AA101" s="280">
        <f t="shared" si="140"/>
        <v>0.27790927918281538</v>
      </c>
      <c r="AB101" s="50">
        <f t="shared" si="141"/>
        <v>0.27790927918281538</v>
      </c>
      <c r="AC101" s="280">
        <f t="shared" si="142"/>
        <v>0.27790927918281538</v>
      </c>
      <c r="AD101" s="280"/>
      <c r="AE101" s="280">
        <f>IF($G$16=1,AU101,IF($G$16=2,AU101,IF($G$16=3,#REF!,AU101)))</f>
        <v>0.27680927918281539</v>
      </c>
      <c r="AF101" s="280">
        <f>IF($G$16=1,AV101,IF($G$16=2,AV101,IF($G$16=3,#REF!,AV101)))</f>
        <v>0.27680927918281539</v>
      </c>
      <c r="AG101" s="50">
        <f t="shared" si="143"/>
        <v>0.27680927918281539</v>
      </c>
      <c r="AH101" s="280">
        <f t="shared" si="144"/>
        <v>0.27680927918281539</v>
      </c>
      <c r="AI101" s="50">
        <f t="shared" si="145"/>
        <v>0.27680927918281539</v>
      </c>
      <c r="AJ101" s="280">
        <f t="shared" si="146"/>
        <v>0.27680927918281539</v>
      </c>
      <c r="AK101" s="50">
        <f t="shared" si="147"/>
        <v>0.27680927918281539</v>
      </c>
      <c r="AL101" s="280">
        <f t="shared" si="148"/>
        <v>0.27680927918281539</v>
      </c>
      <c r="AO101" s="140">
        <f>(IFERROR(IF(N101/(SUMIF(RES!$D$39:$D$145,D101,$N$39:$N$145))=1,1,(N101/(SUMIF(RES!$D$39:$D$145,D101,$N$39:$N$145))+$AO$28)),0))</f>
        <v>0.27790927918281538</v>
      </c>
      <c r="AP101" s="140">
        <f t="shared" si="149"/>
        <v>0.27790927918281538</v>
      </c>
      <c r="AQ101" s="140">
        <f>AP101</f>
        <v>0.27790927918281538</v>
      </c>
      <c r="AR101" s="140">
        <f t="shared" si="156"/>
        <v>0.27790927918281538</v>
      </c>
      <c r="AS101" s="140">
        <f t="shared" si="157"/>
        <v>0.27790927918281538</v>
      </c>
      <c r="AT101" s="21"/>
      <c r="AU101" s="198">
        <f>(IFERROR(IF($N101/(SUMIF(RES!$D$39:$D$145,$D101,$N$39:$N$145))=1,1,($N101/(SUMIF(RES!$D$39:$D$145,$D101,$N$39:$N$145))-$AU$28)),0))</f>
        <v>0.27680927918281539</v>
      </c>
      <c r="AV101" s="346">
        <f t="shared" si="151"/>
        <v>0.27680927918281539</v>
      </c>
      <c r="AW101" s="346">
        <f t="shared" si="158"/>
        <v>0.27680927918281539</v>
      </c>
      <c r="AX101" s="346">
        <f t="shared" si="158"/>
        <v>0.27680927918281539</v>
      </c>
      <c r="AY101" s="346">
        <f t="shared" si="158"/>
        <v>0.27680927918281539</v>
      </c>
      <c r="AZ101" s="125"/>
      <c r="BA101" s="140"/>
      <c r="BB101" s="297">
        <f t="shared" si="127"/>
        <v>0.27790927918281538</v>
      </c>
      <c r="BC101" s="297">
        <f t="shared" si="128"/>
        <v>0.27790927918281538</v>
      </c>
      <c r="BD101" s="297">
        <f t="shared" si="129"/>
        <v>0.27790927918281538</v>
      </c>
      <c r="BE101" s="297">
        <f t="shared" si="130"/>
        <v>0.27790927918281538</v>
      </c>
      <c r="BF101" s="21" t="str">
        <f t="shared" si="125"/>
        <v/>
      </c>
      <c r="BG101" s="172"/>
      <c r="BH101" s="140">
        <f t="shared" si="131"/>
        <v>0.27680927918281539</v>
      </c>
      <c r="BI101" s="140">
        <f t="shared" si="132"/>
        <v>0.27680927918281539</v>
      </c>
      <c r="BJ101" s="140">
        <f t="shared" si="133"/>
        <v>0.27680927918281539</v>
      </c>
      <c r="BK101" s="125" t="str">
        <f t="shared" si="126"/>
        <v/>
      </c>
      <c r="BL101" s="183" t="s">
        <v>517</v>
      </c>
      <c r="BM101" s="527">
        <f t="shared" si="153"/>
        <v>0.25</v>
      </c>
      <c r="BN101" s="377">
        <f t="shared" si="154"/>
        <v>0.25</v>
      </c>
      <c r="BO101" s="377">
        <f>IF($BL101="","",($BQ101-$BN101)*1/3+$BN101)</f>
        <v>0.25</v>
      </c>
      <c r="BP101" s="377">
        <f>IF($BL101="","",($BQ101-$BN101)*2/3+$BN101)</f>
        <v>0.25</v>
      </c>
      <c r="BQ101" s="377">
        <f>IF($BL101="","",IF($BL101="*",$BM101*(1+$BN$29),E101))</f>
        <v>0.25</v>
      </c>
      <c r="BR101" s="183" t="s">
        <v>517</v>
      </c>
    </row>
    <row r="102" spans="1:84" s="14" customFormat="1" ht="15.35" outlineLevel="1">
      <c r="A102" s="251" t="s">
        <v>1028</v>
      </c>
      <c r="B102" s="251" t="s">
        <v>397</v>
      </c>
      <c r="C102" s="252" t="s">
        <v>246</v>
      </c>
      <c r="D102" s="252" t="s">
        <v>264</v>
      </c>
      <c r="E102" s="517">
        <v>0.25</v>
      </c>
      <c r="F102" s="600">
        <v>1</v>
      </c>
      <c r="G102" s="600">
        <v>1</v>
      </c>
      <c r="H102" s="600">
        <f t="shared" si="134"/>
        <v>0.24320202488889708</v>
      </c>
      <c r="I102" s="628">
        <v>1E-3</v>
      </c>
      <c r="J102" s="517"/>
      <c r="K102" s="48"/>
      <c r="L102" s="516">
        <v>1</v>
      </c>
      <c r="M102" s="516">
        <f>IF(C102="","",SUMIFS(Energy_Balance!I$55:I$160,Energy_Balance!$C$55:$C$160,C102,Energy_Balance!$D$55:$D$160,D102)*L102)</f>
        <v>0.97280809955558833</v>
      </c>
      <c r="N102" s="516">
        <f t="shared" ref="N102" si="159">E102*M102</f>
        <v>0.24320202488889708</v>
      </c>
      <c r="O102" s="25"/>
      <c r="P102" s="377">
        <f t="shared" si="135"/>
        <v>0.25</v>
      </c>
      <c r="Q102" s="377">
        <f t="shared" si="135"/>
        <v>0.25</v>
      </c>
      <c r="R102" s="377">
        <f t="shared" si="135"/>
        <v>0.25</v>
      </c>
      <c r="S102" s="377">
        <f t="shared" si="135"/>
        <v>0.25</v>
      </c>
      <c r="T102" s="208"/>
      <c r="U102" s="280"/>
      <c r="V102" s="280">
        <f t="shared" si="136"/>
        <v>4.5050701315728657E-2</v>
      </c>
      <c r="W102" s="280">
        <f t="shared" si="136"/>
        <v>4.5050701315728657E-2</v>
      </c>
      <c r="X102" s="50">
        <f t="shared" si="137"/>
        <v>4.5050701315728657E-2</v>
      </c>
      <c r="Y102" s="280">
        <f t="shared" si="138"/>
        <v>4.5050701315728657E-2</v>
      </c>
      <c r="Z102" s="50">
        <f t="shared" si="139"/>
        <v>4.5050701315728657E-2</v>
      </c>
      <c r="AA102" s="280">
        <f t="shared" si="140"/>
        <v>4.5050701315728657E-2</v>
      </c>
      <c r="AB102" s="50">
        <f t="shared" si="141"/>
        <v>4.5050701315728657E-2</v>
      </c>
      <c r="AC102" s="280">
        <f t="shared" si="142"/>
        <v>4.5050701315728657E-2</v>
      </c>
      <c r="AD102" s="280"/>
      <c r="AE102" s="280">
        <f>IF($G$16=1,AU102,IF($G$16=2,AU102,IF($G$16=3,#REF!,AU102)))</f>
        <v>4.3950701315728653E-2</v>
      </c>
      <c r="AF102" s="280">
        <f>IF($G$16=1,AV102,IF($G$16=2,AV102,IF($G$16=3,#REF!,AV102)))</f>
        <v>4.3950701315728653E-2</v>
      </c>
      <c r="AG102" s="50">
        <f t="shared" si="143"/>
        <v>4.3950701315728653E-2</v>
      </c>
      <c r="AH102" s="280">
        <f t="shared" si="144"/>
        <v>4.3950701315728653E-2</v>
      </c>
      <c r="AI102" s="50">
        <f t="shared" si="145"/>
        <v>2.7469188322330407E-2</v>
      </c>
      <c r="AJ102" s="280">
        <f t="shared" si="146"/>
        <v>0</v>
      </c>
      <c r="AK102" s="50">
        <f t="shared" si="147"/>
        <v>0</v>
      </c>
      <c r="AL102" s="280">
        <f t="shared" si="148"/>
        <v>0</v>
      </c>
      <c r="AM102"/>
      <c r="AN102"/>
      <c r="AO102" s="140">
        <f>(IFERROR(IF(N102/(SUMIF(RES!$D$39:$D$145,D102,$N$39:$N$145))=1,1,(N102/(SUMIF(RES!$D$39:$D$145,D102,$N$39:$N$145))+$AO$28)),0))</f>
        <v>4.5050701315728657E-2</v>
      </c>
      <c r="AP102" s="140">
        <f t="shared" si="149"/>
        <v>4.5050701315728657E-2</v>
      </c>
      <c r="AQ102" s="140">
        <f>AP102</f>
        <v>4.5050701315728657E-2</v>
      </c>
      <c r="AR102" s="140">
        <f t="shared" si="156"/>
        <v>4.5050701315728657E-2</v>
      </c>
      <c r="AS102" s="140">
        <f t="shared" si="157"/>
        <v>4.5050701315728657E-2</v>
      </c>
      <c r="AT102" s="133"/>
      <c r="AU102" s="198">
        <f>(IFERROR(IF($N102/(SUMIF(RES!$D$39:$D$145,$D102,$N$39:$N$145))=1,1,($N102/(SUMIF(RES!$D$39:$D$145,$D102,$N$39:$N$145))-$AU$28)),0))</f>
        <v>4.3950701315728653E-2</v>
      </c>
      <c r="AV102" s="346">
        <f t="shared" si="151"/>
        <v>4.3950701315728653E-2</v>
      </c>
      <c r="AW102" s="346">
        <f t="shared" si="158"/>
        <v>4.3950701315728653E-2</v>
      </c>
      <c r="AX102" s="460">
        <v>0</v>
      </c>
      <c r="AY102" s="460">
        <v>0</v>
      </c>
      <c r="AZ102" s="255"/>
      <c r="BA102" s="140"/>
      <c r="BB102" s="297">
        <f t="shared" si="127"/>
        <v>4.5050701315728657E-2</v>
      </c>
      <c r="BC102" s="297">
        <f t="shared" si="128"/>
        <v>4.5050701315728657E-2</v>
      </c>
      <c r="BD102" s="297">
        <f t="shared" si="129"/>
        <v>4.5050701315728657E-2</v>
      </c>
      <c r="BE102" s="297">
        <f t="shared" si="130"/>
        <v>4.5050701315728657E-2</v>
      </c>
      <c r="BF102" s="133" t="str">
        <f t="shared" si="125"/>
        <v/>
      </c>
      <c r="BG102" s="254"/>
      <c r="BH102" s="253">
        <f t="shared" si="131"/>
        <v>4.3950701315728653E-2</v>
      </c>
      <c r="BI102" s="253">
        <f t="shared" si="132"/>
        <v>0</v>
      </c>
      <c r="BJ102" s="253">
        <f t="shared" si="133"/>
        <v>0</v>
      </c>
      <c r="BK102" s="255" t="str">
        <f t="shared" si="126"/>
        <v/>
      </c>
      <c r="BL102" s="183" t="s">
        <v>517</v>
      </c>
      <c r="BM102" s="527">
        <f t="shared" si="153"/>
        <v>0.25</v>
      </c>
      <c r="BN102" s="377">
        <f t="shared" si="154"/>
        <v>0.25</v>
      </c>
      <c r="BO102" s="377">
        <f>IF($BL102="","",($BQ102-$BN102)*1/3+$BN102)</f>
        <v>0.25</v>
      </c>
      <c r="BP102" s="377">
        <f>IF($BL102="","",($BQ102-$BN102)*2/3+$BN102)</f>
        <v>0.25</v>
      </c>
      <c r="BQ102" s="377">
        <f>IF($BL102="","",IF($BL102="*",$BM102*(1+$BN$29),E102))</f>
        <v>0.25</v>
      </c>
      <c r="BR102" s="183" t="s">
        <v>517</v>
      </c>
      <c r="BS102"/>
      <c r="BT102"/>
      <c r="BU102"/>
      <c r="BV102"/>
      <c r="BW102"/>
      <c r="BX102"/>
      <c r="BY102"/>
      <c r="BZ102"/>
      <c r="CA102"/>
      <c r="CB102"/>
      <c r="CC102"/>
      <c r="CD102"/>
      <c r="CE102"/>
      <c r="CF102"/>
    </row>
    <row r="103" spans="1:84" ht="15.35" outlineLevel="1">
      <c r="A103" s="108" t="s">
        <v>1029</v>
      </c>
      <c r="B103" s="30" t="s">
        <v>370</v>
      </c>
      <c r="C103" s="43" t="s">
        <v>243</v>
      </c>
      <c r="D103" s="43" t="s">
        <v>264</v>
      </c>
      <c r="E103" s="517">
        <v>0.61</v>
      </c>
      <c r="F103" s="600">
        <v>1</v>
      </c>
      <c r="G103" s="600">
        <v>1</v>
      </c>
      <c r="H103" s="600">
        <f t="shared" si="134"/>
        <v>1.3999214778309128</v>
      </c>
      <c r="I103" s="628">
        <v>1E-3</v>
      </c>
      <c r="J103" s="517"/>
      <c r="K103" s="48"/>
      <c r="L103" s="516">
        <v>1</v>
      </c>
      <c r="M103" s="516">
        <f>IF(C103="","",SUMIFS(Energy_Balance!I$55:I$160,Energy_Balance!$C$55:$C$160,C103,Energy_Balance!$D$55:$D$160,D103)*L103)</f>
        <v>2.2949532423457586</v>
      </c>
      <c r="N103" s="516">
        <f t="shared" si="155"/>
        <v>1.3999214778309128</v>
      </c>
      <c r="O103" s="25"/>
      <c r="P103" s="377">
        <f t="shared" si="135"/>
        <v>0.61</v>
      </c>
      <c r="Q103" s="377">
        <f t="shared" si="135"/>
        <v>0.61</v>
      </c>
      <c r="R103" s="377">
        <f t="shared" si="135"/>
        <v>0.61</v>
      </c>
      <c r="S103" s="377">
        <f t="shared" si="135"/>
        <v>0.61</v>
      </c>
      <c r="T103" s="208"/>
      <c r="U103" s="280"/>
      <c r="V103" s="280">
        <f t="shared" si="136"/>
        <v>0.25456500593930009</v>
      </c>
      <c r="W103" s="280">
        <f t="shared" si="136"/>
        <v>0.25456500593930009</v>
      </c>
      <c r="X103" s="50">
        <f t="shared" si="137"/>
        <v>0.25456500593930009</v>
      </c>
      <c r="Y103" s="280">
        <f t="shared" si="138"/>
        <v>0.25456500593930009</v>
      </c>
      <c r="Z103" s="50">
        <f t="shared" si="139"/>
        <v>0.25456500593930009</v>
      </c>
      <c r="AA103" s="280">
        <f t="shared" si="140"/>
        <v>0.25456500593930009</v>
      </c>
      <c r="AB103" s="50">
        <f t="shared" si="141"/>
        <v>0.25456500593930009</v>
      </c>
      <c r="AC103" s="280">
        <f t="shared" si="142"/>
        <v>0.25456500593930009</v>
      </c>
      <c r="AD103" s="280"/>
      <c r="AE103" s="280">
        <f>IF($G$16=1,AU103,IF($G$16=2,AU103,IF($G$16=3,#REF!,AU103)))</f>
        <v>0.2534650059393001</v>
      </c>
      <c r="AF103" s="280">
        <f>IF($G$16=1,AV103,IF($G$16=2,AV103,IF($G$16=3,#REF!,AV103)))</f>
        <v>0.2534650059393001</v>
      </c>
      <c r="AG103" s="50">
        <f t="shared" si="143"/>
        <v>0.2534650059393001</v>
      </c>
      <c r="AH103" s="280">
        <f t="shared" si="144"/>
        <v>0.2534650059393001</v>
      </c>
      <c r="AI103" s="50">
        <f t="shared" si="145"/>
        <v>0.15841562871206255</v>
      </c>
      <c r="AJ103" s="280">
        <f t="shared" si="146"/>
        <v>0</v>
      </c>
      <c r="AK103" s="50">
        <f t="shared" si="147"/>
        <v>0</v>
      </c>
      <c r="AL103" s="280">
        <f t="shared" si="148"/>
        <v>0</v>
      </c>
      <c r="AO103" s="140">
        <f>(IFERROR(IF(N103/(SUMIF(RES!$D$39:$D$145,D103,$N$39:$N$145))=1,1,(N103/(SUMIF(RES!$D$39:$D$145,D103,$N$39:$N$145))+$AO$28)),0))</f>
        <v>0.25456500593930009</v>
      </c>
      <c r="AP103" s="140">
        <f t="shared" si="149"/>
        <v>0.25456500593930009</v>
      </c>
      <c r="AQ103" s="140">
        <f>AP103</f>
        <v>0.25456500593930009</v>
      </c>
      <c r="AR103" s="140">
        <f t="shared" si="156"/>
        <v>0.25456500593930009</v>
      </c>
      <c r="AS103" s="140">
        <f t="shared" si="157"/>
        <v>0.25456500593930009</v>
      </c>
      <c r="AT103" s="21"/>
      <c r="AU103" s="198">
        <f>(IFERROR(IF($N103/(SUMIF(RES!$D$39:$D$145,$D103,$N$39:$N$145))=1,1,($N103/(SUMIF(RES!$D$39:$D$145,$D103,$N$39:$N$145))-$AU$28)),0))</f>
        <v>0.2534650059393001</v>
      </c>
      <c r="AV103" s="346">
        <f t="shared" si="151"/>
        <v>0.2534650059393001</v>
      </c>
      <c r="AW103" s="346">
        <f t="shared" si="158"/>
        <v>0.2534650059393001</v>
      </c>
      <c r="AX103" s="460">
        <v>0</v>
      </c>
      <c r="AY103" s="460">
        <v>0</v>
      </c>
      <c r="AZ103" s="125"/>
      <c r="BA103" s="140"/>
      <c r="BB103" s="140">
        <f t="shared" si="127"/>
        <v>0.25456500593930009</v>
      </c>
      <c r="BC103" s="140">
        <f t="shared" si="128"/>
        <v>0.25456500593930009</v>
      </c>
      <c r="BD103" s="140">
        <f t="shared" si="129"/>
        <v>0.25456500593930009</v>
      </c>
      <c r="BE103" s="140">
        <f t="shared" si="130"/>
        <v>0.25456500593930009</v>
      </c>
      <c r="BF103" s="21" t="str">
        <f t="shared" si="125"/>
        <v/>
      </c>
      <c r="BG103" s="172"/>
      <c r="BH103" s="140">
        <f t="shared" si="131"/>
        <v>0.2534650059393001</v>
      </c>
      <c r="BI103" s="140">
        <f t="shared" si="132"/>
        <v>0</v>
      </c>
      <c r="BJ103" s="140">
        <f t="shared" si="133"/>
        <v>0</v>
      </c>
      <c r="BK103" s="125" t="str">
        <f t="shared" si="126"/>
        <v/>
      </c>
      <c r="BL103" s="183" t="s">
        <v>517</v>
      </c>
      <c r="BM103" s="527">
        <f t="shared" si="153"/>
        <v>0.61</v>
      </c>
      <c r="BN103" s="377">
        <f t="shared" si="154"/>
        <v>0.61</v>
      </c>
      <c r="BO103" s="377">
        <f>IF($BL103="","",($BP103-$BM103)*15/25+$BM103)</f>
        <v>0.61</v>
      </c>
      <c r="BP103" s="377">
        <f>IF($BL103="","",IF($BL103="*",$BM103*(1+$BN$29),E103))</f>
        <v>0.61</v>
      </c>
      <c r="BQ103" s="377">
        <f t="shared" ref="BQ103:BQ104" si="160">BP103</f>
        <v>0.61</v>
      </c>
      <c r="BR103" s="183" t="s">
        <v>517</v>
      </c>
    </row>
    <row r="104" spans="1:84" s="159" customFormat="1" ht="17" customHeight="1" outlineLevel="1">
      <c r="A104" s="108" t="s">
        <v>1030</v>
      </c>
      <c r="B104" s="30" t="s">
        <v>371</v>
      </c>
      <c r="C104" s="43" t="s">
        <v>173</v>
      </c>
      <c r="D104" s="43" t="s">
        <v>264</v>
      </c>
      <c r="E104" s="517">
        <v>0.86</v>
      </c>
      <c r="F104" s="600">
        <v>1</v>
      </c>
      <c r="G104" s="600">
        <v>1</v>
      </c>
      <c r="H104" s="600">
        <f t="shared" si="134"/>
        <v>0</v>
      </c>
      <c r="I104" s="628">
        <v>1E-3</v>
      </c>
      <c r="J104" s="517"/>
      <c r="K104" s="48"/>
      <c r="L104" s="516">
        <v>0</v>
      </c>
      <c r="M104" s="516">
        <f>IF(C104="","",SUMIFS(Energy_Balance!I$55:I$160,Energy_Balance!$C$55:$C$160,C104,Energy_Balance!$D$55:$D$160,D104)*L104)</f>
        <v>0</v>
      </c>
      <c r="N104" s="516">
        <f t="shared" si="155"/>
        <v>0</v>
      </c>
      <c r="O104" s="25"/>
      <c r="P104" s="377">
        <f t="shared" si="135"/>
        <v>0.86</v>
      </c>
      <c r="Q104" s="377">
        <f t="shared" si="135"/>
        <v>0.86</v>
      </c>
      <c r="R104" s="377">
        <f t="shared" si="135"/>
        <v>0.86</v>
      </c>
      <c r="S104" s="377">
        <f t="shared" si="135"/>
        <v>0.86</v>
      </c>
      <c r="T104" s="208"/>
      <c r="U104" s="280"/>
      <c r="V104" s="280">
        <f t="shared" si="136"/>
        <v>1E-3</v>
      </c>
      <c r="W104" s="280">
        <f t="shared" si="136"/>
        <v>1E-3</v>
      </c>
      <c r="X104" s="50">
        <f t="shared" si="137"/>
        <v>1E-3</v>
      </c>
      <c r="Y104" s="280">
        <f t="shared" si="138"/>
        <v>1E-3</v>
      </c>
      <c r="Z104" s="50">
        <f t="shared" si="139"/>
        <v>1E-3</v>
      </c>
      <c r="AA104" s="280">
        <f t="shared" si="140"/>
        <v>1E-3</v>
      </c>
      <c r="AB104" s="50">
        <f t="shared" si="141"/>
        <v>1E-3</v>
      </c>
      <c r="AC104" s="280">
        <f t="shared" si="142"/>
        <v>1E-3</v>
      </c>
      <c r="AD104" s="280"/>
      <c r="AE104" s="280">
        <f>IF($G$16=1,AU104,IF($G$16=2,AU104,IF($G$16=3,#REF!,AU104)))</f>
        <v>-1E-4</v>
      </c>
      <c r="AF104" s="280">
        <f>IF($G$16=1,AV104,IF($G$16=2,AV104,IF($G$16=3,#REF!,AV104)))</f>
        <v>-1E-4</v>
      </c>
      <c r="AG104" s="50">
        <f t="shared" si="143"/>
        <v>-1E-4</v>
      </c>
      <c r="AH104" s="280">
        <f t="shared" si="144"/>
        <v>-1E-4</v>
      </c>
      <c r="AI104" s="50">
        <f t="shared" si="145"/>
        <v>-1E-4</v>
      </c>
      <c r="AJ104" s="280">
        <f t="shared" si="146"/>
        <v>-1E-4</v>
      </c>
      <c r="AK104" s="50">
        <f t="shared" si="147"/>
        <v>-1E-4</v>
      </c>
      <c r="AL104" s="280">
        <f t="shared" si="148"/>
        <v>-1E-4</v>
      </c>
      <c r="AM104"/>
      <c r="AN104"/>
      <c r="AO104" s="140">
        <f>(IFERROR(IF(N104/(SUMIF(RES!$D$39:$D$145,D104,$N$39:$N$145))=1,1,(N104/(SUMIF(RES!$D$39:$D$145,D104,$N$39:$N$145))+$AO$28)),0))</f>
        <v>1E-3</v>
      </c>
      <c r="AP104" s="140">
        <f t="shared" si="149"/>
        <v>1E-3</v>
      </c>
      <c r="AQ104" s="140">
        <f>AP104</f>
        <v>1E-3</v>
      </c>
      <c r="AR104" s="140">
        <f t="shared" si="156"/>
        <v>1E-3</v>
      </c>
      <c r="AS104" s="140">
        <f t="shared" si="157"/>
        <v>1E-3</v>
      </c>
      <c r="AT104" s="21"/>
      <c r="AU104" s="198">
        <f>(IFERROR(IF($N104/(SUMIF(RES!$D$39:$D$145,$D104,$N$39:$N$145))=1,1,($N104/(SUMIF(RES!$D$39:$D$145,$D104,$N$39:$N$145))-$AU$28)),0))</f>
        <v>-1E-4</v>
      </c>
      <c r="AV104" s="346">
        <f t="shared" si="151"/>
        <v>-1E-4</v>
      </c>
      <c r="AW104" s="346">
        <f t="shared" si="158"/>
        <v>-1E-4</v>
      </c>
      <c r="AX104" s="346">
        <f t="shared" si="158"/>
        <v>-1E-4</v>
      </c>
      <c r="AY104" s="346">
        <f t="shared" si="158"/>
        <v>-1E-4</v>
      </c>
      <c r="AZ104" s="162"/>
      <c r="BA104" s="172"/>
      <c r="BB104" s="160">
        <f t="shared" si="127"/>
        <v>1E-3</v>
      </c>
      <c r="BC104" s="160">
        <f t="shared" si="128"/>
        <v>1E-3</v>
      </c>
      <c r="BD104" s="160">
        <f t="shared" si="129"/>
        <v>1E-3</v>
      </c>
      <c r="BE104" s="160">
        <f t="shared" si="130"/>
        <v>1E-3</v>
      </c>
      <c r="BF104" s="161" t="str">
        <f t="shared" si="125"/>
        <v/>
      </c>
      <c r="BG104" s="172"/>
      <c r="BH104" s="140">
        <f t="shared" si="131"/>
        <v>-1E-4</v>
      </c>
      <c r="BI104" s="140">
        <f t="shared" si="132"/>
        <v>-1E-4</v>
      </c>
      <c r="BJ104" s="140">
        <f t="shared" si="133"/>
        <v>-1E-4</v>
      </c>
      <c r="BK104" s="162" t="str">
        <f t="shared" si="126"/>
        <v/>
      </c>
      <c r="BL104" s="183" t="s">
        <v>517</v>
      </c>
      <c r="BM104" s="527">
        <f t="shared" si="153"/>
        <v>0.86</v>
      </c>
      <c r="BN104" s="377">
        <f t="shared" si="154"/>
        <v>0.86</v>
      </c>
      <c r="BO104" s="377">
        <f>IF($BL104="","",($BP104-$BM104)*15/25+$BM104)</f>
        <v>0.86</v>
      </c>
      <c r="BP104" s="377">
        <f>IF($BL104="","",IF($BL104="*",$BM104*(1+$BN$29),E104))</f>
        <v>0.86</v>
      </c>
      <c r="BQ104" s="377">
        <f t="shared" si="160"/>
        <v>0.86</v>
      </c>
      <c r="BR104" s="183" t="s">
        <v>517</v>
      </c>
      <c r="BS104"/>
      <c r="BT104"/>
      <c r="BU104"/>
      <c r="BV104"/>
      <c r="BW104"/>
      <c r="BX104"/>
      <c r="BY104"/>
      <c r="BZ104"/>
      <c r="CA104"/>
      <c r="CB104"/>
      <c r="CC104"/>
      <c r="CD104"/>
      <c r="CE104"/>
      <c r="CF104"/>
    </row>
    <row r="105" spans="1:84" s="195" customFormat="1" ht="15" outlineLevel="1">
      <c r="A105" s="556" t="s">
        <v>974</v>
      </c>
      <c r="B105" s="557"/>
      <c r="C105" s="558"/>
      <c r="D105" s="558"/>
      <c r="E105" s="559" t="str">
        <f>IF(D105="","",IF(COUNTIF(#REF!,$B105)=1,SUMIF(#REF!,RES!B105,#REF!),SUMIF(#REF!,RES!$B105,#REF!)))</f>
        <v/>
      </c>
      <c r="F105" s="559"/>
      <c r="G105" s="559"/>
      <c r="H105" s="559"/>
      <c r="I105" s="629"/>
      <c r="J105" s="559"/>
      <c r="K105" s="560"/>
      <c r="L105" s="561"/>
      <c r="M105" s="561">
        <f>SUM(M99:M104)</f>
        <v>12.694894562339481</v>
      </c>
      <c r="N105" s="561">
        <f>SUM(N99:N104)</f>
        <v>5.5209569342783622</v>
      </c>
      <c r="O105" s="196"/>
      <c r="P105" s="562"/>
      <c r="Q105" s="562"/>
      <c r="R105" s="562"/>
      <c r="S105" s="562"/>
      <c r="T105" s="563"/>
      <c r="U105" s="565"/>
      <c r="V105" s="565">
        <f>SUM(V99:V104)</f>
        <v>1.006</v>
      </c>
      <c r="W105" s="565">
        <f>SUM(W99:W104)</f>
        <v>1.006</v>
      </c>
      <c r="X105" s="564">
        <f t="shared" si="137"/>
        <v>1.006</v>
      </c>
      <c r="Y105" s="565">
        <f>SUM(Y99:Y104)</f>
        <v>1.006</v>
      </c>
      <c r="Z105" s="564">
        <f t="shared" si="139"/>
        <v>1.2648035099673123</v>
      </c>
      <c r="AA105" s="565">
        <f>SUM(AA99:AA104)</f>
        <v>1.6961426932461661</v>
      </c>
      <c r="AB105" s="564">
        <f t="shared" si="141"/>
        <v>1.6961426932461658</v>
      </c>
      <c r="AC105" s="565">
        <f>SUM(AC99:AC104)</f>
        <v>1.6961426932461661</v>
      </c>
      <c r="AD105" s="565"/>
      <c r="AE105" s="565">
        <f>SUM(AE99:AE104)</f>
        <v>0.99940000000000018</v>
      </c>
      <c r="AF105" s="565">
        <f>SUM(AF99:AF104)</f>
        <v>0.99940000000000018</v>
      </c>
      <c r="AG105" s="564">
        <f t="shared" si="143"/>
        <v>0.99940000000000018</v>
      </c>
      <c r="AH105" s="565">
        <f>SUM(AH99:AH104)</f>
        <v>0.99940000000000018</v>
      </c>
      <c r="AI105" s="564">
        <f t="shared" si="145"/>
        <v>0.80667496972624364</v>
      </c>
      <c r="AJ105" s="565">
        <f>SUM(AJ99:AJ104)</f>
        <v>0.48546658593664938</v>
      </c>
      <c r="AK105" s="564">
        <f t="shared" si="147"/>
        <v>0.48546658593664938</v>
      </c>
      <c r="AL105" s="565">
        <f>SUM(AL99:AL104)</f>
        <v>0.48546658593664938</v>
      </c>
      <c r="AO105" s="566">
        <f>SUM(AO99:AO104)</f>
        <v>1.006</v>
      </c>
      <c r="AP105" s="566">
        <f>SUM(AP99:AP104)</f>
        <v>1.006</v>
      </c>
      <c r="AQ105" s="566">
        <f>SUM(AQ99:AQ104)</f>
        <v>1.006</v>
      </c>
      <c r="AR105" s="566">
        <f>SUM(AR99:AR104)</f>
        <v>1.6961426932461661</v>
      </c>
      <c r="AS105" s="566">
        <f>SUM(AS99:AS104)</f>
        <v>1.6961426932461661</v>
      </c>
      <c r="AT105" s="567"/>
      <c r="AU105" s="570">
        <f>(IFERROR(IF($N105/(SUMIF(RES!$D$39:$D$145,$D105,$N$39:$N$145))=1,1,($N105/(SUMIF(RES!$D$39:$D$145,$D105,$N$39:$N$145))-$AU$28)),0))</f>
        <v>0</v>
      </c>
      <c r="AV105" s="569"/>
      <c r="AW105" s="569"/>
      <c r="AX105" s="569"/>
      <c r="AY105" s="569"/>
      <c r="AZ105" s="568"/>
      <c r="BA105" s="566"/>
      <c r="BB105" s="566">
        <f t="shared" si="127"/>
        <v>1.006</v>
      </c>
      <c r="BC105" s="566">
        <f t="shared" si="128"/>
        <v>1.006</v>
      </c>
      <c r="BD105" s="566">
        <f t="shared" si="129"/>
        <v>1.6961426932461661</v>
      </c>
      <c r="BE105" s="566">
        <f t="shared" si="130"/>
        <v>1.6961426932461661</v>
      </c>
      <c r="BF105" s="567" t="str">
        <f t="shared" si="125"/>
        <v/>
      </c>
      <c r="BG105" s="569"/>
      <c r="BH105" s="569" t="str">
        <f t="shared" si="131"/>
        <v/>
      </c>
      <c r="BI105" s="569" t="str">
        <f t="shared" si="132"/>
        <v/>
      </c>
      <c r="BJ105" s="569" t="str">
        <f t="shared" si="133"/>
        <v/>
      </c>
      <c r="BK105" s="568" t="str">
        <f t="shared" si="126"/>
        <v/>
      </c>
      <c r="BN105" s="562" t="str">
        <f>IF($BL105="","",($BP105-$BM105)*5/25+$BM105)</f>
        <v/>
      </c>
      <c r="BO105" s="562" t="str">
        <f>IF($BL105="","",($BP105-$BM105)*15/25+$BM105)</f>
        <v/>
      </c>
      <c r="BP105" s="562" t="str">
        <f>IF($BL105="","",IF($BL105="*",$BM105*(1+$BN$29),E105))</f>
        <v/>
      </c>
      <c r="BQ105" s="562" t="str">
        <f>IF(G105="","",IF(COUNTIF(#REF!,$B105)=1,SUMIF(#REF!,RES!$B105,#REF!),SUMIF(#REF!,RES!$B105,#REF!)))</f>
        <v/>
      </c>
    </row>
    <row r="106" spans="1:84" s="237" customFormat="1" ht="15">
      <c r="A106" s="577" t="s">
        <v>1031</v>
      </c>
      <c r="B106" s="578" t="s">
        <v>334</v>
      </c>
      <c r="C106" s="588"/>
      <c r="D106" s="588"/>
      <c r="E106" s="590" t="str">
        <f>IF(D106="","",IF(COUNTIF(#REF!,$B106)=1,SUMIF(#REF!,RES!B106,#REF!),SUMIF(#REF!,RES!$B106,#REF!)))</f>
        <v/>
      </c>
      <c r="F106" s="590"/>
      <c r="G106" s="590"/>
      <c r="H106" s="590"/>
      <c r="I106" s="630"/>
      <c r="J106" s="590"/>
      <c r="K106" s="579"/>
      <c r="L106" s="592"/>
      <c r="M106" s="592"/>
      <c r="N106" s="592"/>
      <c r="O106" s="584"/>
      <c r="P106" s="593"/>
      <c r="Q106" s="593"/>
      <c r="R106" s="593"/>
      <c r="S106" s="593"/>
      <c r="T106" s="594"/>
      <c r="U106" s="595"/>
      <c r="V106" s="595">
        <f t="shared" ref="V105:V116" si="161">IF($G$16=1,AO106,IF($G$16=2,AO106,IF($G$16=3,BB106,AO106)))</f>
        <v>0</v>
      </c>
      <c r="W106" s="595"/>
      <c r="X106" s="595"/>
      <c r="Y106" s="595"/>
      <c r="Z106" s="595"/>
      <c r="AA106" s="595"/>
      <c r="AB106" s="595"/>
      <c r="AC106" s="595"/>
      <c r="AD106" s="595"/>
      <c r="AE106" s="595">
        <f t="shared" ref="AE105:AE116" si="162">IF($G$16=1,AU106,IF($G$16=2,AU106,IF($G$16=3,BH106,AU106)))</f>
        <v>0</v>
      </c>
      <c r="AF106" s="595"/>
      <c r="AG106" s="595"/>
      <c r="AH106" s="595"/>
      <c r="AI106" s="595"/>
      <c r="AJ106" s="595"/>
      <c r="AK106" s="595"/>
      <c r="AL106" s="595"/>
      <c r="AO106" s="596"/>
      <c r="AP106" s="596"/>
      <c r="AQ106" s="596"/>
      <c r="AR106" s="596"/>
      <c r="AS106" s="596"/>
      <c r="AT106" s="586"/>
      <c r="AU106" s="598">
        <f>(IFERROR(IF($N106/(SUMIF(RES!$D$39:$D$145,$D106,$N$39:$N$145))=1,1,($N106/(SUMIF(RES!$D$39:$D$145,$D106,$N$39:$N$145))-$AU$28)),0))</f>
        <v>0</v>
      </c>
      <c r="AV106" s="596"/>
      <c r="AW106" s="596"/>
      <c r="AX106" s="596"/>
      <c r="AY106" s="596"/>
      <c r="AZ106" s="587"/>
      <c r="BA106" s="596"/>
      <c r="BB106" s="596" t="str">
        <f t="shared" si="127"/>
        <v/>
      </c>
      <c r="BC106" s="596" t="str">
        <f t="shared" si="128"/>
        <v/>
      </c>
      <c r="BD106" s="596" t="str">
        <f t="shared" si="129"/>
        <v/>
      </c>
      <c r="BE106" s="596" t="str">
        <f t="shared" si="130"/>
        <v/>
      </c>
      <c r="BF106" s="586" t="str">
        <f t="shared" si="125"/>
        <v/>
      </c>
      <c r="BG106" s="596"/>
      <c r="BH106" s="596" t="str">
        <f t="shared" si="131"/>
        <v/>
      </c>
      <c r="BI106" s="596" t="str">
        <f t="shared" si="132"/>
        <v/>
      </c>
      <c r="BJ106" s="596" t="str">
        <f t="shared" si="133"/>
        <v/>
      </c>
      <c r="BK106" s="587" t="str">
        <f t="shared" si="126"/>
        <v/>
      </c>
      <c r="BL106" s="586"/>
      <c r="BN106" s="593" t="str">
        <f>IF($BL106="","",($BP106-$BM106)*5/25+$BM106)</f>
        <v/>
      </c>
      <c r="BO106" s="593" t="str">
        <f>IF($BL106="","",($BP106-$BM106)*15/25+$BM106)</f>
        <v/>
      </c>
      <c r="BP106" s="593" t="str">
        <f>IF($BL106="","",IF($BL106="*",$BM106*(1+$BN$29),E106))</f>
        <v/>
      </c>
      <c r="BQ106" s="593" t="str">
        <f>IF(G106="","",IF(COUNTIF(#REF!,$B106)=1,SUMIF(#REF!,RES!$B106,#REF!),SUMIF(#REF!,RES!$B106,#REF!)))</f>
        <v/>
      </c>
    </row>
    <row r="107" spans="1:84" s="169" customFormat="1" ht="15" outlineLevel="1">
      <c r="A107" s="108" t="s">
        <v>1032</v>
      </c>
      <c r="B107" s="30" t="s">
        <v>372</v>
      </c>
      <c r="C107" s="43" t="s">
        <v>242</v>
      </c>
      <c r="D107" s="43" t="s">
        <v>265</v>
      </c>
      <c r="E107" s="525">
        <f>INDEX('Electrical efficiency'!$L$8:$L$23,MATCH(RES!D107,'Electrical efficiency'!$K$8:$K$23,0))</f>
        <v>0.64200000000000002</v>
      </c>
      <c r="F107" s="600">
        <v>1</v>
      </c>
      <c r="G107" s="600">
        <v>1</v>
      </c>
      <c r="H107" s="600">
        <f>N107/F107*(1+$D$31)</f>
        <v>7.1194662826309676</v>
      </c>
      <c r="I107" s="628">
        <v>1E-3</v>
      </c>
      <c r="J107" s="517"/>
      <c r="K107" s="48" t="s">
        <v>931</v>
      </c>
      <c r="L107" s="516">
        <v>1</v>
      </c>
      <c r="M107" s="516">
        <f>IF(C107="","",SUMIFS(Energy_Balance!I$55:I$160,Energy_Balance!$C$55:$C$160,C107,Energy_Balance!$D$55:$D$160,D107)*L107)</f>
        <v>11.089511343661943</v>
      </c>
      <c r="N107" s="516">
        <f t="shared" si="155"/>
        <v>7.1194662826309676</v>
      </c>
      <c r="O107" s="25"/>
      <c r="P107" s="377">
        <f>IF($G$16=0,BN107,IF($G$16=1,BS107,IF($G$16=2,BX107,IF($G$16=3,BN107,IF($G$16=4,BS107,"NA")))))</f>
        <v>0.74651162790697678</v>
      </c>
      <c r="Q107" s="377">
        <f>IF($G$16=0,BO107,IF($G$16=1,BT107,IF($G$16=2,BY107,IF($G$16=3,BO107,IF($G$16=4,BT107,"NA")))))</f>
        <v>1.2346153846153844</v>
      </c>
      <c r="R107" s="377">
        <f>IF($G$16=0,BP107,IF($G$16=1,BU107,IF($G$16=2,BZ107,IF($G$16=3,BP107,IF($G$16=4,BU107,"NA")))))</f>
        <v>1.3102040816326532</v>
      </c>
      <c r="S107" s="377">
        <f>IF($G$16=0,BQ107,IF($G$16=1,BV107,IF($G$16=2,CA107,IF($G$16=3,BQ107,IF($G$16=4,BV107,"NA")))))</f>
        <v>1.3102040816326532</v>
      </c>
      <c r="T107" s="208"/>
      <c r="U107" s="50"/>
      <c r="V107" s="50">
        <f t="shared" si="161"/>
        <v>1</v>
      </c>
      <c r="W107" s="50">
        <f>IF($G$16=1,AP107,IF($G$16=2,AP107,IF($G$16=3,BB107,AP107)))</f>
        <v>1</v>
      </c>
      <c r="X107" s="50">
        <f>$V$32*W107+(1-$V$32)*Y107</f>
        <v>1</v>
      </c>
      <c r="Y107" s="50">
        <f>IF($G$16=1,AQ107,IF($G$16=2,AQ107,IF($G$16=3,BC107,AQ107)))</f>
        <v>1</v>
      </c>
      <c r="Z107" s="50">
        <f>$V$32*Y107+(1-$V$32)*AA107</f>
        <v>1</v>
      </c>
      <c r="AA107" s="50">
        <f>IF($G$16=1,AR107,IF($G$16=2,AR107,IF($G$16=3,BD107,AR107)))</f>
        <v>1</v>
      </c>
      <c r="AB107" s="50">
        <f>$V$32*AA107+(1-$V$32)*AC107</f>
        <v>1</v>
      </c>
      <c r="AC107" s="50">
        <f>IF($G$16=1,AS107,IF($G$16=2,AS107,IF($G$16=3,BE107,AS107)))</f>
        <v>1</v>
      </c>
      <c r="AD107" s="50"/>
      <c r="AE107" s="50">
        <f t="shared" si="162"/>
        <v>1</v>
      </c>
      <c r="AF107" s="50">
        <f>IF($G$16=1,AV107,IF($G$16=2,AV107,IF($G$16=3,#REF!,AV107)))</f>
        <v>1</v>
      </c>
      <c r="AG107" s="50">
        <f>$V$32*AF107+(1-$V$32)*AH107</f>
        <v>1</v>
      </c>
      <c r="AH107" s="50">
        <f>IF($G$16=1,AW107,IF($G$16=2,AW107,IF($G$16=3,BH107,AW107)))</f>
        <v>1</v>
      </c>
      <c r="AI107" s="50">
        <f>$V$32*AH107+(1-$V$32)*AJ107</f>
        <v>1</v>
      </c>
      <c r="AJ107" s="50">
        <f>IF($G$16=1,AX107,IF($G$16=2,AX107,IF($G$16=3,BI107,AX107)))</f>
        <v>1</v>
      </c>
      <c r="AK107" s="50">
        <f>$V$32*AJ107+(1-$V$32)*AL107</f>
        <v>1</v>
      </c>
      <c r="AL107" s="50">
        <f>IF($G$16=1,AY107,IF($G$16=2,AY107,IF($G$16=3,BJ107,AY107)))</f>
        <v>1</v>
      </c>
      <c r="AM107"/>
      <c r="AN107"/>
      <c r="AO107" s="140">
        <f>(IFERROR(IF(N107/(SUMIF(RES!$D$39:$D$145,D107,$N$39:$N$145))=1,1,(N107/(SUMIF(RES!$D$39:$D$145,D107,$N$39:$N$145))+$AO$28)),0))</f>
        <v>1</v>
      </c>
      <c r="AP107" s="172">
        <f>AO107</f>
        <v>1</v>
      </c>
      <c r="AQ107" s="172">
        <f t="shared" ref="AQ107" si="163">AP107</f>
        <v>1</v>
      </c>
      <c r="AR107" s="172">
        <f t="shared" ref="AR107" si="164">AQ107</f>
        <v>1</v>
      </c>
      <c r="AS107" s="172">
        <f t="shared" ref="AS107" si="165">AR107</f>
        <v>1</v>
      </c>
      <c r="AT107" s="173"/>
      <c r="AU107" s="198">
        <f>(IFERROR(IF($N107/(SUMIF(RES!$D$39:$D$145,$D107,$N$39:$N$145))=1,1,($N107/(SUMIF(RES!$D$39:$D$145,$D107,$N$39:$N$145))-$AU$28)),0))</f>
        <v>1</v>
      </c>
      <c r="AV107" s="172">
        <f>AU107</f>
        <v>1</v>
      </c>
      <c r="AW107" s="172">
        <f t="shared" ref="AW107:AY107" si="166">AV107</f>
        <v>1</v>
      </c>
      <c r="AX107" s="172">
        <f t="shared" si="166"/>
        <v>1</v>
      </c>
      <c r="AY107" s="172">
        <f t="shared" si="166"/>
        <v>1</v>
      </c>
      <c r="AZ107" s="175"/>
      <c r="BA107" s="172"/>
      <c r="BB107" s="172">
        <f t="shared" si="127"/>
        <v>1</v>
      </c>
      <c r="BC107" s="172">
        <f t="shared" si="128"/>
        <v>1</v>
      </c>
      <c r="BD107" s="172">
        <f t="shared" si="129"/>
        <v>1</v>
      </c>
      <c r="BE107" s="172">
        <f t="shared" si="130"/>
        <v>1</v>
      </c>
      <c r="BF107" s="173" t="str">
        <f t="shared" si="125"/>
        <v/>
      </c>
      <c r="BG107" s="172"/>
      <c r="BH107" s="172">
        <f t="shared" si="131"/>
        <v>1</v>
      </c>
      <c r="BI107" s="172">
        <f t="shared" si="132"/>
        <v>1</v>
      </c>
      <c r="BJ107" s="172">
        <f t="shared" si="133"/>
        <v>1</v>
      </c>
      <c r="BK107" s="175" t="str">
        <f t="shared" si="126"/>
        <v/>
      </c>
      <c r="BL107" s="257" t="s">
        <v>110</v>
      </c>
      <c r="BM107" s="527">
        <f>E107</f>
        <v>0.64200000000000002</v>
      </c>
      <c r="BN107" s="377">
        <f>INDEX('Electrical efficiency'!$M$8:$M$23,MATCH(RES!D107,'Electrical efficiency'!$K$8:$K$23,0))</f>
        <v>0.74651162790697678</v>
      </c>
      <c r="BO107" s="377">
        <f>INDEX('Electrical efficiency'!$N$8:$N$23,MATCH(RES!D107,'Electrical efficiency'!$K$8:$K$23,0))</f>
        <v>1.2346153846153844</v>
      </c>
      <c r="BP107" s="377">
        <f>INDEX('Electrical efficiency'!$O$8:$O$23,MATCH(RES!D107,'Electrical efficiency'!$K$8:$K$23,0))</f>
        <v>1.3102040816326532</v>
      </c>
      <c r="BQ107" s="377">
        <f>INDEX('Electrical efficiency'!$P$8:$P$23,MATCH(RES!D107,'Electrical efficiency'!$K$8:$K$23,0))</f>
        <v>1.3102040816326532</v>
      </c>
      <c r="BR107" s="257" t="s">
        <v>110</v>
      </c>
      <c r="BS107"/>
      <c r="BT107"/>
      <c r="BU107"/>
      <c r="BV107"/>
      <c r="BW107"/>
      <c r="BX107"/>
      <c r="BY107"/>
      <c r="BZ107"/>
      <c r="CA107"/>
      <c r="CB107"/>
      <c r="CC107"/>
      <c r="CD107"/>
      <c r="CE107"/>
      <c r="CF107"/>
    </row>
    <row r="108" spans="1:84" s="195" customFormat="1" ht="15" outlineLevel="1">
      <c r="A108" s="556" t="s">
        <v>974</v>
      </c>
      <c r="B108" s="557"/>
      <c r="C108" s="558"/>
      <c r="D108" s="558"/>
      <c r="E108" s="559" t="str">
        <f>IF(D108="","",IF(COUNTIF(#REF!,$B108)=1,SUMIF(#REF!,RES!B108,#REF!),SUMIF(#REF!,RES!$B108,#REF!)))</f>
        <v/>
      </c>
      <c r="F108" s="559"/>
      <c r="G108" s="559"/>
      <c r="H108" s="559"/>
      <c r="I108" s="629"/>
      <c r="J108" s="559"/>
      <c r="K108" s="560"/>
      <c r="L108" s="561"/>
      <c r="M108" s="561">
        <f>SUM(M107:M107)</f>
        <v>11.089511343661943</v>
      </c>
      <c r="N108" s="561">
        <f>SUM(N107:N107)</f>
        <v>7.1194662826309676</v>
      </c>
      <c r="O108" s="196"/>
      <c r="P108" s="562"/>
      <c r="Q108" s="562"/>
      <c r="R108" s="562"/>
      <c r="S108" s="562"/>
      <c r="T108" s="563"/>
      <c r="U108" s="564"/>
      <c r="V108" s="564">
        <f t="shared" si="161"/>
        <v>0</v>
      </c>
      <c r="W108" s="564"/>
      <c r="X108" s="564"/>
      <c r="Y108" s="564"/>
      <c r="Z108" s="564"/>
      <c r="AA108" s="564"/>
      <c r="AB108" s="564"/>
      <c r="AC108" s="564"/>
      <c r="AD108" s="564"/>
      <c r="AE108" s="564">
        <f t="shared" si="162"/>
        <v>0</v>
      </c>
      <c r="AF108" s="564"/>
      <c r="AG108" s="564"/>
      <c r="AH108" s="564"/>
      <c r="AI108" s="564"/>
      <c r="AJ108" s="564"/>
      <c r="AK108" s="564"/>
      <c r="AL108" s="564"/>
      <c r="AO108" s="569">
        <f>(IFERROR(IF(N108/(SUMIF(RES!$D$39:$D$145,D108,$N$39:$N$145))=1,1,(N108/(SUMIF(RES!$D$39:$D$145,D108,$N$39:$N$145))+$AO$28)),0))</f>
        <v>0</v>
      </c>
      <c r="AP108" s="573">
        <f>SUM(AP107:AP107)</f>
        <v>1</v>
      </c>
      <c r="AQ108" s="573">
        <f>SUM(AQ107:AQ107)</f>
        <v>1</v>
      </c>
      <c r="AR108" s="573">
        <f>SUM(AR107:AR107)</f>
        <v>1</v>
      </c>
      <c r="AS108" s="573">
        <f>SUM(AS107:AS107)</f>
        <v>1</v>
      </c>
      <c r="AT108" s="567"/>
      <c r="AU108" s="570">
        <f>(IFERROR(IF($N108/(SUMIF(RES!$D$39:$D$145,$D108,$N$39:$N$145))=1,1,($N108/(SUMIF(RES!$D$39:$D$145,$D108,$N$39:$N$145))-$AU$28)),0))</f>
        <v>0</v>
      </c>
      <c r="AV108" s="569"/>
      <c r="AW108" s="569"/>
      <c r="AX108" s="569"/>
      <c r="AY108" s="569"/>
      <c r="AZ108" s="568"/>
      <c r="BA108" s="573"/>
      <c r="BB108" s="573">
        <f t="shared" si="127"/>
        <v>1</v>
      </c>
      <c r="BC108" s="573">
        <f t="shared" si="128"/>
        <v>1</v>
      </c>
      <c r="BD108" s="573">
        <f t="shared" si="129"/>
        <v>1</v>
      </c>
      <c r="BE108" s="573">
        <f t="shared" si="130"/>
        <v>1</v>
      </c>
      <c r="BF108" s="567" t="str">
        <f t="shared" si="125"/>
        <v/>
      </c>
      <c r="BG108" s="569"/>
      <c r="BH108" s="569" t="str">
        <f t="shared" si="131"/>
        <v/>
      </c>
      <c r="BI108" s="569" t="str">
        <f t="shared" si="132"/>
        <v/>
      </c>
      <c r="BJ108" s="569" t="str">
        <f t="shared" si="133"/>
        <v/>
      </c>
      <c r="BK108" s="568" t="str">
        <f t="shared" si="126"/>
        <v/>
      </c>
      <c r="BL108" s="567"/>
      <c r="BN108" s="562" t="str">
        <f>IF($BL108="","",($BP108-$BM108)*5/25+$BM108)</f>
        <v/>
      </c>
      <c r="BO108" s="562" t="str">
        <f>IF($BL108="","",($BP108-$BM108)*15/25+$BM108)</f>
        <v/>
      </c>
      <c r="BP108" s="562" t="str">
        <f>IF($BL108="","",IF($BL108="*",$BM108*(1+$BN$29),E108))</f>
        <v/>
      </c>
      <c r="BQ108" s="562" t="str">
        <f>IF(G108="","",IF(COUNTIF(#REF!,$B108)=1,SUMIF(#REF!,RES!$B108,#REF!),SUMIF(#REF!,RES!$B108,#REF!)))</f>
        <v/>
      </c>
    </row>
    <row r="109" spans="1:84" s="237" customFormat="1" ht="15">
      <c r="A109" s="577" t="s">
        <v>1033</v>
      </c>
      <c r="B109" s="578"/>
      <c r="C109" s="588"/>
      <c r="D109" s="588"/>
      <c r="E109" s="590" t="str">
        <f>IF(D109="","",IF(COUNTIF(#REF!,$B109)=1,SUMIF(#REF!,RES!B109,#REF!),SUMIF(#REF!,RES!$B109,#REF!)))</f>
        <v/>
      </c>
      <c r="F109" s="590"/>
      <c r="G109" s="590"/>
      <c r="H109" s="590"/>
      <c r="I109" s="630"/>
      <c r="J109" s="590"/>
      <c r="K109" s="579"/>
      <c r="L109" s="592"/>
      <c r="M109" s="592"/>
      <c r="N109" s="592"/>
      <c r="O109" s="584"/>
      <c r="P109" s="593"/>
      <c r="Q109" s="593"/>
      <c r="R109" s="593"/>
      <c r="S109" s="593"/>
      <c r="T109" s="594"/>
      <c r="U109" s="595"/>
      <c r="V109" s="595">
        <f t="shared" si="161"/>
        <v>0</v>
      </c>
      <c r="W109" s="595"/>
      <c r="X109" s="595"/>
      <c r="Y109" s="595"/>
      <c r="Z109" s="595"/>
      <c r="AA109" s="595"/>
      <c r="AB109" s="595"/>
      <c r="AC109" s="595"/>
      <c r="AD109" s="595"/>
      <c r="AE109" s="595">
        <f t="shared" si="162"/>
        <v>0</v>
      </c>
      <c r="AF109" s="595"/>
      <c r="AG109" s="595"/>
      <c r="AH109" s="595"/>
      <c r="AI109" s="595"/>
      <c r="AJ109" s="595"/>
      <c r="AK109" s="595"/>
      <c r="AL109" s="595"/>
      <c r="AO109" s="596"/>
      <c r="AP109" s="596"/>
      <c r="AQ109" s="596"/>
      <c r="AR109" s="596"/>
      <c r="AS109" s="596"/>
      <c r="AT109" s="586"/>
      <c r="AU109" s="598">
        <f>(IFERROR(IF($N109/(SUMIF(RES!$D$39:$D$145,$D109,$N$39:$N$145))=1,1,($N109/(SUMIF(RES!$D$39:$D$145,$D109,$N$39:$N$145))-$AU$28)),0))</f>
        <v>0</v>
      </c>
      <c r="AV109" s="596"/>
      <c r="AW109" s="596"/>
      <c r="AX109" s="596"/>
      <c r="AY109" s="596"/>
      <c r="AZ109" s="587"/>
      <c r="BA109" s="596"/>
      <c r="BB109" s="596" t="str">
        <f t="shared" si="127"/>
        <v/>
      </c>
      <c r="BC109" s="596" t="str">
        <f t="shared" si="128"/>
        <v/>
      </c>
      <c r="BD109" s="596" t="str">
        <f t="shared" si="129"/>
        <v/>
      </c>
      <c r="BE109" s="596" t="str">
        <f t="shared" si="130"/>
        <v/>
      </c>
      <c r="BF109" s="586" t="str">
        <f t="shared" si="125"/>
        <v/>
      </c>
      <c r="BG109" s="596"/>
      <c r="BH109" s="596" t="str">
        <f t="shared" si="131"/>
        <v/>
      </c>
      <c r="BI109" s="596" t="str">
        <f t="shared" si="132"/>
        <v/>
      </c>
      <c r="BJ109" s="596" t="str">
        <f t="shared" si="133"/>
        <v/>
      </c>
      <c r="BK109" s="587" t="str">
        <f t="shared" si="126"/>
        <v/>
      </c>
      <c r="BL109" s="586"/>
      <c r="BN109" s="593" t="str">
        <f>IF($BL109="","",($BP109-$BM109)*5/25+$BM109)</f>
        <v/>
      </c>
      <c r="BO109" s="593" t="str">
        <f>IF($BL109="","",($BP109-$BM109)*15/25+$BM109)</f>
        <v/>
      </c>
      <c r="BP109" s="593" t="str">
        <f>IF($BL109="","",IF($BL109="*",$BM109*(1+$BN$29),E109))</f>
        <v/>
      </c>
      <c r="BQ109" s="593" t="str">
        <f>IF(G109="","",IF(COUNTIF(#REF!,$B109)=1,SUMIF(#REF!,RES!$B109,#REF!),SUMIF(#REF!,RES!$B109,#REF!)))</f>
        <v/>
      </c>
    </row>
    <row r="110" spans="1:84" s="169" customFormat="1" ht="15" outlineLevel="1">
      <c r="A110" s="108" t="s">
        <v>1034</v>
      </c>
      <c r="B110" s="30" t="s">
        <v>373</v>
      </c>
      <c r="C110" s="43" t="s">
        <v>242</v>
      </c>
      <c r="D110" s="43" t="s">
        <v>266</v>
      </c>
      <c r="E110" s="525">
        <f>INDEX('Electrical efficiency'!$L$8:$L$23,MATCH(RES!D110,'Electrical efficiency'!$K$8:$K$23,0))</f>
        <v>0.8</v>
      </c>
      <c r="F110" s="600">
        <v>1</v>
      </c>
      <c r="G110" s="600">
        <v>1</v>
      </c>
      <c r="H110" s="600">
        <f>N110/F110*(1+$D$31)</f>
        <v>10.567931658168156</v>
      </c>
      <c r="I110" s="628">
        <v>1E-3</v>
      </c>
      <c r="J110" s="517"/>
      <c r="K110" s="48" t="s">
        <v>931</v>
      </c>
      <c r="L110" s="516">
        <v>1</v>
      </c>
      <c r="M110" s="516">
        <f>IF(C110="","",SUMIFS(Energy_Balance!I$55:I$160,Energy_Balance!$C$55:$C$160,C110,Energy_Balance!$D$55:$D$160,D110)*L110)</f>
        <v>13.209914572710195</v>
      </c>
      <c r="N110" s="516">
        <f t="shared" si="155"/>
        <v>10.567931658168156</v>
      </c>
      <c r="O110" s="25"/>
      <c r="P110" s="377">
        <f t="shared" ref="P110:S111" si="167">IF($G$16=0,BN110,IF($G$16=1,BS110,IF($G$16=2,BX110,IF($G$16=3,BN110,IF($G$16=4,BS110,"NA")))))</f>
        <v>0.80808080808080818</v>
      </c>
      <c r="Q110" s="377">
        <f t="shared" si="167"/>
        <v>0.84210526315789469</v>
      </c>
      <c r="R110" s="377">
        <f t="shared" si="167"/>
        <v>0.85106382978723405</v>
      </c>
      <c r="S110" s="377">
        <f t="shared" si="167"/>
        <v>0.85106382978723405</v>
      </c>
      <c r="T110" s="208"/>
      <c r="U110" s="50"/>
      <c r="V110" s="50">
        <f t="shared" si="161"/>
        <v>1</v>
      </c>
      <c r="W110" s="50">
        <f>IF($G$16=1,AP110,IF($G$16=2,AP110,IF($G$16=3,BB110,AP110)))</f>
        <v>1</v>
      </c>
      <c r="X110" s="50">
        <f>$V$32*W110+(1-$V$32)*Y110</f>
        <v>1</v>
      </c>
      <c r="Y110" s="50">
        <f>IF($G$16=1,AQ110,IF($G$16=2,AQ110,IF($G$16=3,BC110,AQ110)))</f>
        <v>1</v>
      </c>
      <c r="Z110" s="50">
        <f>$V$32*Y110+(1-$V$32)*AA110</f>
        <v>1</v>
      </c>
      <c r="AA110" s="50">
        <f>IF($G$16=1,AR110,IF($G$16=2,AR110,IF($G$16=3,BD110,AR110)))</f>
        <v>1</v>
      </c>
      <c r="AB110" s="50">
        <f>$V$32*AA110+(1-$V$32)*AC110</f>
        <v>1</v>
      </c>
      <c r="AC110" s="50">
        <f>IF($G$16=1,AS110,IF($G$16=2,AS110,IF($G$16=3,BE110,AS110)))</f>
        <v>1</v>
      </c>
      <c r="AD110" s="50"/>
      <c r="AE110" s="50">
        <f t="shared" si="162"/>
        <v>1</v>
      </c>
      <c r="AF110" s="50">
        <f>IF($G$16=1,AV110,IF($G$16=2,AV110,IF($G$16=3,#REF!,AV110)))</f>
        <v>1</v>
      </c>
      <c r="AG110" s="50">
        <f>$V$32*AF110+(1-$V$32)*AH110</f>
        <v>1</v>
      </c>
      <c r="AH110" s="50">
        <f>IF($G$16=1,AW110,IF($G$16=2,AW110,IF($G$16=3,BH110,AW110)))</f>
        <v>1</v>
      </c>
      <c r="AI110" s="50">
        <f>$V$32*AH110+(1-$V$32)*AJ110</f>
        <v>1</v>
      </c>
      <c r="AJ110" s="50">
        <f>IF($G$16=1,AX110,IF($G$16=2,AX110,IF($G$16=3,BI110,AX110)))</f>
        <v>1</v>
      </c>
      <c r="AK110" s="50">
        <f>$V$32*AJ110+(1-$V$32)*AL110</f>
        <v>1</v>
      </c>
      <c r="AL110" s="50">
        <f>IF($G$16=1,AY110,IF($G$16=2,AY110,IF($G$16=3,BJ110,AY110)))</f>
        <v>1</v>
      </c>
      <c r="AM110"/>
      <c r="AN110"/>
      <c r="AO110" s="140">
        <f>(IFERROR(IF(N110/(SUMIF(RES!$D$39:$D$145,D110,$N$39:$N$145))=1,1,(N110/(SUMIF(RES!$D$39:$D$145,D110,$N$39:$N$145))+$AO$28)),0))</f>
        <v>1</v>
      </c>
      <c r="AP110" s="172">
        <f>AO110</f>
        <v>1</v>
      </c>
      <c r="AQ110" s="172">
        <f t="shared" ref="AQ110" si="168">AP110</f>
        <v>1</v>
      </c>
      <c r="AR110" s="172">
        <f t="shared" ref="AR110" si="169">AQ110</f>
        <v>1</v>
      </c>
      <c r="AS110" s="172">
        <f t="shared" ref="AS110" si="170">AR110</f>
        <v>1</v>
      </c>
      <c r="AT110" s="173"/>
      <c r="AU110" s="198">
        <f>(IFERROR(IF($N110/(SUMIF(RES!$D$39:$D$145,$D110,$N$39:$N$145))=1,1,($N110/(SUMIF(RES!$D$39:$D$145,$D110,$N$39:$N$145))-$AU$28)),0))</f>
        <v>1</v>
      </c>
      <c r="AV110" s="172">
        <f>AU110</f>
        <v>1</v>
      </c>
      <c r="AW110" s="172">
        <f t="shared" ref="AW110:AY110" si="171">AV110</f>
        <v>1</v>
      </c>
      <c r="AX110" s="172">
        <f t="shared" si="171"/>
        <v>1</v>
      </c>
      <c r="AY110" s="172">
        <f t="shared" si="171"/>
        <v>1</v>
      </c>
      <c r="AZ110" s="175"/>
      <c r="BA110" s="172"/>
      <c r="BB110" s="172">
        <f t="shared" si="127"/>
        <v>1</v>
      </c>
      <c r="BC110" s="172">
        <f t="shared" si="128"/>
        <v>1</v>
      </c>
      <c r="BD110" s="172">
        <f t="shared" si="129"/>
        <v>1</v>
      </c>
      <c r="BE110" s="172">
        <f t="shared" si="130"/>
        <v>1</v>
      </c>
      <c r="BF110" s="173" t="str">
        <f t="shared" si="125"/>
        <v/>
      </c>
      <c r="BG110" s="172"/>
      <c r="BH110" s="172">
        <f t="shared" si="131"/>
        <v>1</v>
      </c>
      <c r="BI110" s="172">
        <f t="shared" si="132"/>
        <v>1</v>
      </c>
      <c r="BJ110" s="172">
        <f t="shared" si="133"/>
        <v>1</v>
      </c>
      <c r="BK110" s="175" t="str">
        <f t="shared" si="126"/>
        <v/>
      </c>
      <c r="BL110" s="257" t="s">
        <v>110</v>
      </c>
      <c r="BM110" s="527">
        <f>E110</f>
        <v>0.8</v>
      </c>
      <c r="BN110" s="377">
        <f>INDEX('Electrical efficiency'!$M$8:$M$23,MATCH(RES!D110,'Electrical efficiency'!$K$8:$K$23,0))</f>
        <v>0.80808080808080818</v>
      </c>
      <c r="BO110" s="377">
        <f>INDEX('Electrical efficiency'!$N$8:$N$23,MATCH(RES!D110,'Electrical efficiency'!$K$8:$K$23,0))</f>
        <v>0.84210526315789469</v>
      </c>
      <c r="BP110" s="377">
        <f>INDEX('Electrical efficiency'!$O$8:$O$23,MATCH(RES!D110,'Electrical efficiency'!$K$8:$K$23,0))</f>
        <v>0.85106382978723405</v>
      </c>
      <c r="BQ110" s="377">
        <f>INDEX('Electrical efficiency'!$P$8:$P$23,MATCH(RES!D110,'Electrical efficiency'!$K$8:$K$23,0))</f>
        <v>0.85106382978723405</v>
      </c>
      <c r="BR110" s="257" t="s">
        <v>110</v>
      </c>
      <c r="BS110"/>
      <c r="BT110"/>
      <c r="BU110"/>
      <c r="BV110"/>
      <c r="BW110"/>
      <c r="BX110"/>
      <c r="BY110"/>
      <c r="BZ110"/>
      <c r="CA110"/>
      <c r="CB110"/>
      <c r="CC110"/>
      <c r="CD110"/>
      <c r="CE110"/>
      <c r="CF110"/>
    </row>
    <row r="111" spans="1:84" ht="15" outlineLevel="1">
      <c r="A111" s="108" t="s">
        <v>1035</v>
      </c>
      <c r="B111" s="30" t="s">
        <v>374</v>
      </c>
      <c r="C111" s="43" t="s">
        <v>244</v>
      </c>
      <c r="D111" s="43" t="s">
        <v>301</v>
      </c>
      <c r="E111" s="517">
        <v>1</v>
      </c>
      <c r="F111" s="600">
        <v>1</v>
      </c>
      <c r="G111" s="600">
        <v>1</v>
      </c>
      <c r="H111" s="600">
        <f>N111/F111*(1+$D$31)</f>
        <v>0</v>
      </c>
      <c r="I111" s="628">
        <v>1E-3</v>
      </c>
      <c r="J111" s="517"/>
      <c r="K111" s="48"/>
      <c r="L111" s="516">
        <v>1</v>
      </c>
      <c r="M111" s="516">
        <f>IF(C111="","",SUMIFS(Energy_Balance!I$55:I$160,Energy_Balance!$C$55:$C$160,C111,Energy_Balance!$D$55:$D$160,D111)*L111)</f>
        <v>0</v>
      </c>
      <c r="N111" s="516">
        <f t="shared" si="155"/>
        <v>0</v>
      </c>
      <c r="O111" s="25"/>
      <c r="P111" s="377">
        <f t="shared" si="167"/>
        <v>1</v>
      </c>
      <c r="Q111" s="377">
        <f t="shared" si="167"/>
        <v>1</v>
      </c>
      <c r="R111" s="377">
        <f t="shared" si="167"/>
        <v>1</v>
      </c>
      <c r="S111" s="377">
        <f t="shared" si="167"/>
        <v>1</v>
      </c>
      <c r="T111" s="208"/>
      <c r="U111" s="50"/>
      <c r="V111" s="50">
        <f t="shared" si="161"/>
        <v>0</v>
      </c>
      <c r="W111" s="50">
        <f>IF($G$16=1,AP111,IF($G$16=2,AP111,IF($G$16=3,BB111,AP111)))</f>
        <v>0</v>
      </c>
      <c r="X111" s="50">
        <f>$V$32*W111+(1-$V$32)*Y111</f>
        <v>0</v>
      </c>
      <c r="Y111" s="50">
        <f>IF($G$16=1,AQ111,IF($G$16=2,AQ111,IF($G$16=3,BC111,AQ111)))</f>
        <v>0</v>
      </c>
      <c r="Z111" s="50">
        <f>$V$32*Y111+(1-$V$32)*AA111</f>
        <v>0</v>
      </c>
      <c r="AA111" s="50">
        <f>IF($G$16=1,AR111,IF($G$16=2,AR111,IF($G$16=3,BD111,AR111)))</f>
        <v>0</v>
      </c>
      <c r="AB111" s="50">
        <f>$V$32*AA111+(1-$V$32)*AC111</f>
        <v>0</v>
      </c>
      <c r="AC111" s="50">
        <f>IF($G$16=1,AS111,IF($G$16=2,AS111,IF($G$16=3,BE111,AS111)))</f>
        <v>0</v>
      </c>
      <c r="AD111" s="50"/>
      <c r="AE111" s="50">
        <f t="shared" si="162"/>
        <v>0</v>
      </c>
      <c r="AF111" s="50">
        <f>IF($G$16=1,AV111,IF($G$16=2,AV111,IF($G$16=3,#REF!,AV111)))</f>
        <v>0</v>
      </c>
      <c r="AG111" s="50">
        <f>$V$32*AF111+(1-$V$32)*AH111</f>
        <v>0</v>
      </c>
      <c r="AH111" s="50">
        <f>IF($G$16=1,AW111,IF($G$16=2,AW111,IF($G$16=3,BH111,AW111)))</f>
        <v>0</v>
      </c>
      <c r="AI111" s="50">
        <f>$V$32*AH111+(1-$V$32)*AJ111</f>
        <v>0</v>
      </c>
      <c r="AJ111" s="50">
        <f>IF($G$16=1,AX111,IF($G$16=2,AX111,IF($G$16=3,BI111,AX111)))</f>
        <v>0</v>
      </c>
      <c r="AK111" s="50">
        <f>$V$32*AJ111+(1-$V$32)*AL111</f>
        <v>0</v>
      </c>
      <c r="AL111" s="50">
        <f>IF($G$16=1,AY111,IF($G$16=2,AY111,IF($G$16=3,BJ111,AY111)))</f>
        <v>0</v>
      </c>
      <c r="AO111" s="140">
        <f>(IFERROR(IF(N111/(SUMIF(RES!$D$39:$D$145,D111,$N$39:$N$145))=1,1,(N111/(SUMIF(RES!$D$39:$D$145,D111,$N$39:$N$145))+$AO$28)),0))</f>
        <v>0</v>
      </c>
      <c r="AP111" s="140">
        <f>AO111</f>
        <v>0</v>
      </c>
      <c r="AQ111" s="140">
        <f>AP111</f>
        <v>0</v>
      </c>
      <c r="AR111" s="140">
        <f t="shared" ref="AR111" si="172">AQ111</f>
        <v>0</v>
      </c>
      <c r="AS111" s="140">
        <f t="shared" ref="AS111" si="173">AR111</f>
        <v>0</v>
      </c>
      <c r="AT111" s="21"/>
      <c r="AU111" s="198">
        <f>(IFERROR(IF($N111/(SUMIF(RES!$D$39:$D$145,$D111,$N$39:$N$145))=1,1,($N111/(SUMIF(RES!$D$39:$D$145,$D111,$N$39:$N$145))-$AU$28)),0))</f>
        <v>0</v>
      </c>
      <c r="AV111" s="346">
        <f>AU111</f>
        <v>0</v>
      </c>
      <c r="AW111" s="346">
        <f t="shared" ref="AW111:AY111" si="174">AV111</f>
        <v>0</v>
      </c>
      <c r="AX111" s="346">
        <f t="shared" si="174"/>
        <v>0</v>
      </c>
      <c r="AY111" s="346">
        <f t="shared" si="174"/>
        <v>0</v>
      </c>
      <c r="AZ111" s="125"/>
      <c r="BA111" s="140"/>
      <c r="BB111" s="297">
        <f t="shared" si="127"/>
        <v>0</v>
      </c>
      <c r="BC111" s="297">
        <f t="shared" si="128"/>
        <v>0</v>
      </c>
      <c r="BD111" s="297">
        <f t="shared" si="129"/>
        <v>0</v>
      </c>
      <c r="BE111" s="297">
        <f t="shared" si="130"/>
        <v>0</v>
      </c>
      <c r="BF111" s="21" t="str">
        <f t="shared" si="125"/>
        <v/>
      </c>
      <c r="BG111" s="172"/>
      <c r="BH111" s="140">
        <f t="shared" si="131"/>
        <v>0</v>
      </c>
      <c r="BI111" s="140">
        <f t="shared" si="132"/>
        <v>0</v>
      </c>
      <c r="BJ111" s="140">
        <f t="shared" si="133"/>
        <v>0</v>
      </c>
      <c r="BK111" s="125" t="str">
        <f t="shared" si="126"/>
        <v/>
      </c>
      <c r="BL111" s="21" t="s">
        <v>517</v>
      </c>
      <c r="BM111" s="527">
        <f>E111</f>
        <v>1</v>
      </c>
      <c r="BN111" s="377">
        <f>E111</f>
        <v>1</v>
      </c>
      <c r="BO111" s="377">
        <f>IF($BL111="","",($BP111-$BM111)*15/25+$BM111)</f>
        <v>1</v>
      </c>
      <c r="BP111" s="377">
        <f>IF($BL111="","",IF($BL111="*",$BM111*(1+$BN$29),E111))</f>
        <v>1</v>
      </c>
      <c r="BQ111" s="377">
        <f>BP111</f>
        <v>1</v>
      </c>
      <c r="BR111" t="s">
        <v>517</v>
      </c>
    </row>
    <row r="112" spans="1:84" s="195" customFormat="1" ht="15" outlineLevel="1">
      <c r="A112" s="556" t="s">
        <v>974</v>
      </c>
      <c r="B112" s="557"/>
      <c r="C112" s="558"/>
      <c r="D112" s="558"/>
      <c r="E112" s="559" t="str">
        <f>IF(D112="","",IF(COUNTIF(#REF!,$B112)=1,SUMIF(#REF!,RES!B112,#REF!),SUMIF(#REF!,RES!$B112,#REF!)))</f>
        <v/>
      </c>
      <c r="F112" s="559"/>
      <c r="G112" s="559"/>
      <c r="H112" s="559"/>
      <c r="I112" s="629"/>
      <c r="J112" s="559"/>
      <c r="K112" s="560"/>
      <c r="L112" s="561"/>
      <c r="M112" s="624">
        <f>SUM(M110:M111)</f>
        <v>13.209914572710195</v>
      </c>
      <c r="N112" s="624">
        <f>SUM(N110:N111)</f>
        <v>10.567931658168156</v>
      </c>
      <c r="O112" s="196"/>
      <c r="P112" s="562"/>
      <c r="Q112" s="562"/>
      <c r="R112" s="562"/>
      <c r="S112" s="562"/>
      <c r="T112" s="563"/>
      <c r="U112" s="564"/>
      <c r="V112" s="564">
        <f t="shared" si="161"/>
        <v>1</v>
      </c>
      <c r="W112" s="564"/>
      <c r="X112" s="564"/>
      <c r="Y112" s="564"/>
      <c r="Z112" s="564"/>
      <c r="AA112" s="564"/>
      <c r="AB112" s="564"/>
      <c r="AC112" s="564"/>
      <c r="AD112" s="564"/>
      <c r="AE112" s="564">
        <f t="shared" si="162"/>
        <v>0</v>
      </c>
      <c r="AF112" s="564"/>
      <c r="AG112" s="564"/>
      <c r="AH112" s="564"/>
      <c r="AI112" s="564"/>
      <c r="AJ112" s="564"/>
      <c r="AK112" s="564"/>
      <c r="AL112" s="564"/>
      <c r="AO112" s="625">
        <f>SUM(AO110:AO111)</f>
        <v>1</v>
      </c>
      <c r="AP112" s="625">
        <f>SUM(AP110:AP111)</f>
        <v>1</v>
      </c>
      <c r="AQ112" s="625">
        <f>SUM(AQ110:AQ111)</f>
        <v>1</v>
      </c>
      <c r="AR112" s="625">
        <f>SUM(AR110:AR111)</f>
        <v>1</v>
      </c>
      <c r="AS112" s="625">
        <f>SUM(AS110:AS111)</f>
        <v>1</v>
      </c>
      <c r="AT112" s="567"/>
      <c r="AU112" s="570">
        <f>(IFERROR(IF($N112/(SUMIF(RES!$D$39:$D$145,$D112,$N$39:$N$145))=1,1,($N112/(SUMIF(RES!$D$39:$D$145,$D112,$N$39:$N$145))-$AU$28)),0))</f>
        <v>0</v>
      </c>
      <c r="AV112" s="569"/>
      <c r="AW112" s="569"/>
      <c r="AX112" s="569"/>
      <c r="AY112" s="569"/>
      <c r="AZ112" s="568"/>
      <c r="BA112" s="625"/>
      <c r="BB112" s="625">
        <f t="shared" si="127"/>
        <v>1</v>
      </c>
      <c r="BC112" s="625">
        <f t="shared" si="128"/>
        <v>1</v>
      </c>
      <c r="BD112" s="625">
        <f t="shared" si="129"/>
        <v>1</v>
      </c>
      <c r="BE112" s="625">
        <f t="shared" si="130"/>
        <v>1</v>
      </c>
      <c r="BF112" s="567" t="str">
        <f t="shared" si="125"/>
        <v/>
      </c>
      <c r="BG112" s="569"/>
      <c r="BH112" s="569" t="str">
        <f t="shared" si="131"/>
        <v/>
      </c>
      <c r="BI112" s="569" t="str">
        <f t="shared" si="132"/>
        <v/>
      </c>
      <c r="BJ112" s="569" t="str">
        <f t="shared" si="133"/>
        <v/>
      </c>
      <c r="BK112" s="568" t="str">
        <f t="shared" si="126"/>
        <v/>
      </c>
      <c r="BL112" s="567"/>
      <c r="BN112" s="562" t="str">
        <f>IF($BL112="","",($BP112-$BM112)*5/25+$BM112)</f>
        <v/>
      </c>
      <c r="BO112" s="562" t="str">
        <f>IF($BL112="","",($BP112-$BM112)*15/25+$BM112)</f>
        <v/>
      </c>
      <c r="BP112" s="562" t="str">
        <f>IF($BL112="","",IF($BL112="*",$BM112*(1+$BN$29),E112))</f>
        <v/>
      </c>
      <c r="BQ112" s="562" t="str">
        <f>IF(G112="","",IF(COUNTIF(#REF!,$B112)=1,SUMIF(#REF!,RES!$B112,#REF!),SUMIF(#REF!,RES!$B112,#REF!)))</f>
        <v/>
      </c>
    </row>
    <row r="113" spans="1:84" s="237" customFormat="1" ht="15">
      <c r="A113" s="577" t="s">
        <v>1036</v>
      </c>
      <c r="B113" s="578" t="s">
        <v>334</v>
      </c>
      <c r="C113" s="588"/>
      <c r="D113" s="588"/>
      <c r="E113" s="590" t="str">
        <f>IF(D113="","",IF(COUNTIF(#REF!,$B113)=1,SUMIF(#REF!,RES!B113,#REF!),SUMIF(#REF!,RES!$B113,#REF!)))</f>
        <v/>
      </c>
      <c r="F113" s="590"/>
      <c r="G113" s="590"/>
      <c r="H113" s="590"/>
      <c r="I113" s="630"/>
      <c r="J113" s="590"/>
      <c r="K113" s="579"/>
      <c r="L113" s="592"/>
      <c r="M113" s="592"/>
      <c r="N113" s="592"/>
      <c r="O113" s="584"/>
      <c r="P113" s="593"/>
      <c r="Q113" s="593"/>
      <c r="R113" s="593"/>
      <c r="S113" s="593"/>
      <c r="T113" s="594"/>
      <c r="U113" s="595"/>
      <c r="V113" s="595">
        <f t="shared" si="161"/>
        <v>0</v>
      </c>
      <c r="W113" s="595"/>
      <c r="X113" s="595"/>
      <c r="Y113" s="595"/>
      <c r="Z113" s="595"/>
      <c r="AA113" s="595"/>
      <c r="AB113" s="595"/>
      <c r="AC113" s="595"/>
      <c r="AD113" s="595"/>
      <c r="AE113" s="595">
        <f t="shared" si="162"/>
        <v>0</v>
      </c>
      <c r="AF113" s="595"/>
      <c r="AG113" s="595"/>
      <c r="AH113" s="595"/>
      <c r="AI113" s="595"/>
      <c r="AJ113" s="595"/>
      <c r="AK113" s="595"/>
      <c r="AL113" s="595"/>
      <c r="AO113" s="596"/>
      <c r="AP113" s="596"/>
      <c r="AQ113" s="596"/>
      <c r="AR113" s="596"/>
      <c r="AS113" s="596"/>
      <c r="AT113" s="586"/>
      <c r="AU113" s="598">
        <f>(IFERROR(IF($N113/(SUMIF(RES!$D$39:$D$145,$D113,$N$39:$N$145))=1,1,($N113/(SUMIF(RES!$D$39:$D$145,$D113,$N$39:$N$145))-$AU$28)),0))</f>
        <v>0</v>
      </c>
      <c r="AV113" s="596"/>
      <c r="AW113" s="596"/>
      <c r="AX113" s="596"/>
      <c r="AY113" s="596"/>
      <c r="AZ113" s="587"/>
      <c r="BA113" s="596"/>
      <c r="BB113" s="596" t="str">
        <f t="shared" si="127"/>
        <v/>
      </c>
      <c r="BC113" s="596" t="str">
        <f t="shared" si="128"/>
        <v/>
      </c>
      <c r="BD113" s="596" t="str">
        <f t="shared" si="129"/>
        <v/>
      </c>
      <c r="BE113" s="596" t="str">
        <f t="shared" si="130"/>
        <v/>
      </c>
      <c r="BF113" s="586" t="str">
        <f t="shared" si="125"/>
        <v/>
      </c>
      <c r="BG113" s="596"/>
      <c r="BH113" s="596" t="str">
        <f t="shared" si="131"/>
        <v/>
      </c>
      <c r="BI113" s="596" t="str">
        <f t="shared" si="132"/>
        <v/>
      </c>
      <c r="BJ113" s="596" t="str">
        <f t="shared" si="133"/>
        <v/>
      </c>
      <c r="BK113" s="587" t="str">
        <f t="shared" si="126"/>
        <v/>
      </c>
      <c r="BL113" s="586"/>
      <c r="BN113" s="593" t="str">
        <f>IF($BL113="","",($BP113-$BM113)*5/25+$BM113)</f>
        <v/>
      </c>
      <c r="BO113" s="593" t="str">
        <f>IF($BL113="","",($BP113-$BM113)*15/25+$BM113)</f>
        <v/>
      </c>
      <c r="BP113" s="593" t="str">
        <f>IF($BL113="","",IF($BL113="*",$BM113*(1+$BN$29),E113))</f>
        <v/>
      </c>
      <c r="BQ113" s="593" t="str">
        <f>IF(G113="","",IF(COUNTIF(#REF!,$B113)=1,SUMIF(#REF!,RES!$B113,#REF!),SUMIF(#REF!,RES!$B113,#REF!)))</f>
        <v/>
      </c>
    </row>
    <row r="114" spans="1:84" s="169" customFormat="1" ht="15" outlineLevel="1">
      <c r="A114" s="108" t="s">
        <v>1037</v>
      </c>
      <c r="B114" s="30" t="s">
        <v>375</v>
      </c>
      <c r="C114" s="43" t="s">
        <v>242</v>
      </c>
      <c r="D114" s="43" t="s">
        <v>267</v>
      </c>
      <c r="E114" s="600">
        <f>INDEX(Lighting!$V$25:$V$35,MATCH(RES!D114,Lighting!$E$25:$E$35,0))</f>
        <v>3.5618185364705877</v>
      </c>
      <c r="F114" s="600">
        <v>1</v>
      </c>
      <c r="G114" s="600">
        <v>1</v>
      </c>
      <c r="H114" s="600">
        <f>N114/F114*(1+$D$31)</f>
        <v>24.678914197590192</v>
      </c>
      <c r="I114" s="628">
        <v>1E-3</v>
      </c>
      <c r="J114" s="517"/>
      <c r="K114" s="48" t="s">
        <v>450</v>
      </c>
      <c r="L114" s="516">
        <v>1</v>
      </c>
      <c r="M114" s="516">
        <f>IF(C114="","",SUMIFS(Energy_Balance!I$55:I$160,Energy_Balance!$C$55:$C$160,C114,Energy_Balance!$D$55:$D$160,D114)*L114)</f>
        <v>6.928739896458783</v>
      </c>
      <c r="N114" s="516">
        <f t="shared" si="155"/>
        <v>24.678914197590192</v>
      </c>
      <c r="O114" s="25"/>
      <c r="P114" s="377">
        <f>IF($G$16=0,BN114,IF($G$16=1,BS114,IF($G$16=2,BX114,IF($G$16=3,BN114,IF($G$16=4,BS114,"NA")))))</f>
        <v>3.5618185364705877</v>
      </c>
      <c r="Q114" s="377">
        <f>IF($G$16=0,BO114,IF($G$16=1,BT114,IF($G$16=2,BY114,IF($G$16=3,BO114,IF($G$16=4,BT114,"NA")))))</f>
        <v>4.579538282274509</v>
      </c>
      <c r="R114" s="377">
        <f>IF($G$16=0,BP114,IF($G$16=1,BU114,IF($G$16=2,BZ114,IF($G$16=3,BP114,IF($G$16=4,BU114,"NA")))))</f>
        <v>5.3019294117647053</v>
      </c>
      <c r="S114" s="377">
        <f>IF($G$16=0,BQ114,IF($G$16=1,BV114,IF($G$16=2,CA114,IF($G$16=3,BQ114,IF($G$16=4,BV114,"NA")))))</f>
        <v>5.3019294117647053</v>
      </c>
      <c r="T114" s="208"/>
      <c r="U114" s="50"/>
      <c r="V114" s="50">
        <f t="shared" si="161"/>
        <v>1</v>
      </c>
      <c r="W114" s="50">
        <f>IF($G$16=1,AP114,IF($G$16=2,AP114,IF($G$16=3,BB114,AP114)))</f>
        <v>1</v>
      </c>
      <c r="X114" s="50">
        <f>$V$32*W114+(1-$V$32)*Y114</f>
        <v>1</v>
      </c>
      <c r="Y114" s="50">
        <f>IF($G$16=1,AQ114,IF($G$16=2,AQ114,IF($G$16=3,BC114,AQ114)))</f>
        <v>1</v>
      </c>
      <c r="Z114" s="50">
        <f>$V$32*Y114+(1-$V$32)*AA114</f>
        <v>1</v>
      </c>
      <c r="AA114" s="50">
        <f>IF($G$16=1,AR114,IF($G$16=2,AR114,IF($G$16=3,BD114,AR114)))</f>
        <v>1</v>
      </c>
      <c r="AB114" s="50">
        <f>$V$32*AA114+(1-$V$32)*AC114</f>
        <v>1</v>
      </c>
      <c r="AC114" s="50">
        <f>IF($G$16=1,AS114,IF($G$16=2,AS114,IF($G$16=3,BE114,AS114)))</f>
        <v>1</v>
      </c>
      <c r="AD114" s="50"/>
      <c r="AE114" s="50">
        <f t="shared" si="162"/>
        <v>1</v>
      </c>
      <c r="AF114" s="50">
        <f>IF($G$16=1,AV114,IF($G$16=2,AV114,IF($G$16=3,#REF!,AV114)))</f>
        <v>1</v>
      </c>
      <c r="AG114" s="50">
        <f>$V$32*AF114+(1-$V$32)*AH114</f>
        <v>1</v>
      </c>
      <c r="AH114" s="50">
        <f>IF($G$16=1,AW114,IF($G$16=2,AW114,IF($G$16=3,BH114,AW114)))</f>
        <v>1</v>
      </c>
      <c r="AI114" s="50">
        <f>$V$32*AH114+(1-$V$32)*AJ114</f>
        <v>1</v>
      </c>
      <c r="AJ114" s="50">
        <f>IF($G$16=1,AX114,IF($G$16=2,AX114,IF($G$16=3,BI114,AX114)))</f>
        <v>1</v>
      </c>
      <c r="AK114" s="50">
        <f>$V$32*AJ114+(1-$V$32)*AL114</f>
        <v>1</v>
      </c>
      <c r="AL114" s="50">
        <f>IF($G$16=1,AY114,IF($G$16=2,AY114,IF($G$16=3,BJ114,AY114)))</f>
        <v>1</v>
      </c>
      <c r="AM114"/>
      <c r="AN114"/>
      <c r="AO114" s="140">
        <f>(IFERROR(IF(N114/(SUMIF(RES!$D$39:$D$145,D114,$N$39:$N$145))=1,1,(N114/(SUMIF(RES!$D$39:$D$145,D114,$N$39:$N$145))+$AO$28)),0))</f>
        <v>1</v>
      </c>
      <c r="AP114" s="172">
        <f>AO114</f>
        <v>1</v>
      </c>
      <c r="AQ114" s="172">
        <f t="shared" ref="AQ114" si="175">AP114</f>
        <v>1</v>
      </c>
      <c r="AR114" s="172">
        <f t="shared" ref="AR114" si="176">AQ114</f>
        <v>1</v>
      </c>
      <c r="AS114" s="172">
        <f t="shared" ref="AS114" si="177">AR114</f>
        <v>1</v>
      </c>
      <c r="AT114" s="173"/>
      <c r="AU114" s="198">
        <f>(IFERROR(IF($N114/(SUMIF(RES!$D$39:$D$145,$D114,$N$39:$N$145))=1,1,($N114/(SUMIF(RES!$D$39:$D$145,$D114,$N$39:$N$145))-$AU$28)),0))</f>
        <v>1</v>
      </c>
      <c r="AV114" s="172">
        <f>AU114</f>
        <v>1</v>
      </c>
      <c r="AW114" s="172">
        <f t="shared" ref="AW114:AY114" si="178">AV114</f>
        <v>1</v>
      </c>
      <c r="AX114" s="172">
        <f t="shared" si="178"/>
        <v>1</v>
      </c>
      <c r="AY114" s="172">
        <f t="shared" si="178"/>
        <v>1</v>
      </c>
      <c r="AZ114" s="175"/>
      <c r="BA114" s="172"/>
      <c r="BB114" s="172">
        <f t="shared" si="127"/>
        <v>1</v>
      </c>
      <c r="BC114" s="172">
        <f t="shared" si="128"/>
        <v>1</v>
      </c>
      <c r="BD114" s="172">
        <f t="shared" si="129"/>
        <v>1</v>
      </c>
      <c r="BE114" s="172">
        <f t="shared" si="130"/>
        <v>1</v>
      </c>
      <c r="BF114" s="173" t="str">
        <f t="shared" si="125"/>
        <v/>
      </c>
      <c r="BG114" s="172"/>
      <c r="BH114" s="172">
        <f t="shared" si="131"/>
        <v>1</v>
      </c>
      <c r="BI114" s="172">
        <f t="shared" si="132"/>
        <v>1</v>
      </c>
      <c r="BJ114" s="172">
        <f t="shared" si="133"/>
        <v>1</v>
      </c>
      <c r="BK114" s="175" t="str">
        <f t="shared" si="126"/>
        <v/>
      </c>
      <c r="BL114" s="173" t="s">
        <v>517</v>
      </c>
      <c r="BM114" s="527">
        <f>E114</f>
        <v>3.5618185364705877</v>
      </c>
      <c r="BN114" s="377">
        <f>E114</f>
        <v>3.5618185364705877</v>
      </c>
      <c r="BO114" s="207">
        <f>IF($B114="","",SUMIF(Lighting!$A$25:$A$35,RES!$B114,Lighting!$W$25:$W$35))</f>
        <v>4.579538282274509</v>
      </c>
      <c r="BP114" s="207">
        <f>IF($B114="","",SUMIF(Lighting!$A$25:$A$35,RES!$B114,Lighting!$X$25:$X$35))</f>
        <v>5.3019294117647053</v>
      </c>
      <c r="BQ114" s="207">
        <f>IF($B114="","",SUMIF(Lighting!$A$25:$A$35,RES!$B114,Lighting!$Y$25:$Y$35))</f>
        <v>5.3019294117647053</v>
      </c>
      <c r="BR114" s="169" t="s">
        <v>517</v>
      </c>
      <c r="BS114"/>
      <c r="BT114"/>
      <c r="BU114"/>
      <c r="BV114"/>
      <c r="BW114"/>
      <c r="BX114"/>
      <c r="BY114"/>
      <c r="BZ114"/>
      <c r="CA114"/>
      <c r="CB114"/>
      <c r="CC114"/>
      <c r="CD114"/>
      <c r="CE114"/>
      <c r="CF114"/>
    </row>
    <row r="115" spans="1:84" s="195" customFormat="1" ht="15" outlineLevel="1">
      <c r="A115" s="626" t="s">
        <v>974</v>
      </c>
      <c r="B115" s="557"/>
      <c r="C115" s="558"/>
      <c r="D115" s="558"/>
      <c r="E115" s="559" t="str">
        <f>IF(D115="","",IF(COUNTIF(#REF!,$B115)=1,SUMIF(#REF!,RES!B115,#REF!),SUMIF(#REF!,RES!$B115,#REF!)))</f>
        <v/>
      </c>
      <c r="F115" s="559"/>
      <c r="G115" s="559"/>
      <c r="H115" s="559"/>
      <c r="I115" s="629"/>
      <c r="J115" s="559"/>
      <c r="K115" s="560"/>
      <c r="L115" s="561"/>
      <c r="M115" s="561">
        <f>SUM(M114:M114)</f>
        <v>6.928739896458783</v>
      </c>
      <c r="N115" s="561">
        <f>SUM(N114:N114)</f>
        <v>24.678914197590192</v>
      </c>
      <c r="O115" s="196"/>
      <c r="P115" s="562"/>
      <c r="Q115" s="562"/>
      <c r="R115" s="562"/>
      <c r="S115" s="562"/>
      <c r="T115" s="563"/>
      <c r="U115" s="564"/>
      <c r="V115" s="564">
        <f t="shared" si="161"/>
        <v>1</v>
      </c>
      <c r="W115" s="564"/>
      <c r="X115" s="564"/>
      <c r="Y115" s="564"/>
      <c r="Z115" s="564"/>
      <c r="AA115" s="564"/>
      <c r="AB115" s="564"/>
      <c r="AC115" s="564"/>
      <c r="AD115" s="564"/>
      <c r="AE115" s="564">
        <f t="shared" si="162"/>
        <v>0</v>
      </c>
      <c r="AF115" s="564"/>
      <c r="AG115" s="564"/>
      <c r="AH115" s="564"/>
      <c r="AI115" s="564"/>
      <c r="AJ115" s="564"/>
      <c r="AK115" s="564"/>
      <c r="AL115" s="564"/>
      <c r="AO115" s="573">
        <f>SUM(AO114:AO114)</f>
        <v>1</v>
      </c>
      <c r="AP115" s="573">
        <f>SUM(AP114:AP114)</f>
        <v>1</v>
      </c>
      <c r="AQ115" s="573">
        <f>SUM(AQ114:AQ114)</f>
        <v>1</v>
      </c>
      <c r="AR115" s="573">
        <f>SUM(AR114:AR114)</f>
        <v>1</v>
      </c>
      <c r="AS115" s="573">
        <f>SUM(AS114:AS114)</f>
        <v>1</v>
      </c>
      <c r="AT115" s="567"/>
      <c r="AU115" s="570">
        <f>(IFERROR(IF($N115/(SUMIF(RES!$D$39:$D$145,$D115,$N$39:$N$145))=1,1,($N115/(SUMIF(RES!$D$39:$D$145,$D115,$N$39:$N$145))-$AU$28)),0))</f>
        <v>0</v>
      </c>
      <c r="AV115" s="569"/>
      <c r="AW115" s="569"/>
      <c r="AX115" s="569"/>
      <c r="AY115" s="569"/>
      <c r="AZ115" s="568"/>
      <c r="BA115" s="573"/>
      <c r="BB115" s="573">
        <f t="shared" si="127"/>
        <v>1</v>
      </c>
      <c r="BC115" s="573">
        <f t="shared" si="128"/>
        <v>1</v>
      </c>
      <c r="BD115" s="573">
        <f t="shared" si="129"/>
        <v>1</v>
      </c>
      <c r="BE115" s="573">
        <f t="shared" si="130"/>
        <v>1</v>
      </c>
      <c r="BF115" s="567" t="str">
        <f t="shared" si="125"/>
        <v/>
      </c>
      <c r="BG115" s="569"/>
      <c r="BH115" s="569" t="str">
        <f t="shared" si="131"/>
        <v/>
      </c>
      <c r="BI115" s="569" t="str">
        <f t="shared" si="132"/>
        <v/>
      </c>
      <c r="BJ115" s="569" t="str">
        <f t="shared" si="133"/>
        <v/>
      </c>
      <c r="BK115" s="568" t="str">
        <f t="shared" si="126"/>
        <v/>
      </c>
      <c r="BL115" s="567"/>
      <c r="BN115" s="562" t="str">
        <f>IF($BL115="","",($BP115-$BM115)*5/25+$BM115)</f>
        <v/>
      </c>
      <c r="BO115" s="562" t="str">
        <f>IF($BL115="","",($BP115-$BM115)*15/25+$BM115)</f>
        <v/>
      </c>
      <c r="BP115" s="562" t="str">
        <f>IF($BL115="","",IF($BL115="*",$BM115*(1+$BN$29),E115))</f>
        <v/>
      </c>
      <c r="BQ115" s="562" t="str">
        <f>IF(G115="","",IF(COUNTIF(#REF!,$B115)=1,SUMIF(#REF!,RES!$B115,#REF!),SUMIF(#REF!,RES!$B115,#REF!)))</f>
        <v/>
      </c>
    </row>
    <row r="116" spans="1:84" s="237" customFormat="1" ht="15">
      <c r="A116" s="577" t="s">
        <v>1038</v>
      </c>
      <c r="B116" s="578"/>
      <c r="C116" s="588"/>
      <c r="D116" s="588"/>
      <c r="E116" s="590" t="str">
        <f>IF(D116="","",IF(COUNTIF(#REF!,$B116)=1,SUMIF(#REF!,RES!B116,#REF!),SUMIF(#REF!,RES!$B116,#REF!)))</f>
        <v/>
      </c>
      <c r="F116" s="590"/>
      <c r="G116" s="590"/>
      <c r="H116" s="590"/>
      <c r="I116" s="630"/>
      <c r="J116" s="590"/>
      <c r="K116" s="579"/>
      <c r="L116" s="592"/>
      <c r="M116" s="592"/>
      <c r="N116" s="592"/>
      <c r="O116" s="584"/>
      <c r="P116" s="593"/>
      <c r="Q116" s="593"/>
      <c r="R116" s="593"/>
      <c r="S116" s="593"/>
      <c r="T116" s="594"/>
      <c r="U116" s="595"/>
      <c r="V116" s="595">
        <f t="shared" si="161"/>
        <v>0</v>
      </c>
      <c r="W116" s="595"/>
      <c r="X116" s="595"/>
      <c r="Y116" s="595"/>
      <c r="Z116" s="595"/>
      <c r="AA116" s="595"/>
      <c r="AB116" s="595"/>
      <c r="AC116" s="595"/>
      <c r="AD116" s="595"/>
      <c r="AE116" s="595">
        <f t="shared" si="162"/>
        <v>0</v>
      </c>
      <c r="AF116" s="595"/>
      <c r="AG116" s="595"/>
      <c r="AH116" s="595"/>
      <c r="AI116" s="595"/>
      <c r="AJ116" s="595"/>
      <c r="AK116" s="595"/>
      <c r="AL116" s="595"/>
      <c r="AO116" s="596"/>
      <c r="AP116" s="596"/>
      <c r="AQ116" s="596"/>
      <c r="AR116" s="596"/>
      <c r="AS116" s="596"/>
      <c r="AT116" s="586"/>
      <c r="AU116" s="598">
        <f>(IFERROR(IF($N116/(SUMIF(RES!$D$39:$D$145,$D116,$N$39:$N$145))=1,1,($N116/(SUMIF(RES!$D$39:$D$145,$D116,$N$39:$N$145))-$AU$28)),0))</f>
        <v>0</v>
      </c>
      <c r="AV116" s="596"/>
      <c r="AW116" s="596"/>
      <c r="AX116" s="596"/>
      <c r="AY116" s="596"/>
      <c r="AZ116" s="587"/>
      <c r="BA116" s="596"/>
      <c r="BB116" s="596" t="str">
        <f t="shared" si="127"/>
        <v/>
      </c>
      <c r="BC116" s="596" t="str">
        <f t="shared" si="128"/>
        <v/>
      </c>
      <c r="BD116" s="596" t="str">
        <f t="shared" si="129"/>
        <v/>
      </c>
      <c r="BE116" s="596" t="str">
        <f t="shared" si="130"/>
        <v/>
      </c>
      <c r="BF116" s="586" t="str">
        <f t="shared" si="125"/>
        <v/>
      </c>
      <c r="BG116" s="596"/>
      <c r="BH116" s="596" t="str">
        <f t="shared" si="131"/>
        <v/>
      </c>
      <c r="BI116" s="596" t="str">
        <f t="shared" si="132"/>
        <v/>
      </c>
      <c r="BJ116" s="596" t="str">
        <f t="shared" si="133"/>
        <v/>
      </c>
      <c r="BK116" s="587" t="str">
        <f t="shared" si="126"/>
        <v/>
      </c>
      <c r="BL116" s="586"/>
      <c r="BN116" s="593" t="str">
        <f>IF($BL116="","",($BP116-$BM116)*5/25+$BM116)</f>
        <v/>
      </c>
      <c r="BO116" s="593" t="str">
        <f>IF($BL116="","",($BP116-$BM116)*15/25+$BM116)</f>
        <v/>
      </c>
      <c r="BP116" s="593" t="str">
        <f>IF($BL116="","",IF($BL116="*",$BM116*(1+$BN$29),E116))</f>
        <v/>
      </c>
      <c r="BQ116" s="593" t="str">
        <f>IF(G116="","",IF(COUNTIF(#REF!,$B116)=1,SUMIF(#REF!,RES!$B116,#REF!),SUMIF(#REF!,RES!$B116,#REF!)))</f>
        <v/>
      </c>
    </row>
    <row r="117" spans="1:84" ht="15.35" outlineLevel="1">
      <c r="A117" s="108" t="s">
        <v>1039</v>
      </c>
      <c r="B117" s="30" t="s">
        <v>376</v>
      </c>
      <c r="C117" s="43" t="s">
        <v>242</v>
      </c>
      <c r="D117" s="43" t="s">
        <v>268</v>
      </c>
      <c r="E117" s="525">
        <f>INDEX('Electrical efficiency'!$L$8:$L$23,MATCH(RES!D117,'Electrical efficiency'!$K$8:$K$23,0))</f>
        <v>0.65</v>
      </c>
      <c r="F117" s="600">
        <v>1</v>
      </c>
      <c r="G117" s="600">
        <v>1</v>
      </c>
      <c r="H117" s="600">
        <f>N117/F117*(1+$D$31)</f>
        <v>6.2876617561113219</v>
      </c>
      <c r="I117" s="628">
        <v>1E-3</v>
      </c>
      <c r="J117" s="517"/>
      <c r="K117" s="48" t="s">
        <v>931</v>
      </c>
      <c r="L117" s="516">
        <v>1</v>
      </c>
      <c r="M117" s="516">
        <f>IF(C117="","",SUMIFS(Energy_Balance!I$55:I$160,Energy_Balance!$C$55:$C$160,C117,Energy_Balance!$D$55:$D$160,D117)*L117)</f>
        <v>9.6733257786328029</v>
      </c>
      <c r="N117" s="516">
        <f t="shared" si="155"/>
        <v>6.2876617561113219</v>
      </c>
      <c r="O117" s="25"/>
      <c r="P117" s="377">
        <f t="shared" ref="P117:S121" si="179">IF($G$16=0,BN117,IF($G$16=1,BS117,IF($G$16=2,BX117,IF($G$16=3,BN117,IF($G$16=4,BS117,"NA")))))</f>
        <v>0.67010309278350522</v>
      </c>
      <c r="Q117" s="377">
        <f t="shared" si="179"/>
        <v>0.73863636363636376</v>
      </c>
      <c r="R117" s="377">
        <f t="shared" si="179"/>
        <v>0.75581395348837221</v>
      </c>
      <c r="S117" s="377">
        <f t="shared" si="179"/>
        <v>0.75581395348837221</v>
      </c>
      <c r="T117" s="208"/>
      <c r="U117" s="280"/>
      <c r="V117" s="50">
        <f t="shared" ref="V117:W121" si="180">IF($G$16=1,AO117,IF($G$16=2,AO117,IF($G$16=3,BA117,AO117)))</f>
        <v>0.78194161349285496</v>
      </c>
      <c r="W117" s="50">
        <f t="shared" si="180"/>
        <v>0.78194161349285496</v>
      </c>
      <c r="X117" s="50">
        <f>$V$32*W117+(1-$V$32)*Y117</f>
        <v>0.78194161349285496</v>
      </c>
      <c r="Y117" s="50">
        <f>IF($G$16=1,AQ117,IF($G$16=2,AQ117,IF($G$16=3,BC117,AQ117)))</f>
        <v>0.78194161349285496</v>
      </c>
      <c r="Z117" s="50">
        <f>$V$32*Y117+(1-$V$32)*AA117</f>
        <v>0.85621350843303434</v>
      </c>
      <c r="AA117" s="50">
        <f>IF($G$16=1,AR117,IF($G$16=2,AR117,IF($G$16=3,BD117,AR117)))</f>
        <v>0.98</v>
      </c>
      <c r="AB117" s="50">
        <f>$V$32*AA117+(1-$V$32)*AC117</f>
        <v>0.98</v>
      </c>
      <c r="AC117" s="50">
        <f>IF($G$16=1,AS117,IF($G$16=2,AS117,IF($G$16=3,BE117,AS117)))</f>
        <v>0.98</v>
      </c>
      <c r="AD117" s="280"/>
      <c r="AE117" s="50">
        <f>IF($G$16=1,AU117,IF($G$16=2,AU117,IF($G$16=3,#REF!,AU117)))</f>
        <v>0.78084161349285497</v>
      </c>
      <c r="AF117" s="50">
        <f>IF($G$16=1,AV117,IF($G$16=2,AV117,IF($G$16=3,#REF!,AV117)))</f>
        <v>0.78084161349285497</v>
      </c>
      <c r="AG117" s="50">
        <f>$V$32*AF117+(1-$V$32)*AH117</f>
        <v>0.78084161349285497</v>
      </c>
      <c r="AH117" s="50">
        <f>IF($G$16=1,AW117,IF($G$16=2,AW117,IF($G$16=3,BH117,AW117)))</f>
        <v>0.78084161349285497</v>
      </c>
      <c r="AI117" s="50">
        <f>$V$32*AH117+(1-$V$32)*AJ117</f>
        <v>0.78084161349285497</v>
      </c>
      <c r="AJ117" s="50">
        <f>IF($G$16=1,AX117,IF($G$16=2,AX117,IF($G$16=3,BI117,AX117)))</f>
        <v>0.78084161349285497</v>
      </c>
      <c r="AK117" s="50">
        <f>$V$32*AJ117+(1-$V$32)*AL117</f>
        <v>0.78084161349285497</v>
      </c>
      <c r="AL117" s="50">
        <f>IF($G$16=1,AY117,IF($G$16=2,AY117,IF($G$16=3,BJ117,AY117)))</f>
        <v>0.78084161349285497</v>
      </c>
      <c r="AO117" s="140">
        <f>(IFERROR(IF(N117/(SUMIF(RES!$D$39:$D$145,D117,$N$39:$N$145))=1,1,(N117/(SUMIF(RES!$D$39:$D$145,D117,$N$39:$N$145))+$AO$28)),0))</f>
        <v>0.78194161349285496</v>
      </c>
      <c r="AP117" s="140">
        <f t="shared" ref="AP117:AQ120" si="181">AO117</f>
        <v>0.78194161349285496</v>
      </c>
      <c r="AQ117" s="140">
        <f t="shared" si="181"/>
        <v>0.78194161349285496</v>
      </c>
      <c r="AR117" s="461">
        <v>0.98</v>
      </c>
      <c r="AS117" s="461">
        <v>0.98</v>
      </c>
      <c r="AT117" s="21"/>
      <c r="AU117" s="198">
        <f>(IFERROR(IF($N117/(SUMIF(RES!$D$39:$D$145,$D117,$N$39:$N$145))=1,1,($N117/(SUMIF(RES!$D$39:$D$145,$D117,$N$39:$N$145))-$AU$28)),0))</f>
        <v>0.78084161349285497</v>
      </c>
      <c r="AV117" s="346">
        <f>AU117</f>
        <v>0.78084161349285497</v>
      </c>
      <c r="AW117" s="346">
        <f t="shared" ref="AW117:AY120" si="182">AV117</f>
        <v>0.78084161349285497</v>
      </c>
      <c r="AX117" s="346">
        <f t="shared" si="182"/>
        <v>0.78084161349285497</v>
      </c>
      <c r="AY117" s="346">
        <f t="shared" si="182"/>
        <v>0.78084161349285497</v>
      </c>
      <c r="AZ117" s="125"/>
      <c r="BA117" s="140"/>
      <c r="BB117" s="140">
        <f t="shared" si="127"/>
        <v>0.78194161349285496</v>
      </c>
      <c r="BC117" s="140">
        <f t="shared" si="128"/>
        <v>0.78194161349285496</v>
      </c>
      <c r="BD117" s="140">
        <f t="shared" si="129"/>
        <v>0.98</v>
      </c>
      <c r="BE117" s="140">
        <f t="shared" si="130"/>
        <v>0.98</v>
      </c>
      <c r="BF117" s="21" t="str">
        <f t="shared" si="125"/>
        <v/>
      </c>
      <c r="BG117" s="172"/>
      <c r="BH117" s="140">
        <f t="shared" si="131"/>
        <v>0.78084161349285497</v>
      </c>
      <c r="BI117" s="140">
        <f t="shared" si="132"/>
        <v>0.78084161349285497</v>
      </c>
      <c r="BJ117" s="140">
        <f t="shared" si="133"/>
        <v>0.78084161349285497</v>
      </c>
      <c r="BK117" s="125" t="str">
        <f t="shared" si="126"/>
        <v/>
      </c>
      <c r="BL117" s="257" t="s">
        <v>110</v>
      </c>
      <c r="BM117" s="527">
        <f>E117</f>
        <v>0.65</v>
      </c>
      <c r="BN117" s="377">
        <f>INDEX('Electrical efficiency'!$M$8:$M$23,MATCH(RES!D117,'Electrical efficiency'!$K$8:$K$23,0))</f>
        <v>0.67010309278350522</v>
      </c>
      <c r="BO117" s="377">
        <f>INDEX('Electrical efficiency'!$N$8:$N$23,MATCH(RES!D117,'Electrical efficiency'!$K$8:$K$23,0))</f>
        <v>0.73863636363636376</v>
      </c>
      <c r="BP117" s="377">
        <f>INDEX('Electrical efficiency'!$O$8:$O$23,MATCH(RES!D117,'Electrical efficiency'!$K$8:$K$23,0))</f>
        <v>0.75581395348837221</v>
      </c>
      <c r="BQ117" s="377">
        <f>INDEX('Electrical efficiency'!$P$8:$P$23,MATCH(RES!D117,'Electrical efficiency'!$K$8:$K$23,0))</f>
        <v>0.75581395348837221</v>
      </c>
      <c r="BR117" s="257" t="s">
        <v>110</v>
      </c>
    </row>
    <row r="118" spans="1:84" ht="15.35" outlineLevel="1">
      <c r="A118" s="108" t="s">
        <v>1040</v>
      </c>
      <c r="B118" s="30" t="s">
        <v>377</v>
      </c>
      <c r="C118" s="43" t="s">
        <v>243</v>
      </c>
      <c r="D118" s="43" t="s">
        <v>268</v>
      </c>
      <c r="E118" s="517">
        <v>0.61</v>
      </c>
      <c r="F118" s="600">
        <v>1</v>
      </c>
      <c r="G118" s="600">
        <v>1</v>
      </c>
      <c r="H118" s="600">
        <f>N118/F118*(1+$D$31)</f>
        <v>1.4637478554990577</v>
      </c>
      <c r="I118" s="628">
        <v>1E-3</v>
      </c>
      <c r="J118" s="517"/>
      <c r="K118" s="48"/>
      <c r="L118" s="516">
        <v>1</v>
      </c>
      <c r="M118" s="516">
        <f>IF(C118="","",SUMIFS(Energy_Balance!I$55:I$160,Energy_Balance!$C$55:$C$160,C118,Energy_Balance!$D$55:$D$160,D118)*L118)</f>
        <v>2.3995866483591111</v>
      </c>
      <c r="N118" s="516">
        <f t="shared" si="155"/>
        <v>1.4637478554990577</v>
      </c>
      <c r="O118" s="25"/>
      <c r="P118" s="377">
        <f t="shared" si="179"/>
        <v>0.61</v>
      </c>
      <c r="Q118" s="377">
        <f t="shared" si="179"/>
        <v>0.61</v>
      </c>
      <c r="R118" s="377">
        <f t="shared" si="179"/>
        <v>0.61</v>
      </c>
      <c r="S118" s="377">
        <f t="shared" si="179"/>
        <v>0.61</v>
      </c>
      <c r="T118" s="208"/>
      <c r="U118" s="280"/>
      <c r="V118" s="50">
        <f t="shared" si="180"/>
        <v>0.18280074825257539</v>
      </c>
      <c r="W118" s="50">
        <f t="shared" si="180"/>
        <v>0.18280074825257539</v>
      </c>
      <c r="X118" s="50">
        <f>$V$32*W118+(1-$V$32)*Y118</f>
        <v>0.18280074825257539</v>
      </c>
      <c r="Y118" s="50">
        <f>IF($G$16=1,AQ118,IF($G$16=2,AQ118,IF($G$16=3,BC118,AQ118)))</f>
        <v>0.18280074825257539</v>
      </c>
      <c r="Z118" s="50">
        <f>$V$32*Y118+(1-$V$32)*AA118</f>
        <v>0.18280074825257539</v>
      </c>
      <c r="AA118" s="50">
        <f>IF($G$16=1,AR118,IF($G$16=2,AR118,IF($G$16=3,BD118,AR118)))</f>
        <v>0.18280074825257539</v>
      </c>
      <c r="AB118" s="50">
        <f>$V$32*AA118+(1-$V$32)*AC118</f>
        <v>0.18280074825257539</v>
      </c>
      <c r="AC118" s="50">
        <f>IF($G$16=1,AS118,IF($G$16=2,AS118,IF($G$16=3,BE118,AS118)))</f>
        <v>0.18280074825257539</v>
      </c>
      <c r="AD118" s="280"/>
      <c r="AE118" s="50">
        <f>IF($G$16=1,AU118,IF($G$16=2,AU118,IF($G$16=3,#REF!,AU118)))</f>
        <v>0.1817007482525754</v>
      </c>
      <c r="AF118" s="50">
        <f>IF($G$16=1,AV118,IF($G$16=2,AV118,IF($G$16=3,#REF!,AV118)))</f>
        <v>0.1817007482525754</v>
      </c>
      <c r="AG118" s="50">
        <f>$V$32*AF118+(1-$V$32)*AH118</f>
        <v>0.1817007482525754</v>
      </c>
      <c r="AH118" s="50">
        <f>IF($G$16=1,AW118,IF($G$16=2,AW118,IF($G$16=3,BH118,AW118)))</f>
        <v>0.1817007482525754</v>
      </c>
      <c r="AI118" s="50">
        <f>$V$32*AH118+(1-$V$32)*AJ118</f>
        <v>0.11356296765785963</v>
      </c>
      <c r="AJ118" s="50">
        <f>IF($G$16=1,AX118,IF($G$16=2,AX118,IF($G$16=3,BI118,AX118)))</f>
        <v>0</v>
      </c>
      <c r="AK118" s="50">
        <f>$V$32*AJ118+(1-$V$32)*AL118</f>
        <v>0</v>
      </c>
      <c r="AL118" s="50">
        <f>IF($G$16=1,AY118,IF($G$16=2,AY118,IF($G$16=3,BJ118,AY118)))</f>
        <v>0</v>
      </c>
      <c r="AO118" s="140">
        <f>(IFERROR(IF(N118/(SUMIF(RES!$D$39:$D$145,D118,$N$39:$N$145))=1,1,(N118/(SUMIF(RES!$D$39:$D$145,D118,$N$39:$N$145))+$AO$28)),0))</f>
        <v>0.18280074825257539</v>
      </c>
      <c r="AP118" s="140">
        <f t="shared" si="181"/>
        <v>0.18280074825257539</v>
      </c>
      <c r="AQ118" s="140">
        <f t="shared" si="181"/>
        <v>0.18280074825257539</v>
      </c>
      <c r="AR118" s="140">
        <f t="shared" ref="AR118:AR120" si="183">AQ118</f>
        <v>0.18280074825257539</v>
      </c>
      <c r="AS118" s="140">
        <f t="shared" ref="AS118:AS120" si="184">AR118</f>
        <v>0.18280074825257539</v>
      </c>
      <c r="AT118" s="21"/>
      <c r="AU118" s="198">
        <f>(IFERROR(IF($N118/(SUMIF(RES!$D$39:$D$145,$D118,$N$39:$N$145))=1,1,($N118/(SUMIF(RES!$D$39:$D$145,$D118,$N$39:$N$145))-$AU$28)),0))</f>
        <v>0.1817007482525754</v>
      </c>
      <c r="AV118" s="346">
        <f>AU118</f>
        <v>0.1817007482525754</v>
      </c>
      <c r="AW118" s="346">
        <f t="shared" si="182"/>
        <v>0.1817007482525754</v>
      </c>
      <c r="AX118" s="460">
        <v>0</v>
      </c>
      <c r="AY118" s="460">
        <v>0</v>
      </c>
      <c r="AZ118" s="125"/>
      <c r="BA118" s="140"/>
      <c r="BB118" s="140">
        <f t="shared" si="127"/>
        <v>0.18280074825257539</v>
      </c>
      <c r="BC118" s="140">
        <f t="shared" si="128"/>
        <v>0.18280074825257539</v>
      </c>
      <c r="BD118" s="140">
        <f t="shared" si="129"/>
        <v>0.18280074825257539</v>
      </c>
      <c r="BE118" s="140">
        <f t="shared" si="130"/>
        <v>0.18280074825257539</v>
      </c>
      <c r="BF118" s="21" t="str">
        <f t="shared" si="125"/>
        <v/>
      </c>
      <c r="BG118" s="172"/>
      <c r="BH118" s="140">
        <f t="shared" si="131"/>
        <v>0.1817007482525754</v>
      </c>
      <c r="BI118" s="140">
        <f t="shared" si="132"/>
        <v>0</v>
      </c>
      <c r="BJ118" s="140">
        <f t="shared" si="133"/>
        <v>0</v>
      </c>
      <c r="BK118" s="125" t="str">
        <f t="shared" si="126"/>
        <v/>
      </c>
      <c r="BL118" s="21" t="s">
        <v>517</v>
      </c>
      <c r="BM118" s="527">
        <f>E118</f>
        <v>0.61</v>
      </c>
      <c r="BN118" s="377">
        <f>E118</f>
        <v>0.61</v>
      </c>
      <c r="BO118" s="377">
        <f t="shared" ref="BO118:BO123" si="185">IF($BL118="","",($BP118-$BM118)*15/25+$BM118)</f>
        <v>0.61</v>
      </c>
      <c r="BP118" s="377">
        <f t="shared" ref="BP118:BP123" si="186">IF($BL118="","",IF($BL118="*",$BM118*(1+$BN$29),E118))</f>
        <v>0.61</v>
      </c>
      <c r="BQ118" s="377">
        <f t="shared" ref="BQ118:BQ121" si="187">BP118</f>
        <v>0.61</v>
      </c>
      <c r="BR118" t="s">
        <v>517</v>
      </c>
    </row>
    <row r="119" spans="1:84" ht="15" outlineLevel="1">
      <c r="A119" s="108" t="s">
        <v>1041</v>
      </c>
      <c r="B119" s="30" t="s">
        <v>378</v>
      </c>
      <c r="C119" s="43" t="s">
        <v>245</v>
      </c>
      <c r="D119" s="43" t="s">
        <v>268</v>
      </c>
      <c r="E119" s="517">
        <v>0.26</v>
      </c>
      <c r="F119" s="600">
        <v>1</v>
      </c>
      <c r="G119" s="600">
        <v>1</v>
      </c>
      <c r="H119" s="600">
        <f>N119/F119*(1+$D$31)</f>
        <v>0.25832187230590387</v>
      </c>
      <c r="I119" s="628">
        <v>1E-3</v>
      </c>
      <c r="J119" s="517"/>
      <c r="K119" s="48"/>
      <c r="L119" s="516">
        <v>1</v>
      </c>
      <c r="M119" s="516">
        <f>IF(C119="","",SUMIFS(Energy_Balance!I$55:I$160,Energy_Balance!$C$55:$C$160,C119,Energy_Balance!$D$55:$D$160,D119)*L119)</f>
        <v>0.99354566271501477</v>
      </c>
      <c r="N119" s="516">
        <f t="shared" si="155"/>
        <v>0.25832187230590387</v>
      </c>
      <c r="O119" s="25"/>
      <c r="P119" s="377">
        <f t="shared" si="179"/>
        <v>0.26</v>
      </c>
      <c r="Q119" s="377">
        <f t="shared" si="179"/>
        <v>0.28028000000000003</v>
      </c>
      <c r="R119" s="377">
        <f t="shared" si="179"/>
        <v>0.29380000000000001</v>
      </c>
      <c r="S119" s="377">
        <f t="shared" si="179"/>
        <v>0.29380000000000001</v>
      </c>
      <c r="T119" s="208"/>
      <c r="U119" s="280"/>
      <c r="V119" s="50">
        <f t="shared" si="180"/>
        <v>3.308415267615044E-2</v>
      </c>
      <c r="W119" s="50">
        <f t="shared" si="180"/>
        <v>3.308415267615044E-2</v>
      </c>
      <c r="X119" s="50">
        <f>$V$32*W119+(1-$V$32)*Y119</f>
        <v>3.308415267615044E-2</v>
      </c>
      <c r="Y119" s="50">
        <f>IF($G$16=1,AQ119,IF($G$16=2,AQ119,IF($G$16=3,BC119,AQ119)))</f>
        <v>3.308415267615044E-2</v>
      </c>
      <c r="Z119" s="50">
        <f>$V$32*Y119+(1-$V$32)*AA119</f>
        <v>3.308415267615044E-2</v>
      </c>
      <c r="AA119" s="50">
        <f>IF($G$16=1,AR119,IF($G$16=2,AR119,IF($G$16=3,BD119,AR119)))</f>
        <v>3.308415267615044E-2</v>
      </c>
      <c r="AB119" s="50">
        <f>$V$32*AA119+(1-$V$32)*AC119</f>
        <v>3.308415267615044E-2</v>
      </c>
      <c r="AC119" s="50">
        <f>IF($G$16=1,AS119,IF($G$16=2,AS119,IF($G$16=3,BE119,AS119)))</f>
        <v>3.308415267615044E-2</v>
      </c>
      <c r="AD119" s="280"/>
      <c r="AE119" s="50">
        <f>IF($G$16=1,AU119,IF($G$16=2,AU119,IF($G$16=3,#REF!,AU119)))</f>
        <v>3.1984152676150436E-2</v>
      </c>
      <c r="AF119" s="50">
        <f>IF($G$16=1,AV119,IF($G$16=2,AV119,IF($G$16=3,#REF!,AV119)))</f>
        <v>3.1984152676150436E-2</v>
      </c>
      <c r="AG119" s="50">
        <f>$V$32*AF119+(1-$V$32)*AH119</f>
        <v>3.1984152676150436E-2</v>
      </c>
      <c r="AH119" s="50">
        <f>IF($G$16=1,AW119,IF($G$16=2,AW119,IF($G$16=3,BH119,AW119)))</f>
        <v>3.1984152676150436E-2</v>
      </c>
      <c r="AI119" s="50">
        <f>$V$32*AH119+(1-$V$32)*AJ119</f>
        <v>3.1984152676150436E-2</v>
      </c>
      <c r="AJ119" s="50">
        <f>IF($G$16=1,AX119,IF($G$16=2,AX119,IF($G$16=3,BI119,AX119)))</f>
        <v>3.1984152676150436E-2</v>
      </c>
      <c r="AK119" s="50">
        <f>$V$32*AJ119+(1-$V$32)*AL119</f>
        <v>3.1984152676150436E-2</v>
      </c>
      <c r="AL119" s="50">
        <f>IF($G$16=1,AY119,IF($G$16=2,AY119,IF($G$16=3,BJ119,AY119)))</f>
        <v>3.1984152676150436E-2</v>
      </c>
      <c r="AO119" s="140">
        <f>(IFERROR(IF(N119/(SUMIF(RES!$D$39:$D$145,D119,$N$39:$N$145))=1,1,(N119/(SUMIF(RES!$D$39:$D$145,D119,$N$39:$N$145))+$AO$28)),0))</f>
        <v>3.308415267615044E-2</v>
      </c>
      <c r="AP119" s="140">
        <f t="shared" si="181"/>
        <v>3.308415267615044E-2</v>
      </c>
      <c r="AQ119" s="140">
        <f t="shared" si="181"/>
        <v>3.308415267615044E-2</v>
      </c>
      <c r="AR119" s="140">
        <f t="shared" si="183"/>
        <v>3.308415267615044E-2</v>
      </c>
      <c r="AS119" s="140">
        <f t="shared" si="184"/>
        <v>3.308415267615044E-2</v>
      </c>
      <c r="AT119" s="21"/>
      <c r="AU119" s="198">
        <f>(IFERROR(IF($N119/(SUMIF(RES!$D$39:$D$145,$D119,$N$39:$N$145))=1,1,($N119/(SUMIF(RES!$D$39:$D$145,$D119,$N$39:$N$145))-$AU$28)),0))</f>
        <v>3.1984152676150436E-2</v>
      </c>
      <c r="AV119" s="346">
        <f>AU119</f>
        <v>3.1984152676150436E-2</v>
      </c>
      <c r="AW119" s="346">
        <f t="shared" si="182"/>
        <v>3.1984152676150436E-2</v>
      </c>
      <c r="AX119" s="346">
        <f t="shared" si="182"/>
        <v>3.1984152676150436E-2</v>
      </c>
      <c r="AY119" s="346">
        <f t="shared" si="182"/>
        <v>3.1984152676150436E-2</v>
      </c>
      <c r="AZ119" s="125"/>
      <c r="BA119" s="140"/>
      <c r="BB119" s="297">
        <f t="shared" si="127"/>
        <v>3.308415267615044E-2</v>
      </c>
      <c r="BC119" s="297">
        <f t="shared" si="128"/>
        <v>3.308415267615044E-2</v>
      </c>
      <c r="BD119" s="297">
        <f t="shared" si="129"/>
        <v>3.308415267615044E-2</v>
      </c>
      <c r="BE119" s="297">
        <f t="shared" si="130"/>
        <v>3.308415267615044E-2</v>
      </c>
      <c r="BF119" s="21" t="str">
        <f t="shared" si="125"/>
        <v/>
      </c>
      <c r="BG119" s="172"/>
      <c r="BH119" s="140">
        <f t="shared" si="131"/>
        <v>3.1984152676150436E-2</v>
      </c>
      <c r="BI119" s="140">
        <f t="shared" si="132"/>
        <v>3.1984152676150436E-2</v>
      </c>
      <c r="BJ119" s="140">
        <f t="shared" si="133"/>
        <v>3.1984152676150436E-2</v>
      </c>
      <c r="BK119" s="125" t="str">
        <f t="shared" si="126"/>
        <v/>
      </c>
      <c r="BL119" s="257" t="s">
        <v>110</v>
      </c>
      <c r="BM119" s="527">
        <f>E119</f>
        <v>0.26</v>
      </c>
      <c r="BN119" s="377">
        <f>E119</f>
        <v>0.26</v>
      </c>
      <c r="BO119" s="377">
        <f t="shared" si="185"/>
        <v>0.28028000000000003</v>
      </c>
      <c r="BP119" s="377">
        <f t="shared" si="186"/>
        <v>0.29380000000000001</v>
      </c>
      <c r="BQ119" s="377">
        <f t="shared" si="187"/>
        <v>0.29380000000000001</v>
      </c>
      <c r="BR119" s="257" t="s">
        <v>110</v>
      </c>
    </row>
    <row r="120" spans="1:84" s="169" customFormat="1" ht="15" outlineLevel="1">
      <c r="A120" s="108" t="s">
        <v>1042</v>
      </c>
      <c r="B120" s="30" t="s">
        <v>379</v>
      </c>
      <c r="C120" s="43" t="s">
        <v>244</v>
      </c>
      <c r="D120" s="43" t="s">
        <v>268</v>
      </c>
      <c r="E120" s="517">
        <v>0.45</v>
      </c>
      <c r="F120" s="600">
        <v>1</v>
      </c>
      <c r="G120" s="600">
        <v>1</v>
      </c>
      <c r="H120" s="600">
        <f>N120/F120*(1+$D$31)</f>
        <v>4.1653725266001668E-2</v>
      </c>
      <c r="I120" s="628">
        <v>1E-3</v>
      </c>
      <c r="J120" s="517"/>
      <c r="K120" s="48"/>
      <c r="L120" s="516">
        <v>1</v>
      </c>
      <c r="M120" s="516">
        <f>IF(C120="","",SUMIFS(Energy_Balance!I$55:I$160,Energy_Balance!$C$55:$C$160,C120,Energy_Balance!$D$55:$D$160,D120)*L120)</f>
        <v>9.2563833924448141E-2</v>
      </c>
      <c r="N120" s="516">
        <f t="shared" si="155"/>
        <v>4.1653725266001668E-2</v>
      </c>
      <c r="O120" s="25"/>
      <c r="P120" s="377">
        <f t="shared" si="179"/>
        <v>0.45</v>
      </c>
      <c r="Q120" s="377">
        <f t="shared" si="179"/>
        <v>0.48509999999999998</v>
      </c>
      <c r="R120" s="377">
        <f t="shared" si="179"/>
        <v>0.50849999999999995</v>
      </c>
      <c r="S120" s="377">
        <f t="shared" si="179"/>
        <v>0.50849999999999995</v>
      </c>
      <c r="T120" s="208"/>
      <c r="U120" s="50"/>
      <c r="V120" s="50">
        <f t="shared" si="180"/>
        <v>6.1734855784191332E-3</v>
      </c>
      <c r="W120" s="50">
        <f t="shared" si="180"/>
        <v>6.1734855784191332E-3</v>
      </c>
      <c r="X120" s="50">
        <f>$V$32*W120+(1-$V$32)*Y120</f>
        <v>6.1734855784191332E-3</v>
      </c>
      <c r="Y120" s="50">
        <f>IF($G$16=1,AQ120,IF($G$16=2,AQ120,IF($G$16=3,BC120,AQ120)))</f>
        <v>6.1734855784191332E-3</v>
      </c>
      <c r="Z120" s="50">
        <f>$V$32*Y120+(1-$V$32)*AA120</f>
        <v>6.1734855784191332E-3</v>
      </c>
      <c r="AA120" s="50">
        <f>IF($G$16=1,AR120,IF($G$16=2,AR120,IF($G$16=3,BD120,AR120)))</f>
        <v>6.1734855784191332E-3</v>
      </c>
      <c r="AB120" s="50">
        <f>$V$32*AA120+(1-$V$32)*AC120</f>
        <v>6.1734855784191332E-3</v>
      </c>
      <c r="AC120" s="50">
        <f>IF($G$16=1,AS120,IF($G$16=2,AS120,IF($G$16=3,BE120,AS120)))</f>
        <v>6.1734855784191332E-3</v>
      </c>
      <c r="AD120" s="50"/>
      <c r="AE120" s="50">
        <f>IF($G$16=1,AU120,IF($G$16=2,AU120,IF($G$16=3,#REF!,AU120)))</f>
        <v>5.0734855784191329E-3</v>
      </c>
      <c r="AF120" s="50">
        <f>IF($G$16=1,AV120,IF($G$16=2,AV120,IF($G$16=3,#REF!,AV120)))</f>
        <v>5.0734855784191329E-3</v>
      </c>
      <c r="AG120" s="50">
        <f>$V$32*AF120+(1-$V$32)*AH120</f>
        <v>5.0734855784191329E-3</v>
      </c>
      <c r="AH120" s="50">
        <f>IF($G$16=1,AW120,IF($G$16=2,AW120,IF($G$16=3,BH120,AW120)))</f>
        <v>5.0734855784191329E-3</v>
      </c>
      <c r="AI120" s="50">
        <f>$V$32*AH120+(1-$V$32)*AJ120</f>
        <v>5.0734855784191329E-3</v>
      </c>
      <c r="AJ120" s="50">
        <f>IF($G$16=1,AX120,IF($G$16=2,AX120,IF($G$16=3,BI120,AX120)))</f>
        <v>5.0734855784191329E-3</v>
      </c>
      <c r="AK120" s="50">
        <f>$V$32*AJ120+(1-$V$32)*AL120</f>
        <v>5.0734855784191329E-3</v>
      </c>
      <c r="AL120" s="50">
        <f>IF($G$16=1,AY120,IF($G$16=2,AY120,IF($G$16=3,BJ120,AY120)))</f>
        <v>5.0734855784191329E-3</v>
      </c>
      <c r="AM120"/>
      <c r="AN120"/>
      <c r="AO120" s="140">
        <f>(IFERROR(IF(N120/(SUMIF(RES!$D$39:$D$145,D120,$N$39:$N$145))=1,1,(N120/(SUMIF(RES!$D$39:$D$145,D120,$N$39:$N$145))+$AO$28)),0))</f>
        <v>6.1734855784191332E-3</v>
      </c>
      <c r="AP120" s="140">
        <f t="shared" si="181"/>
        <v>6.1734855784191332E-3</v>
      </c>
      <c r="AQ120" s="140">
        <f t="shared" si="181"/>
        <v>6.1734855784191332E-3</v>
      </c>
      <c r="AR120" s="140">
        <f t="shared" si="183"/>
        <v>6.1734855784191332E-3</v>
      </c>
      <c r="AS120" s="140">
        <f t="shared" si="184"/>
        <v>6.1734855784191332E-3</v>
      </c>
      <c r="AT120" s="173"/>
      <c r="AU120" s="198">
        <f>(IFERROR(IF($N120/(SUMIF(RES!$D$39:$D$145,$D120,$N$39:$N$145))=1,1,($N120/(SUMIF(RES!$D$39:$D$145,$D120,$N$39:$N$145))-$AU$28)),0))</f>
        <v>5.0734855784191329E-3</v>
      </c>
      <c r="AV120" s="198">
        <f>AU120</f>
        <v>5.0734855784191329E-3</v>
      </c>
      <c r="AW120" s="198">
        <f t="shared" si="182"/>
        <v>5.0734855784191329E-3</v>
      </c>
      <c r="AX120" s="198">
        <f t="shared" si="182"/>
        <v>5.0734855784191329E-3</v>
      </c>
      <c r="AY120" s="172">
        <f t="shared" si="182"/>
        <v>5.0734855784191329E-3</v>
      </c>
      <c r="AZ120" s="175"/>
      <c r="BA120" s="172"/>
      <c r="BB120" s="172">
        <f t="shared" si="127"/>
        <v>6.1734855784191332E-3</v>
      </c>
      <c r="BC120" s="172">
        <f t="shared" si="128"/>
        <v>6.1734855784191332E-3</v>
      </c>
      <c r="BD120" s="172">
        <f t="shared" si="129"/>
        <v>6.1734855784191332E-3</v>
      </c>
      <c r="BE120" s="172">
        <f t="shared" si="130"/>
        <v>6.1734855784191332E-3</v>
      </c>
      <c r="BF120" s="173" t="str">
        <f t="shared" si="125"/>
        <v/>
      </c>
      <c r="BG120" s="172"/>
      <c r="BH120" s="172">
        <f t="shared" si="131"/>
        <v>5.0734855784191329E-3</v>
      </c>
      <c r="BI120" s="172">
        <f t="shared" si="132"/>
        <v>5.0734855784191329E-3</v>
      </c>
      <c r="BJ120" s="172">
        <f t="shared" si="133"/>
        <v>5.0734855784191329E-3</v>
      </c>
      <c r="BK120" s="175" t="str">
        <f t="shared" si="126"/>
        <v/>
      </c>
      <c r="BL120" s="257" t="s">
        <v>110</v>
      </c>
      <c r="BM120" s="527">
        <f>E120</f>
        <v>0.45</v>
      </c>
      <c r="BN120" s="377">
        <f>E120</f>
        <v>0.45</v>
      </c>
      <c r="BO120" s="377">
        <f t="shared" si="185"/>
        <v>0.48509999999999998</v>
      </c>
      <c r="BP120" s="377">
        <f t="shared" si="186"/>
        <v>0.50849999999999995</v>
      </c>
      <c r="BQ120" s="377">
        <f t="shared" si="187"/>
        <v>0.50849999999999995</v>
      </c>
      <c r="BR120" s="257" t="s">
        <v>110</v>
      </c>
      <c r="BS120"/>
      <c r="BT120"/>
      <c r="BU120"/>
      <c r="BV120"/>
      <c r="BW120"/>
      <c r="BX120"/>
      <c r="BY120"/>
      <c r="BZ120"/>
      <c r="CA120"/>
      <c r="CB120"/>
      <c r="CC120"/>
      <c r="CD120"/>
      <c r="CE120"/>
      <c r="CF120"/>
    </row>
    <row r="121" spans="1:84" ht="15" outlineLevel="1">
      <c r="A121" s="108" t="s">
        <v>1043</v>
      </c>
      <c r="B121" s="30" t="s">
        <v>380</v>
      </c>
      <c r="C121" s="43" t="s">
        <v>173</v>
      </c>
      <c r="D121" s="43" t="s">
        <v>268</v>
      </c>
      <c r="E121" s="517">
        <f>E84</f>
        <v>0.9</v>
      </c>
      <c r="F121" s="600">
        <v>1</v>
      </c>
      <c r="G121" s="600">
        <v>1</v>
      </c>
      <c r="H121" s="600">
        <f>N121/F121*(1+$D$31)</f>
        <v>0</v>
      </c>
      <c r="I121" s="628">
        <v>1E-3</v>
      </c>
      <c r="J121" s="517"/>
      <c r="K121" s="48"/>
      <c r="L121" s="516">
        <v>0</v>
      </c>
      <c r="M121" s="516">
        <f>IF(C121="","",SUMIFS(Energy_Balance!I$55:I$160,Energy_Balance!$C$55:$C$160,C121,Energy_Balance!$D$55:$D$160,D121)*L121)</f>
        <v>0</v>
      </c>
      <c r="N121" s="516">
        <f t="shared" si="155"/>
        <v>0</v>
      </c>
      <c r="O121" s="25"/>
      <c r="P121" s="377">
        <f t="shared" si="179"/>
        <v>0.9</v>
      </c>
      <c r="Q121" s="377">
        <f t="shared" si="179"/>
        <v>0.97019999999999995</v>
      </c>
      <c r="R121" s="377">
        <f t="shared" si="179"/>
        <v>1.0169999999999999</v>
      </c>
      <c r="S121" s="377">
        <f t="shared" si="179"/>
        <v>1.0169999999999999</v>
      </c>
      <c r="T121" s="208"/>
      <c r="U121" s="50"/>
      <c r="V121" s="50">
        <f t="shared" si="180"/>
        <v>1E-3</v>
      </c>
      <c r="W121" s="50">
        <f t="shared" si="180"/>
        <v>1E-3</v>
      </c>
      <c r="X121" s="50">
        <f>$V$32*W121+(1-$V$32)*Y121</f>
        <v>1E-3</v>
      </c>
      <c r="Y121" s="50">
        <f>IF($G$16=1,AQ121,IF($G$16=2,AQ121,IF($G$16=3,BC121,AQ121)))</f>
        <v>1E-3</v>
      </c>
      <c r="Z121" s="50">
        <f>$V$32*Y121+(1-$V$32)*AA121</f>
        <v>1E-3</v>
      </c>
      <c r="AA121" s="50">
        <f>IF($G$16=1,AR121,IF($G$16=2,AR121,IF($G$16=3,BD121,AR121)))</f>
        <v>1E-3</v>
      </c>
      <c r="AB121" s="50">
        <f>$V$32*AA121+(1-$V$32)*AC121</f>
        <v>1E-3</v>
      </c>
      <c r="AC121" s="50">
        <f>IF($G$16=1,AS121,IF($G$16=2,AS121,IF($G$16=3,BE121,AS121)))</f>
        <v>1E-3</v>
      </c>
      <c r="AD121" s="50"/>
      <c r="AE121" s="50">
        <f>IF($G$16=1,AU121,IF($G$16=2,AU121,IF($G$16=3,#REF!,AU121)))</f>
        <v>-1E-4</v>
      </c>
      <c r="AF121" s="50">
        <f>IF($G$16=1,AV121,IF($G$16=2,AV121,IF($G$16=3,#REF!,AV121)))</f>
        <v>-1E-4</v>
      </c>
      <c r="AG121" s="50">
        <f>$V$32*AF121+(1-$V$32)*AH121</f>
        <v>-1E-4</v>
      </c>
      <c r="AH121" s="50">
        <f>IF($G$16=1,AW121,IF($G$16=2,AW121,IF($G$16=3,BH121,AW121)))</f>
        <v>-1E-4</v>
      </c>
      <c r="AI121" s="50">
        <f>$V$32*AH121+(1-$V$32)*AJ121</f>
        <v>-1E-4</v>
      </c>
      <c r="AJ121" s="50">
        <f>IF($G$16=1,AX121,IF($G$16=2,AX121,IF($G$16=3,BI121,AX121)))</f>
        <v>-1E-4</v>
      </c>
      <c r="AK121" s="50">
        <f>$V$32*AJ121+(1-$V$32)*AL121</f>
        <v>-1E-4</v>
      </c>
      <c r="AL121" s="50">
        <f>IF($G$16=1,AY121,IF($G$16=2,AY121,IF($G$16=3,BJ121,AY121)))</f>
        <v>-1E-4</v>
      </c>
      <c r="AO121" s="140">
        <f>(IFERROR(IF(N121/(SUMIF(RES!$D$39:$D$145,D121,$N$39:$N$145))=1,1,(N121/(SUMIF(RES!$D$39:$D$145,D121,$N$39:$N$145))+$AO$28)),0))</f>
        <v>1E-3</v>
      </c>
      <c r="AP121" s="140">
        <f>AO121</f>
        <v>1E-3</v>
      </c>
      <c r="AQ121" s="140">
        <f>AP121</f>
        <v>1E-3</v>
      </c>
      <c r="AR121" s="140">
        <f t="shared" ref="AR121" si="188">AQ121</f>
        <v>1E-3</v>
      </c>
      <c r="AS121" s="140">
        <f t="shared" ref="AS121" si="189">AR121</f>
        <v>1E-3</v>
      </c>
      <c r="AT121" s="21"/>
      <c r="AU121" s="198">
        <f>(IFERROR(IF($N121/(SUMIF(RES!$D$39:$D$145,$D121,$N$39:$N$145))=1,1,($N121/(SUMIF(RES!$D$39:$D$145,$D121,$N$39:$N$145))-$AU$28)),0))</f>
        <v>-1E-4</v>
      </c>
      <c r="AV121" s="346">
        <f>AU121</f>
        <v>-1E-4</v>
      </c>
      <c r="AW121" s="346">
        <f t="shared" ref="AW121:AY121" si="190">AV121</f>
        <v>-1E-4</v>
      </c>
      <c r="AX121" s="346">
        <f t="shared" si="190"/>
        <v>-1E-4</v>
      </c>
      <c r="AY121" s="346">
        <f t="shared" si="190"/>
        <v>-1E-4</v>
      </c>
      <c r="AZ121" s="125"/>
      <c r="BA121" s="140"/>
      <c r="BB121" s="140">
        <f t="shared" si="127"/>
        <v>1E-3</v>
      </c>
      <c r="BC121" s="140">
        <f t="shared" si="128"/>
        <v>1E-3</v>
      </c>
      <c r="BD121" s="140">
        <f t="shared" si="129"/>
        <v>1E-3</v>
      </c>
      <c r="BE121" s="140">
        <f t="shared" si="130"/>
        <v>1E-3</v>
      </c>
      <c r="BF121" s="21" t="str">
        <f t="shared" ref="BF121:BF144" si="191">IF(AT121="","",AT121)</f>
        <v/>
      </c>
      <c r="BG121" s="172"/>
      <c r="BH121" s="140">
        <f t="shared" si="131"/>
        <v>-1E-4</v>
      </c>
      <c r="BI121" s="140">
        <f t="shared" si="132"/>
        <v>-1E-4</v>
      </c>
      <c r="BJ121" s="140">
        <f t="shared" si="133"/>
        <v>-1E-4</v>
      </c>
      <c r="BK121" s="125" t="str">
        <f t="shared" ref="BK121:BK144" si="192">IF(AZ121="","",AZ121)</f>
        <v/>
      </c>
      <c r="BL121" s="257" t="s">
        <v>110</v>
      </c>
      <c r="BM121" s="527">
        <f>E121</f>
        <v>0.9</v>
      </c>
      <c r="BN121" s="377">
        <f>E121</f>
        <v>0.9</v>
      </c>
      <c r="BO121" s="377">
        <f t="shared" si="185"/>
        <v>0.97019999999999995</v>
      </c>
      <c r="BP121" s="377">
        <f t="shared" si="186"/>
        <v>1.0169999999999999</v>
      </c>
      <c r="BQ121" s="377">
        <f t="shared" si="187"/>
        <v>1.0169999999999999</v>
      </c>
      <c r="BR121" s="257" t="s">
        <v>110</v>
      </c>
    </row>
    <row r="122" spans="1:84" s="195" customFormat="1" ht="15" outlineLevel="1">
      <c r="A122" s="556" t="s">
        <v>974</v>
      </c>
      <c r="B122" s="557"/>
      <c r="C122" s="558"/>
      <c r="D122" s="558"/>
      <c r="E122" s="559" t="str">
        <f>IF(D122="","",IF(COUNTIF(#REF!,$B122)=1,SUMIF(#REF!,RES!B122,#REF!),SUMIF(#REF!,RES!$B122,#REF!)))</f>
        <v/>
      </c>
      <c r="F122" s="559"/>
      <c r="G122" s="559"/>
      <c r="H122" s="559"/>
      <c r="I122" s="629"/>
      <c r="J122" s="559"/>
      <c r="K122" s="560"/>
      <c r="L122" s="561"/>
      <c r="M122" s="561">
        <f>SUM(M117:M121)</f>
        <v>13.159021923631377</v>
      </c>
      <c r="N122" s="561">
        <f>SUM(N117:N121)</f>
        <v>8.0513852091822855</v>
      </c>
      <c r="O122" s="196"/>
      <c r="P122" s="562"/>
      <c r="Q122" s="562"/>
      <c r="R122" s="562"/>
      <c r="S122" s="562"/>
      <c r="T122" s="563"/>
      <c r="U122" s="564"/>
      <c r="V122" s="564">
        <f>IF($G$16=1,AO122,IF($G$16=2,AO122,IF($G$16=3,BB122,AO122)))</f>
        <v>1.0049999999999999</v>
      </c>
      <c r="W122" s="564"/>
      <c r="X122" s="564"/>
      <c r="Y122" s="564"/>
      <c r="Z122" s="564"/>
      <c r="AA122" s="564"/>
      <c r="AB122" s="564"/>
      <c r="AC122" s="564"/>
      <c r="AD122" s="564"/>
      <c r="AE122" s="564">
        <f>IF($G$16=1,AU122,IF($G$16=2,AU122,IF($G$16=3,BH122,AU122)))</f>
        <v>0</v>
      </c>
      <c r="AF122" s="564"/>
      <c r="AG122" s="564"/>
      <c r="AH122" s="564"/>
      <c r="AI122" s="564"/>
      <c r="AJ122" s="564"/>
      <c r="AK122" s="564"/>
      <c r="AL122" s="564"/>
      <c r="AO122" s="573">
        <f>SUM(AO117:AO121)</f>
        <v>1.0049999999999999</v>
      </c>
      <c r="AP122" s="573">
        <f>SUM(AP117:AP121)</f>
        <v>1.0049999999999999</v>
      </c>
      <c r="AQ122" s="573">
        <f>SUM(AQ117:AQ121)</f>
        <v>1.0049999999999999</v>
      </c>
      <c r="AR122" s="573">
        <f>SUM(AR117:AR121)</f>
        <v>1.2030583865071449</v>
      </c>
      <c r="AS122" s="573">
        <f>SUM(AS117:AS121)</f>
        <v>1.2030583865071449</v>
      </c>
      <c r="AT122" s="567"/>
      <c r="AU122" s="570">
        <f>(IFERROR(IF($N122/(SUMIF(RES!$D$39:$D$145,$D122,$N$39:$N$145))=1,1,($N122/(SUMIF(RES!$D$39:$D$145,$D122,$N$39:$N$145))-$AU$28)),0))</f>
        <v>0</v>
      </c>
      <c r="AV122" s="569"/>
      <c r="AW122" s="569"/>
      <c r="AX122" s="569"/>
      <c r="AY122" s="569"/>
      <c r="AZ122" s="568"/>
      <c r="BA122" s="573"/>
      <c r="BB122" s="573">
        <f t="shared" ref="BB122:BB144" si="193">IF(AP122="","",AP122)</f>
        <v>1.0049999999999999</v>
      </c>
      <c r="BC122" s="573">
        <f t="shared" ref="BC122:BC144" si="194">IF(AQ122="","",AQ122)</f>
        <v>1.0049999999999999</v>
      </c>
      <c r="BD122" s="573">
        <f t="shared" ref="BD122:BD144" si="195">IF(AR122="","",AR122)</f>
        <v>1.2030583865071449</v>
      </c>
      <c r="BE122" s="573">
        <f t="shared" ref="BE122:BE144" si="196">IF(AS122="","",AS122)</f>
        <v>1.2030583865071449</v>
      </c>
      <c r="BF122" s="567" t="str">
        <f t="shared" si="191"/>
        <v/>
      </c>
      <c r="BG122" s="569"/>
      <c r="BH122" s="569" t="str">
        <f t="shared" ref="BH122:BH144" si="197">IF(AW122="","",AW122)</f>
        <v/>
      </c>
      <c r="BI122" s="569" t="str">
        <f t="shared" ref="BI122:BI144" si="198">IF(AX122="","",AX122)</f>
        <v/>
      </c>
      <c r="BJ122" s="569" t="str">
        <f t="shared" ref="BJ122:BJ144" si="199">IF(AY122="","",AY122)</f>
        <v/>
      </c>
      <c r="BK122" s="568" t="str">
        <f t="shared" si="192"/>
        <v/>
      </c>
      <c r="BL122" s="567"/>
      <c r="BN122" s="562" t="str">
        <f>IF($BL122="","",($BP122-$BM122)*5/25+$BM122)</f>
        <v/>
      </c>
      <c r="BO122" s="562" t="str">
        <f t="shared" si="185"/>
        <v/>
      </c>
      <c r="BP122" s="562" t="str">
        <f t="shared" si="186"/>
        <v/>
      </c>
      <c r="BQ122" s="562" t="str">
        <f>IF(G122="","",IF(COUNTIF(#REF!,$B122)=1,SUMIF(#REF!,RES!$B122,#REF!),SUMIF(#REF!,RES!$B122,#REF!)))</f>
        <v/>
      </c>
    </row>
    <row r="123" spans="1:84" s="237" customFormat="1" ht="15">
      <c r="A123" s="577" t="s">
        <v>1044</v>
      </c>
      <c r="B123" s="578" t="s">
        <v>334</v>
      </c>
      <c r="C123" s="588"/>
      <c r="D123" s="588"/>
      <c r="E123" s="590" t="str">
        <f>IF(D123="","",IF(COUNTIF(#REF!,$B123)=1,SUMIF(#REF!,RES!B123,#REF!),SUMIF(#REF!,RES!$B123,#REF!)))</f>
        <v/>
      </c>
      <c r="F123" s="590"/>
      <c r="G123" s="590"/>
      <c r="H123" s="590"/>
      <c r="I123" s="630"/>
      <c r="J123" s="590"/>
      <c r="K123" s="579"/>
      <c r="L123" s="592"/>
      <c r="M123" s="592" t="str">
        <f>IF(C123="","",IF(COUNTIF(#REF!,$B123)=1,SUMIF(#REF!,RES!$B123,#REF!),SUMIFS(Energy_Balance!I$160:I$160,Energy_Balance!$C$55:$C$160,C123,Energy_Balance!$D$55:$D$160,D123)*L123))</f>
        <v/>
      </c>
      <c r="N123" s="592"/>
      <c r="O123" s="584"/>
      <c r="P123" s="593"/>
      <c r="Q123" s="593"/>
      <c r="R123" s="593"/>
      <c r="S123" s="593"/>
      <c r="T123" s="594"/>
      <c r="U123" s="595"/>
      <c r="V123" s="595">
        <f>IF($G$16=1,AO123,IF($G$16=2,AO123,IF($G$16=3,BB123,AO123)))</f>
        <v>0</v>
      </c>
      <c r="W123" s="595"/>
      <c r="X123" s="595"/>
      <c r="Y123" s="595"/>
      <c r="Z123" s="595"/>
      <c r="AA123" s="595"/>
      <c r="AB123" s="595"/>
      <c r="AC123" s="595"/>
      <c r="AD123" s="595"/>
      <c r="AE123" s="595">
        <f>IF($G$16=1,AU123,IF($G$16=2,AU123,IF($G$16=3,BH123,AU123)))</f>
        <v>0</v>
      </c>
      <c r="AF123" s="595"/>
      <c r="AG123" s="595"/>
      <c r="AH123" s="595"/>
      <c r="AI123" s="595"/>
      <c r="AJ123" s="595"/>
      <c r="AK123" s="595"/>
      <c r="AL123" s="595"/>
      <c r="AO123" s="596"/>
      <c r="AP123" s="596"/>
      <c r="AQ123" s="596"/>
      <c r="AR123" s="596"/>
      <c r="AS123" s="596"/>
      <c r="AT123" s="586"/>
      <c r="AU123" s="598">
        <f>(IFERROR(IF($N123/(SUMIF(RES!$D$39:$D$145,$D123,$N$39:$N$145))=1,1,($N123/(SUMIF(RES!$D$39:$D$145,$D123,$N$39:$N$145))-$AU$28)),0))</f>
        <v>0</v>
      </c>
      <c r="AV123" s="596"/>
      <c r="AW123" s="596"/>
      <c r="AX123" s="596"/>
      <c r="AY123" s="596"/>
      <c r="AZ123" s="587"/>
      <c r="BA123" s="596"/>
      <c r="BB123" s="596" t="str">
        <f t="shared" si="193"/>
        <v/>
      </c>
      <c r="BC123" s="596" t="str">
        <f t="shared" si="194"/>
        <v/>
      </c>
      <c r="BD123" s="596" t="str">
        <f t="shared" si="195"/>
        <v/>
      </c>
      <c r="BE123" s="596" t="str">
        <f t="shared" si="196"/>
        <v/>
      </c>
      <c r="BF123" s="586" t="str">
        <f t="shared" si="191"/>
        <v/>
      </c>
      <c r="BG123" s="596"/>
      <c r="BH123" s="596" t="str">
        <f t="shared" si="197"/>
        <v/>
      </c>
      <c r="BI123" s="596" t="str">
        <f t="shared" si="198"/>
        <v/>
      </c>
      <c r="BJ123" s="596" t="str">
        <f t="shared" si="199"/>
        <v/>
      </c>
      <c r="BK123" s="587" t="str">
        <f t="shared" si="192"/>
        <v/>
      </c>
      <c r="BL123" s="586"/>
      <c r="BN123" s="593" t="str">
        <f>IF($BL123="","",($BP123-$BM123)*5/25+$BM123)</f>
        <v/>
      </c>
      <c r="BO123" s="593" t="str">
        <f t="shared" si="185"/>
        <v/>
      </c>
      <c r="BP123" s="593" t="str">
        <f t="shared" si="186"/>
        <v/>
      </c>
      <c r="BQ123" s="593" t="str">
        <f>IF(G123="","",IF(COUNTIF(#REF!,$B123)=1,SUMIF(#REF!,RES!$B123,#REF!),SUMIF(#REF!,RES!$B123,#REF!)))</f>
        <v/>
      </c>
    </row>
    <row r="124" spans="1:84" s="169" customFormat="1" ht="15.35" outlineLevel="1">
      <c r="A124" s="108" t="s">
        <v>1045</v>
      </c>
      <c r="B124" s="30" t="s">
        <v>381</v>
      </c>
      <c r="C124" s="43" t="s">
        <v>242</v>
      </c>
      <c r="D124" s="43" t="s">
        <v>252</v>
      </c>
      <c r="E124" s="525">
        <f>INDEX('Electrical efficiency'!$L$8:$L$23,MATCH(RES!D124,'Electrical efficiency'!$K$8:$K$23,0))</f>
        <v>0.97249999999999992</v>
      </c>
      <c r="F124" s="600">
        <v>1</v>
      </c>
      <c r="G124" s="600">
        <v>1</v>
      </c>
      <c r="H124" s="600">
        <f t="shared" ref="H124:H129" si="200">N124/F124*(1+$D$31)</f>
        <v>2.5860444961698406</v>
      </c>
      <c r="I124" s="628">
        <v>1E-3</v>
      </c>
      <c r="J124" s="517"/>
      <c r="K124" s="48" t="s">
        <v>931</v>
      </c>
      <c r="L124" s="516">
        <v>1</v>
      </c>
      <c r="M124" s="516">
        <f>IF(C124="","",SUMIFS(Energy_Balance!I$55:I$160,Energy_Balance!$C$55:$C$160,C124,Energy_Balance!$D$55:$D$160,D124)*L124)</f>
        <v>2.6591717184265713</v>
      </c>
      <c r="N124" s="516">
        <f t="shared" si="155"/>
        <v>2.5860444961698406</v>
      </c>
      <c r="O124" s="25"/>
      <c r="P124" s="377">
        <f t="shared" ref="P124:S129" si="201">IF($G$16=0,BN124,IF($G$16=1,BS124,IF($G$16=2,BX124,IF($G$16=3,BN124,IF($G$16=4,BS124,"NA")))))</f>
        <v>0.97249999999999992</v>
      </c>
      <c r="Q124" s="377">
        <f t="shared" si="201"/>
        <v>0.97249999999999992</v>
      </c>
      <c r="R124" s="377">
        <f t="shared" si="201"/>
        <v>0.97249999999999992</v>
      </c>
      <c r="S124" s="377">
        <f t="shared" si="201"/>
        <v>0.97249999999999992</v>
      </c>
      <c r="T124" s="208"/>
      <c r="U124" s="50"/>
      <c r="V124" s="50">
        <f t="shared" ref="V124:W129" si="202">IF($G$16=1,AO124,IF($G$16=2,AO124,IF($G$16=3,BA124,AO124)))</f>
        <v>0.49611377469296436</v>
      </c>
      <c r="W124" s="50">
        <f t="shared" si="202"/>
        <v>0.49611377469296436</v>
      </c>
      <c r="X124" s="50">
        <f t="shared" ref="X124:X129" si="203">$V$32*W124+(1-$V$32)*Y124</f>
        <v>0.49611377469296436</v>
      </c>
      <c r="Y124" s="50">
        <f t="shared" ref="Y124:Y129" si="204">IF($G$16=1,AQ124,IF($G$16=2,AQ124,IF($G$16=3,BC124,AQ124)))</f>
        <v>0.49611377469296436</v>
      </c>
      <c r="Z124" s="50">
        <f t="shared" ref="Z124:Z129" si="205">$V$32*Y124+(1-$V$32)*AA124</f>
        <v>0.6775711091831027</v>
      </c>
      <c r="AA124" s="50">
        <f t="shared" ref="AA124:AA129" si="206">IF($G$16=1,AR124,IF($G$16=2,AR124,IF($G$16=3,BD124,AR124)))</f>
        <v>0.98</v>
      </c>
      <c r="AB124" s="50">
        <f t="shared" ref="AB124:AB129" si="207">$V$32*AA124+(1-$V$32)*AC124</f>
        <v>0.98</v>
      </c>
      <c r="AC124" s="50">
        <f t="shared" ref="AC124:AC129" si="208">IF($G$16=1,AS124,IF($G$16=2,AS124,IF($G$16=3,BE124,AS124)))</f>
        <v>0.98</v>
      </c>
      <c r="AD124" s="50"/>
      <c r="AE124" s="50">
        <f>IF($G$16=1,AU124,IF($G$16=2,AU124,IF($G$16=3,#REF!,AU124)))</f>
        <v>0.49501377469296437</v>
      </c>
      <c r="AF124" s="50">
        <f>IF($G$16=1,AV124,IF($G$16=2,AV124,IF($G$16=3,#REF!,AV124)))</f>
        <v>0.49501377469296437</v>
      </c>
      <c r="AG124" s="50">
        <f t="shared" ref="AG124:AG129" si="209">$V$32*AF124+(1-$V$32)*AH124</f>
        <v>0.49501377469296437</v>
      </c>
      <c r="AH124" s="50">
        <f t="shared" ref="AH124:AH129" si="210">IF($G$16=1,AW124,IF($G$16=2,AW124,IF($G$16=3,BH124,AW124)))</f>
        <v>0.49501377469296437</v>
      </c>
      <c r="AI124" s="50">
        <f t="shared" ref="AI124:AI129" si="211">$V$32*AH124+(1-$V$32)*AJ124</f>
        <v>0.49501377469296437</v>
      </c>
      <c r="AJ124" s="50">
        <f t="shared" ref="AJ124:AJ129" si="212">IF($G$16=1,AX124,IF($G$16=2,AX124,IF($G$16=3,BI124,AX124)))</f>
        <v>0.49501377469296437</v>
      </c>
      <c r="AK124" s="50">
        <f t="shared" ref="AK124:AK129" si="213">$V$32*AJ124+(1-$V$32)*AL124</f>
        <v>0.49501377469296437</v>
      </c>
      <c r="AL124" s="50">
        <f t="shared" ref="AL124:AL129" si="214">IF($G$16=1,AY124,IF($G$16=2,AY124,IF($G$16=3,BJ124,AY124)))</f>
        <v>0.49501377469296437</v>
      </c>
      <c r="AM124"/>
      <c r="AN124" s="126">
        <f t="shared" ref="AN124:AN129" si="215">H124/SUM($H$124:$H$129)</f>
        <v>0.49511377469296436</v>
      </c>
      <c r="AO124" s="140">
        <f>(IFERROR(IF(N124/(SUMIF(RES!$D$39:$D$145,D124,$N$39:$N$145))=1,1,(N124/(SUMIF(RES!$D$39:$D$145,D124,$N$39:$N$145))+$AO$28)),0))</f>
        <v>0.49611377469296436</v>
      </c>
      <c r="AP124" s="297">
        <f>AO124</f>
        <v>0.49611377469296436</v>
      </c>
      <c r="AQ124" s="297">
        <f>AP124</f>
        <v>0.49611377469296436</v>
      </c>
      <c r="AR124" s="459">
        <v>0.98</v>
      </c>
      <c r="AS124" s="459">
        <v>0.98</v>
      </c>
      <c r="AT124" s="632"/>
      <c r="AU124" s="296">
        <f>(IFERROR(IF($N124/(SUMIF(RES!$D$39:$D$145,$D124,$N$39:$N$145))=1,1,($N124/(SUMIF(RES!$D$39:$D$145,$D124,$N$39:$N$145))-$AU$28)),0))</f>
        <v>0.49501377469296437</v>
      </c>
      <c r="AV124" s="296">
        <f t="shared" ref="AV124:AV129" si="216">AU124</f>
        <v>0.49501377469296437</v>
      </c>
      <c r="AW124" s="296">
        <f t="shared" ref="AW124:AY124" si="217">AV124</f>
        <v>0.49501377469296437</v>
      </c>
      <c r="AX124" s="296">
        <f t="shared" si="217"/>
        <v>0.49501377469296437</v>
      </c>
      <c r="AY124" s="296">
        <f t="shared" si="217"/>
        <v>0.49501377469296437</v>
      </c>
      <c r="AZ124" s="175"/>
      <c r="BA124" s="172"/>
      <c r="BB124" s="172">
        <f t="shared" si="193"/>
        <v>0.49611377469296436</v>
      </c>
      <c r="BC124" s="172">
        <f t="shared" si="194"/>
        <v>0.49611377469296436</v>
      </c>
      <c r="BD124" s="172">
        <f t="shared" si="195"/>
        <v>0.98</v>
      </c>
      <c r="BE124" s="172">
        <f t="shared" si="196"/>
        <v>0.98</v>
      </c>
      <c r="BF124" s="173" t="str">
        <f t="shared" si="191"/>
        <v/>
      </c>
      <c r="BG124" s="172"/>
      <c r="BH124" s="172">
        <f t="shared" si="197"/>
        <v>0.49501377469296437</v>
      </c>
      <c r="BI124" s="172">
        <f t="shared" si="198"/>
        <v>0.49501377469296437</v>
      </c>
      <c r="BJ124" s="172">
        <f t="shared" si="199"/>
        <v>0.49501377469296437</v>
      </c>
      <c r="BK124" s="175" t="str">
        <f t="shared" si="192"/>
        <v/>
      </c>
      <c r="BL124" s="257" t="s">
        <v>110</v>
      </c>
      <c r="BM124" s="527">
        <f t="shared" ref="BM124:BM129" si="218">E124</f>
        <v>0.97249999999999992</v>
      </c>
      <c r="BN124" s="377">
        <f>INDEX('Electrical efficiency'!$M$8:$M$23,MATCH(RES!D124,'Electrical efficiency'!$K$8:$K$23,0))</f>
        <v>0.97249999999999992</v>
      </c>
      <c r="BO124" s="377">
        <f>INDEX('Electrical efficiency'!$N$8:$N$23,MATCH(RES!D124,'Electrical efficiency'!$K$8:$K$23,0))</f>
        <v>0.97249999999999992</v>
      </c>
      <c r="BP124" s="377">
        <f>INDEX('Electrical efficiency'!$O$8:$O$23,MATCH(RES!D124,'Electrical efficiency'!$K$8:$K$23,0))</f>
        <v>0.97249999999999992</v>
      </c>
      <c r="BQ124" s="377">
        <f>INDEX('Electrical efficiency'!$P$8:$P$23,MATCH(RES!D124,'Electrical efficiency'!$K$8:$K$23,0))</f>
        <v>0.97249999999999992</v>
      </c>
      <c r="BR124" s="257" t="s">
        <v>110</v>
      </c>
      <c r="BS124"/>
      <c r="BT124"/>
      <c r="BU124"/>
      <c r="BV124"/>
      <c r="BW124"/>
      <c r="BX124"/>
      <c r="BY124"/>
      <c r="BZ124"/>
      <c r="CA124"/>
      <c r="CB124"/>
      <c r="CC124"/>
      <c r="CD124"/>
      <c r="CE124"/>
      <c r="CF124"/>
    </row>
    <row r="125" spans="1:84" ht="15.35" outlineLevel="1">
      <c r="A125" s="108" t="s">
        <v>1046</v>
      </c>
      <c r="B125" s="30" t="s">
        <v>382</v>
      </c>
      <c r="C125" s="43" t="s">
        <v>244</v>
      </c>
      <c r="D125" s="43" t="s">
        <v>252</v>
      </c>
      <c r="E125" s="517">
        <v>0.73</v>
      </c>
      <c r="F125" s="600">
        <v>1</v>
      </c>
      <c r="G125" s="600">
        <v>1</v>
      </c>
      <c r="H125" s="600">
        <f t="shared" si="200"/>
        <v>1.8604840393153063E-2</v>
      </c>
      <c r="I125" s="628">
        <v>1E-3</v>
      </c>
      <c r="J125" s="517"/>
      <c r="K125" s="48"/>
      <c r="L125" s="516">
        <v>1</v>
      </c>
      <c r="M125" s="516">
        <f>IF(C125="","",SUMIFS(Energy_Balance!I$55:I$160,Energy_Balance!$C$55:$C$160,C125,Energy_Balance!$D$55:$D$160,D125)*L125)</f>
        <v>2.5486082730346662E-2</v>
      </c>
      <c r="N125" s="516">
        <f t="shared" si="155"/>
        <v>1.8604840393153063E-2</v>
      </c>
      <c r="O125" s="25"/>
      <c r="P125" s="377">
        <f t="shared" si="201"/>
        <v>0.73</v>
      </c>
      <c r="Q125" s="377">
        <f t="shared" si="201"/>
        <v>0.73</v>
      </c>
      <c r="R125" s="377">
        <f t="shared" si="201"/>
        <v>0.73</v>
      </c>
      <c r="S125" s="377">
        <f t="shared" si="201"/>
        <v>0.73</v>
      </c>
      <c r="T125" s="208"/>
      <c r="U125" s="50"/>
      <c r="V125" s="50">
        <f t="shared" si="202"/>
        <v>4.562008607453278E-3</v>
      </c>
      <c r="W125" s="50">
        <f t="shared" si="202"/>
        <v>4.562008607453278E-3</v>
      </c>
      <c r="X125" s="50">
        <f t="shared" si="203"/>
        <v>4.562008607453278E-3</v>
      </c>
      <c r="Y125" s="50">
        <f t="shared" si="204"/>
        <v>4.562008607453278E-3</v>
      </c>
      <c r="Z125" s="50">
        <f t="shared" si="205"/>
        <v>4.562008607453278E-3</v>
      </c>
      <c r="AA125" s="50">
        <f t="shared" si="206"/>
        <v>4.562008607453278E-3</v>
      </c>
      <c r="AB125" s="50">
        <f t="shared" si="207"/>
        <v>4.562008607453278E-3</v>
      </c>
      <c r="AC125" s="50">
        <f t="shared" si="208"/>
        <v>4.562008607453278E-3</v>
      </c>
      <c r="AD125" s="50"/>
      <c r="AE125" s="50">
        <f>IF($G$16=1,AU125,IF($G$16=2,AU125,IF($G$16=3,#REF!,AU125)))</f>
        <v>3.4620086074532781E-3</v>
      </c>
      <c r="AF125" s="50">
        <f>IF($G$16=1,AV125,IF($G$16=2,AV125,IF($G$16=3,#REF!,AV125)))</f>
        <v>3.4620086074532781E-3</v>
      </c>
      <c r="AG125" s="50">
        <f t="shared" si="209"/>
        <v>3.4620086074532786E-3</v>
      </c>
      <c r="AH125" s="50">
        <f t="shared" si="210"/>
        <v>3.4620086074532781E-3</v>
      </c>
      <c r="AI125" s="50">
        <f t="shared" si="211"/>
        <v>2.163755379658299E-3</v>
      </c>
      <c r="AJ125" s="50">
        <f t="shared" si="212"/>
        <v>0</v>
      </c>
      <c r="AK125" s="50">
        <f t="shared" si="213"/>
        <v>0</v>
      </c>
      <c r="AL125" s="50">
        <f t="shared" si="214"/>
        <v>0</v>
      </c>
      <c r="AN125" s="126">
        <f t="shared" si="215"/>
        <v>3.562008607453278E-3</v>
      </c>
      <c r="AO125" s="374">
        <f>(IFERROR(IF(N125/(SUMIF(RES!$D$39:$D$145,D125,$N$39:$N$145))=1,1,(N125/(SUMIF(RES!$D$39:$D$145,D125,$N$39:$N$145))+$AO$28)),0))</f>
        <v>4.562008607453278E-3</v>
      </c>
      <c r="AP125" s="297">
        <f t="shared" ref="AP125:AQ129" si="219">AO125</f>
        <v>4.562008607453278E-3</v>
      </c>
      <c r="AQ125" s="297">
        <f t="shared" si="219"/>
        <v>4.562008607453278E-3</v>
      </c>
      <c r="AR125" s="297">
        <f t="shared" ref="AR125:AR129" si="220">AQ125</f>
        <v>4.562008607453278E-3</v>
      </c>
      <c r="AS125" s="297">
        <f t="shared" ref="AS125:AS129" si="221">AR125</f>
        <v>4.562008607453278E-3</v>
      </c>
      <c r="AT125" s="633"/>
      <c r="AU125" s="296">
        <f>(IFERROR(IF($N125/(SUMIF(RES!$D$39:$D$145,$D125,$N$39:$N$145))=1,1,($N125/(SUMIF(RES!$D$39:$D$145,$D125,$N$39:$N$145))-$AU$28)),0))</f>
        <v>3.4620086074532781E-3</v>
      </c>
      <c r="AV125" s="634">
        <f t="shared" si="216"/>
        <v>3.4620086074532781E-3</v>
      </c>
      <c r="AW125" s="634">
        <f t="shared" ref="AW125:AY129" si="222">AV125</f>
        <v>3.4620086074532781E-3</v>
      </c>
      <c r="AX125" s="635">
        <v>0</v>
      </c>
      <c r="AY125" s="635">
        <v>0</v>
      </c>
      <c r="AZ125" s="125"/>
      <c r="BA125" s="140"/>
      <c r="BB125" s="297">
        <f t="shared" si="193"/>
        <v>4.562008607453278E-3</v>
      </c>
      <c r="BC125" s="297">
        <f t="shared" si="194"/>
        <v>4.562008607453278E-3</v>
      </c>
      <c r="BD125" s="297">
        <f t="shared" si="195"/>
        <v>4.562008607453278E-3</v>
      </c>
      <c r="BE125" s="297">
        <f t="shared" si="196"/>
        <v>4.562008607453278E-3</v>
      </c>
      <c r="BF125" s="21" t="str">
        <f t="shared" si="191"/>
        <v/>
      </c>
      <c r="BG125" s="172"/>
      <c r="BH125" s="140">
        <f t="shared" si="197"/>
        <v>3.4620086074532781E-3</v>
      </c>
      <c r="BI125" s="140">
        <f t="shared" si="198"/>
        <v>0</v>
      </c>
      <c r="BJ125" s="140">
        <f t="shared" si="199"/>
        <v>0</v>
      </c>
      <c r="BK125" s="125" t="str">
        <f t="shared" si="192"/>
        <v/>
      </c>
      <c r="BL125" s="21" t="s">
        <v>517</v>
      </c>
      <c r="BM125" s="527">
        <f t="shared" si="218"/>
        <v>0.73</v>
      </c>
      <c r="BN125" s="377">
        <f>E125</f>
        <v>0.73</v>
      </c>
      <c r="BO125" s="377">
        <f t="shared" ref="BO125:BO139" si="223">IF($BL125="","",($BP125-$BM125)*15/25+$BM125)</f>
        <v>0.73</v>
      </c>
      <c r="BP125" s="377">
        <f t="shared" ref="BP125:BP139" si="224">IF($BL125="","",IF($BL125="*",$BM125*(1+$BN$29),E125))</f>
        <v>0.73</v>
      </c>
      <c r="BQ125" s="377">
        <f t="shared" ref="BQ125:BQ129" si="225">BP125</f>
        <v>0.73</v>
      </c>
      <c r="BR125" t="s">
        <v>517</v>
      </c>
    </row>
    <row r="126" spans="1:84" ht="15" outlineLevel="1">
      <c r="A126" s="108" t="s">
        <v>1047</v>
      </c>
      <c r="B126" s="30" t="s">
        <v>383</v>
      </c>
      <c r="C126" s="43" t="s">
        <v>245</v>
      </c>
      <c r="D126" s="43" t="s">
        <v>252</v>
      </c>
      <c r="E126" s="517">
        <v>0.59</v>
      </c>
      <c r="F126" s="600">
        <v>1</v>
      </c>
      <c r="G126" s="600">
        <v>1</v>
      </c>
      <c r="H126" s="600">
        <f t="shared" si="200"/>
        <v>0.14468092216517153</v>
      </c>
      <c r="I126" s="628">
        <v>1E-3</v>
      </c>
      <c r="J126" s="517"/>
      <c r="K126" s="48"/>
      <c r="L126" s="516">
        <v>1</v>
      </c>
      <c r="M126" s="516">
        <f>IF(C126="","",SUMIFS(Energy_Balance!I$55:I$160,Energy_Balance!$C$55:$C$160,C126,Energy_Balance!$D$55:$D$160,D126)*L126)</f>
        <v>0.24522190197486701</v>
      </c>
      <c r="N126" s="516">
        <f t="shared" si="155"/>
        <v>0.14468092216517153</v>
      </c>
      <c r="O126" s="25"/>
      <c r="P126" s="377">
        <f t="shared" si="201"/>
        <v>0.59</v>
      </c>
      <c r="Q126" s="377">
        <f t="shared" si="201"/>
        <v>0.59</v>
      </c>
      <c r="R126" s="377">
        <f t="shared" si="201"/>
        <v>0.59</v>
      </c>
      <c r="S126" s="377">
        <f t="shared" si="201"/>
        <v>0.59</v>
      </c>
      <c r="T126" s="208"/>
      <c r="U126" s="50"/>
      <c r="V126" s="50">
        <f t="shared" si="202"/>
        <v>2.8700032851465856E-2</v>
      </c>
      <c r="W126" s="50">
        <f t="shared" si="202"/>
        <v>2.8700032851465856E-2</v>
      </c>
      <c r="X126" s="50">
        <f t="shared" si="203"/>
        <v>2.8700032851465856E-2</v>
      </c>
      <c r="Y126" s="50">
        <f t="shared" si="204"/>
        <v>2.8700032851465856E-2</v>
      </c>
      <c r="Z126" s="50">
        <f t="shared" si="205"/>
        <v>2.8700032851465856E-2</v>
      </c>
      <c r="AA126" s="50">
        <f t="shared" si="206"/>
        <v>2.8700032851465856E-2</v>
      </c>
      <c r="AB126" s="50">
        <f t="shared" si="207"/>
        <v>2.8700032851465856E-2</v>
      </c>
      <c r="AC126" s="50">
        <f t="shared" si="208"/>
        <v>2.8700032851465856E-2</v>
      </c>
      <c r="AD126" s="50"/>
      <c r="AE126" s="50">
        <f>IF($G$16=1,AU126,IF($G$16=2,AU126,IF($G$16=3,#REF!,AU126)))</f>
        <v>2.7600032851465856E-2</v>
      </c>
      <c r="AF126" s="50">
        <f>IF($G$16=1,AV126,IF($G$16=2,AV126,IF($G$16=3,#REF!,AV126)))</f>
        <v>2.7600032851465856E-2</v>
      </c>
      <c r="AG126" s="50">
        <f t="shared" si="209"/>
        <v>2.7600032851465856E-2</v>
      </c>
      <c r="AH126" s="50">
        <f t="shared" si="210"/>
        <v>2.7600032851465856E-2</v>
      </c>
      <c r="AI126" s="50">
        <f t="shared" si="211"/>
        <v>2.7600032851465856E-2</v>
      </c>
      <c r="AJ126" s="50">
        <f t="shared" si="212"/>
        <v>2.7600032851465856E-2</v>
      </c>
      <c r="AK126" s="50">
        <f t="shared" si="213"/>
        <v>2.7600032851465856E-2</v>
      </c>
      <c r="AL126" s="50">
        <f t="shared" si="214"/>
        <v>2.7600032851465856E-2</v>
      </c>
      <c r="AN126" s="126">
        <f t="shared" si="215"/>
        <v>2.7700032851465856E-2</v>
      </c>
      <c r="AO126" s="140">
        <f>(IFERROR(IF(N126/(SUMIF(RES!$D$39:$D$145,D126,$N$39:$N$145))=1,1,(N126/(SUMIF(RES!$D$39:$D$145,D126,$N$39:$N$145))+$AO$28)),0))</f>
        <v>2.8700032851465856E-2</v>
      </c>
      <c r="AP126" s="297">
        <f t="shared" si="219"/>
        <v>2.8700032851465856E-2</v>
      </c>
      <c r="AQ126" s="297">
        <f t="shared" si="219"/>
        <v>2.8700032851465856E-2</v>
      </c>
      <c r="AR126" s="297">
        <f t="shared" si="220"/>
        <v>2.8700032851465856E-2</v>
      </c>
      <c r="AS126" s="297">
        <f t="shared" si="221"/>
        <v>2.8700032851465856E-2</v>
      </c>
      <c r="AT126" s="633"/>
      <c r="AU126" s="296">
        <f>(IFERROR(IF($N126/(SUMIF(RES!$D$39:$D$145,$D126,$N$39:$N$145))=1,1,($N126/(SUMIF(RES!$D$39:$D$145,$D126,$N$39:$N$145))-$AU$28)),0))</f>
        <v>2.7600032851465856E-2</v>
      </c>
      <c r="AV126" s="634">
        <f t="shared" si="216"/>
        <v>2.7600032851465856E-2</v>
      </c>
      <c r="AW126" s="634">
        <f t="shared" si="222"/>
        <v>2.7600032851465856E-2</v>
      </c>
      <c r="AX126" s="634">
        <f t="shared" si="222"/>
        <v>2.7600032851465856E-2</v>
      </c>
      <c r="AY126" s="634">
        <f t="shared" si="222"/>
        <v>2.7600032851465856E-2</v>
      </c>
      <c r="AZ126" s="125"/>
      <c r="BA126" s="140"/>
      <c r="BB126" s="297">
        <f t="shared" si="193"/>
        <v>2.8700032851465856E-2</v>
      </c>
      <c r="BC126" s="297">
        <f t="shared" si="194"/>
        <v>2.8700032851465856E-2</v>
      </c>
      <c r="BD126" s="297">
        <f t="shared" si="195"/>
        <v>2.8700032851465856E-2</v>
      </c>
      <c r="BE126" s="297">
        <f t="shared" si="196"/>
        <v>2.8700032851465856E-2</v>
      </c>
      <c r="BF126" s="21" t="str">
        <f t="shared" si="191"/>
        <v/>
      </c>
      <c r="BG126" s="172"/>
      <c r="BH126" s="140">
        <f t="shared" si="197"/>
        <v>2.7600032851465856E-2</v>
      </c>
      <c r="BI126" s="140">
        <f t="shared" si="198"/>
        <v>2.7600032851465856E-2</v>
      </c>
      <c r="BJ126" s="140">
        <f t="shared" si="199"/>
        <v>2.7600032851465856E-2</v>
      </c>
      <c r="BK126" s="125" t="str">
        <f t="shared" si="192"/>
        <v/>
      </c>
      <c r="BL126" s="21" t="s">
        <v>517</v>
      </c>
      <c r="BM126" s="527">
        <f t="shared" si="218"/>
        <v>0.59</v>
      </c>
      <c r="BN126" s="377">
        <f>E126</f>
        <v>0.59</v>
      </c>
      <c r="BO126" s="377">
        <f t="shared" si="223"/>
        <v>0.59</v>
      </c>
      <c r="BP126" s="377">
        <f t="shared" si="224"/>
        <v>0.59</v>
      </c>
      <c r="BQ126" s="377">
        <f t="shared" si="225"/>
        <v>0.59</v>
      </c>
      <c r="BR126" t="s">
        <v>517</v>
      </c>
    </row>
    <row r="127" spans="1:84" ht="15.35" outlineLevel="1">
      <c r="A127" s="108" t="s">
        <v>1048</v>
      </c>
      <c r="B127" s="30" t="s">
        <v>384</v>
      </c>
      <c r="C127" s="43" t="s">
        <v>246</v>
      </c>
      <c r="D127" s="43" t="s">
        <v>252</v>
      </c>
      <c r="E127" s="517">
        <v>0.59</v>
      </c>
      <c r="F127" s="600">
        <v>1</v>
      </c>
      <c r="G127" s="600">
        <v>1</v>
      </c>
      <c r="H127" s="600">
        <f t="shared" si="200"/>
        <v>0.73037386932638193</v>
      </c>
      <c r="I127" s="628">
        <v>1E-3</v>
      </c>
      <c r="J127" s="517"/>
      <c r="K127" s="48"/>
      <c r="L127" s="516">
        <v>1</v>
      </c>
      <c r="M127" s="516">
        <f>IF(C127="","",SUMIFS(Energy_Balance!I$55:I$160,Energy_Balance!$C$55:$C$160,C127,Energy_Balance!$D$55:$D$160,D127)*L127)</f>
        <v>1.2379218124175966</v>
      </c>
      <c r="N127" s="516">
        <f t="shared" si="155"/>
        <v>0.73037386932638193</v>
      </c>
      <c r="O127" s="25"/>
      <c r="P127" s="377">
        <f t="shared" si="201"/>
        <v>0.59</v>
      </c>
      <c r="Q127" s="377">
        <f t="shared" si="201"/>
        <v>0.59</v>
      </c>
      <c r="R127" s="377">
        <f t="shared" si="201"/>
        <v>0.59</v>
      </c>
      <c r="S127" s="377">
        <f t="shared" si="201"/>
        <v>0.59</v>
      </c>
      <c r="T127" s="208"/>
      <c r="U127" s="50"/>
      <c r="V127" s="50">
        <f t="shared" si="202"/>
        <v>0.14083447071961799</v>
      </c>
      <c r="W127" s="50">
        <f t="shared" si="202"/>
        <v>0.14083447071961799</v>
      </c>
      <c r="X127" s="50">
        <f t="shared" si="203"/>
        <v>0.14083447071961799</v>
      </c>
      <c r="Y127" s="50">
        <f t="shared" si="204"/>
        <v>0.14083447071961799</v>
      </c>
      <c r="Z127" s="50">
        <f t="shared" si="205"/>
        <v>0.14083447071961799</v>
      </c>
      <c r="AA127" s="50">
        <f t="shared" si="206"/>
        <v>0.14083447071961799</v>
      </c>
      <c r="AB127" s="50">
        <f t="shared" si="207"/>
        <v>0.14083447071961799</v>
      </c>
      <c r="AC127" s="50">
        <f t="shared" si="208"/>
        <v>0.14083447071961799</v>
      </c>
      <c r="AD127" s="50"/>
      <c r="AE127" s="50">
        <f>IF($G$16=1,AU127,IF($G$16=2,AU127,IF($G$16=3,#REF!,AU127)))</f>
        <v>0.139734470719618</v>
      </c>
      <c r="AF127" s="50">
        <f>IF($G$16=1,AV127,IF($G$16=2,AV127,IF($G$16=3,#REF!,AV127)))</f>
        <v>0.139734470719618</v>
      </c>
      <c r="AG127" s="50">
        <f t="shared" si="209"/>
        <v>0.139734470719618</v>
      </c>
      <c r="AH127" s="50">
        <f t="shared" si="210"/>
        <v>0.139734470719618</v>
      </c>
      <c r="AI127" s="50">
        <f t="shared" si="211"/>
        <v>8.7334044199761249E-2</v>
      </c>
      <c r="AJ127" s="50">
        <f t="shared" si="212"/>
        <v>0</v>
      </c>
      <c r="AK127" s="50">
        <f t="shared" si="213"/>
        <v>0</v>
      </c>
      <c r="AL127" s="50">
        <f t="shared" si="214"/>
        <v>0</v>
      </c>
      <c r="AN127" s="126">
        <f t="shared" si="215"/>
        <v>0.13983447071961799</v>
      </c>
      <c r="AO127" s="140">
        <f>(IFERROR(IF(N127/(SUMIF(RES!$D$39:$D$145,D127,$N$39:$N$145))=1,1,(N127/(SUMIF(RES!$D$39:$D$145,D127,$N$39:$N$145))+$AO$28)),0))</f>
        <v>0.14083447071961799</v>
      </c>
      <c r="AP127" s="297">
        <f t="shared" si="219"/>
        <v>0.14083447071961799</v>
      </c>
      <c r="AQ127" s="297">
        <f t="shared" si="219"/>
        <v>0.14083447071961799</v>
      </c>
      <c r="AR127" s="297">
        <f t="shared" si="220"/>
        <v>0.14083447071961799</v>
      </c>
      <c r="AS127" s="297">
        <f t="shared" si="221"/>
        <v>0.14083447071961799</v>
      </c>
      <c r="AT127" s="633"/>
      <c r="AU127" s="296">
        <f>(IFERROR(IF($N127/(SUMIF(RES!$D$39:$D$145,$D127,$N$39:$N$145))=1,1,($N127/(SUMIF(RES!$D$39:$D$145,$D127,$N$39:$N$145))-$AU$28)),0))</f>
        <v>0.139734470719618</v>
      </c>
      <c r="AV127" s="634">
        <f t="shared" si="216"/>
        <v>0.139734470719618</v>
      </c>
      <c r="AW127" s="634">
        <f t="shared" si="222"/>
        <v>0.139734470719618</v>
      </c>
      <c r="AX127" s="635">
        <v>0</v>
      </c>
      <c r="AY127" s="635">
        <v>0</v>
      </c>
      <c r="AZ127" s="125"/>
      <c r="BA127" s="140"/>
      <c r="BB127" s="297">
        <f t="shared" si="193"/>
        <v>0.14083447071961799</v>
      </c>
      <c r="BC127" s="297">
        <f t="shared" si="194"/>
        <v>0.14083447071961799</v>
      </c>
      <c r="BD127" s="297">
        <f t="shared" si="195"/>
        <v>0.14083447071961799</v>
      </c>
      <c r="BE127" s="297">
        <f t="shared" si="196"/>
        <v>0.14083447071961799</v>
      </c>
      <c r="BF127" s="21" t="str">
        <f t="shared" si="191"/>
        <v/>
      </c>
      <c r="BG127" s="172"/>
      <c r="BH127" s="140">
        <f t="shared" si="197"/>
        <v>0.139734470719618</v>
      </c>
      <c r="BI127" s="140">
        <f t="shared" si="198"/>
        <v>0</v>
      </c>
      <c r="BJ127" s="140">
        <f t="shared" si="199"/>
        <v>0</v>
      </c>
      <c r="BK127" s="125" t="str">
        <f t="shared" si="192"/>
        <v/>
      </c>
      <c r="BL127" s="21" t="s">
        <v>517</v>
      </c>
      <c r="BM127" s="527">
        <f t="shared" si="218"/>
        <v>0.59</v>
      </c>
      <c r="BN127" s="377">
        <f>E127</f>
        <v>0.59</v>
      </c>
      <c r="BO127" s="377">
        <f t="shared" si="223"/>
        <v>0.59</v>
      </c>
      <c r="BP127" s="377">
        <f t="shared" si="224"/>
        <v>0.59</v>
      </c>
      <c r="BQ127" s="377">
        <f t="shared" si="225"/>
        <v>0.59</v>
      </c>
      <c r="BR127" t="s">
        <v>517</v>
      </c>
    </row>
    <row r="128" spans="1:84" ht="15.35" outlineLevel="1">
      <c r="A128" s="108" t="s">
        <v>1049</v>
      </c>
      <c r="B128" s="30" t="s">
        <v>385</v>
      </c>
      <c r="C128" s="43" t="s">
        <v>243</v>
      </c>
      <c r="D128" s="43" t="s">
        <v>252</v>
      </c>
      <c r="E128" s="517">
        <v>0.79</v>
      </c>
      <c r="F128" s="600">
        <v>1</v>
      </c>
      <c r="G128" s="600">
        <v>1</v>
      </c>
      <c r="H128" s="600">
        <f t="shared" si="200"/>
        <v>1.7434276617518025</v>
      </c>
      <c r="I128" s="628">
        <v>1E-3</v>
      </c>
      <c r="J128" s="517"/>
      <c r="K128" s="48"/>
      <c r="L128" s="516">
        <v>1</v>
      </c>
      <c r="M128" s="516">
        <f>IF(C128="","",SUMIFS(Energy_Balance!I$55:I$160,Energy_Balance!$C$55:$C$160,C128,Energy_Balance!$D$55:$D$160,D128)*L128)</f>
        <v>2.206870457913674</v>
      </c>
      <c r="N128" s="516">
        <f t="shared" si="155"/>
        <v>1.7434276617518025</v>
      </c>
      <c r="O128" s="25"/>
      <c r="P128" s="377">
        <f t="shared" si="201"/>
        <v>0.79</v>
      </c>
      <c r="Q128" s="377">
        <f t="shared" si="201"/>
        <v>0.79</v>
      </c>
      <c r="R128" s="377">
        <f t="shared" si="201"/>
        <v>0.79</v>
      </c>
      <c r="S128" s="377">
        <f t="shared" si="201"/>
        <v>0.79</v>
      </c>
      <c r="T128" s="208"/>
      <c r="U128" s="50"/>
      <c r="V128" s="50">
        <f t="shared" si="202"/>
        <v>0.33478971312849853</v>
      </c>
      <c r="W128" s="50">
        <f t="shared" si="202"/>
        <v>0.33478971312849853</v>
      </c>
      <c r="X128" s="50">
        <f t="shared" si="203"/>
        <v>0.33478971312849853</v>
      </c>
      <c r="Y128" s="50">
        <f t="shared" si="204"/>
        <v>0.33478971312849853</v>
      </c>
      <c r="Z128" s="50">
        <f t="shared" si="205"/>
        <v>0.33478971312849853</v>
      </c>
      <c r="AA128" s="50">
        <f t="shared" si="206"/>
        <v>0.33478971312849853</v>
      </c>
      <c r="AB128" s="50">
        <f t="shared" si="207"/>
        <v>0.33478971312849853</v>
      </c>
      <c r="AC128" s="50">
        <f t="shared" si="208"/>
        <v>0.33478971312849853</v>
      </c>
      <c r="AD128" s="50"/>
      <c r="AE128" s="50">
        <f>IF($G$16=1,AU128,IF($G$16=2,AU128,IF($G$16=3,#REF!,AU128)))</f>
        <v>0.33368971312849854</v>
      </c>
      <c r="AF128" s="50">
        <f>IF($G$16=1,AV128,IF($G$16=2,AV128,IF($G$16=3,#REF!,AV128)))</f>
        <v>0.33368971312849854</v>
      </c>
      <c r="AG128" s="50">
        <f t="shared" si="209"/>
        <v>0.33368971312849854</v>
      </c>
      <c r="AH128" s="50">
        <f t="shared" si="210"/>
        <v>0.33368971312849854</v>
      </c>
      <c r="AI128" s="50">
        <f t="shared" si="211"/>
        <v>0.2085560707053116</v>
      </c>
      <c r="AJ128" s="50">
        <f t="shared" si="212"/>
        <v>0</v>
      </c>
      <c r="AK128" s="50">
        <f t="shared" si="213"/>
        <v>0</v>
      </c>
      <c r="AL128" s="50">
        <f t="shared" si="214"/>
        <v>0</v>
      </c>
      <c r="AN128" s="126">
        <f t="shared" si="215"/>
        <v>0.33378971312849853</v>
      </c>
      <c r="AO128" s="140">
        <f>(IFERROR(IF(N128/(SUMIF(RES!$D$39:$D$145,D128,$N$39:$N$145))=1,1,(N128/(SUMIF(RES!$D$39:$D$145,D128,$N$39:$N$145))+$AO$28)),0))</f>
        <v>0.33478971312849853</v>
      </c>
      <c r="AP128" s="297">
        <f t="shared" si="219"/>
        <v>0.33478971312849853</v>
      </c>
      <c r="AQ128" s="297">
        <f t="shared" si="219"/>
        <v>0.33478971312849853</v>
      </c>
      <c r="AR128" s="297">
        <f t="shared" si="220"/>
        <v>0.33478971312849853</v>
      </c>
      <c r="AS128" s="297">
        <f t="shared" si="221"/>
        <v>0.33478971312849853</v>
      </c>
      <c r="AT128" s="633"/>
      <c r="AU128" s="296">
        <f>(IFERROR(IF($N128/(SUMIF(RES!$D$39:$D$145,$D128,$N$39:$N$145))=1,1,($N128/(SUMIF(RES!$D$39:$D$145,$D128,$N$39:$N$145))-$AU$28)),0))</f>
        <v>0.33368971312849854</v>
      </c>
      <c r="AV128" s="634">
        <f t="shared" si="216"/>
        <v>0.33368971312849854</v>
      </c>
      <c r="AW128" s="634">
        <f t="shared" si="222"/>
        <v>0.33368971312849854</v>
      </c>
      <c r="AX128" s="635">
        <v>0</v>
      </c>
      <c r="AY128" s="635">
        <v>0</v>
      </c>
      <c r="AZ128" s="125"/>
      <c r="BA128" s="140"/>
      <c r="BB128" s="140">
        <f t="shared" si="193"/>
        <v>0.33478971312849853</v>
      </c>
      <c r="BC128" s="140">
        <f t="shared" si="194"/>
        <v>0.33478971312849853</v>
      </c>
      <c r="BD128" s="140">
        <f t="shared" si="195"/>
        <v>0.33478971312849853</v>
      </c>
      <c r="BE128" s="140">
        <f t="shared" si="196"/>
        <v>0.33478971312849853</v>
      </c>
      <c r="BF128" s="21" t="str">
        <f t="shared" si="191"/>
        <v/>
      </c>
      <c r="BG128" s="172"/>
      <c r="BH128" s="140">
        <f t="shared" si="197"/>
        <v>0.33368971312849854</v>
      </c>
      <c r="BI128" s="140">
        <f t="shared" si="198"/>
        <v>0</v>
      </c>
      <c r="BJ128" s="140">
        <f t="shared" si="199"/>
        <v>0</v>
      </c>
      <c r="BK128" s="125" t="str">
        <f t="shared" si="192"/>
        <v/>
      </c>
      <c r="BL128" s="21" t="s">
        <v>517</v>
      </c>
      <c r="BM128" s="527">
        <f t="shared" si="218"/>
        <v>0.79</v>
      </c>
      <c r="BN128" s="377">
        <f>E128</f>
        <v>0.79</v>
      </c>
      <c r="BO128" s="377">
        <f t="shared" si="223"/>
        <v>0.79</v>
      </c>
      <c r="BP128" s="377">
        <f t="shared" si="224"/>
        <v>0.79</v>
      </c>
      <c r="BQ128" s="377">
        <f t="shared" si="225"/>
        <v>0.79</v>
      </c>
      <c r="BR128" t="s">
        <v>517</v>
      </c>
    </row>
    <row r="129" spans="1:84" s="159" customFormat="1" ht="15" outlineLevel="1">
      <c r="A129" s="108" t="s">
        <v>1050</v>
      </c>
      <c r="B129" s="30" t="s">
        <v>386</v>
      </c>
      <c r="C129" s="43" t="s">
        <v>173</v>
      </c>
      <c r="D129" s="43" t="s">
        <v>252</v>
      </c>
      <c r="E129" s="517">
        <v>0.96</v>
      </c>
      <c r="F129" s="600">
        <v>1</v>
      </c>
      <c r="G129" s="600">
        <v>1</v>
      </c>
      <c r="H129" s="600">
        <f t="shared" si="200"/>
        <v>0</v>
      </c>
      <c r="I129" s="628">
        <v>1E-3</v>
      </c>
      <c r="J129" s="517"/>
      <c r="K129" s="48"/>
      <c r="L129" s="516">
        <v>1</v>
      </c>
      <c r="M129" s="516">
        <f>IF(C129="","",SUMIFS(Energy_Balance!I$55:I$160,Energy_Balance!$C$55:$C$160,C129,Energy_Balance!$D$55:$D$160,D129)*L129)</f>
        <v>0</v>
      </c>
      <c r="N129" s="516">
        <f t="shared" si="155"/>
        <v>0</v>
      </c>
      <c r="O129" s="25"/>
      <c r="P129" s="377">
        <f t="shared" si="201"/>
        <v>0.96</v>
      </c>
      <c r="Q129" s="377">
        <f t="shared" si="201"/>
        <v>0.96</v>
      </c>
      <c r="R129" s="377">
        <f t="shared" si="201"/>
        <v>0.96</v>
      </c>
      <c r="S129" s="377">
        <f t="shared" si="201"/>
        <v>0.96</v>
      </c>
      <c r="T129" s="208"/>
      <c r="U129" s="50"/>
      <c r="V129" s="50">
        <f t="shared" si="202"/>
        <v>1E-3</v>
      </c>
      <c r="W129" s="50">
        <f t="shared" si="202"/>
        <v>1E-3</v>
      </c>
      <c r="X129" s="50">
        <f t="shared" si="203"/>
        <v>1E-3</v>
      </c>
      <c r="Y129" s="50">
        <f t="shared" si="204"/>
        <v>1E-3</v>
      </c>
      <c r="Z129" s="50">
        <f t="shared" si="205"/>
        <v>1E-3</v>
      </c>
      <c r="AA129" s="50">
        <f t="shared" si="206"/>
        <v>1E-3</v>
      </c>
      <c r="AB129" s="50">
        <f t="shared" si="207"/>
        <v>1E-3</v>
      </c>
      <c r="AC129" s="50">
        <f t="shared" si="208"/>
        <v>1E-3</v>
      </c>
      <c r="AD129" s="50"/>
      <c r="AE129" s="50">
        <f>IF($G$16=1,AU129,IF($G$16=2,AU129,IF($G$16=3,#REF!,AU129)))</f>
        <v>-1E-4</v>
      </c>
      <c r="AF129" s="50">
        <f>IF($G$16=1,AV129,IF($G$16=2,AV129,IF($G$16=3,#REF!,AV129)))</f>
        <v>-1E-4</v>
      </c>
      <c r="AG129" s="50">
        <f t="shared" si="209"/>
        <v>-1E-4</v>
      </c>
      <c r="AH129" s="50">
        <f t="shared" si="210"/>
        <v>-1E-4</v>
      </c>
      <c r="AI129" s="50">
        <f t="shared" si="211"/>
        <v>-1E-4</v>
      </c>
      <c r="AJ129" s="50">
        <f t="shared" si="212"/>
        <v>-1E-4</v>
      </c>
      <c r="AK129" s="50">
        <f t="shared" si="213"/>
        <v>-1E-4</v>
      </c>
      <c r="AL129" s="50">
        <f t="shared" si="214"/>
        <v>-1E-4</v>
      </c>
      <c r="AM129"/>
      <c r="AN129" s="126">
        <f t="shared" si="215"/>
        <v>0</v>
      </c>
      <c r="AO129" s="140">
        <f>(IFERROR(IF(N129/(SUMIF(RES!$D$39:$D$145,D129,$N$39:$N$145))=1,1,(N129/(SUMIF(RES!$D$39:$D$145,D129,$N$39:$N$145))+$AO$28)),0))</f>
        <v>1E-3</v>
      </c>
      <c r="AP129" s="297">
        <f t="shared" si="219"/>
        <v>1E-3</v>
      </c>
      <c r="AQ129" s="297">
        <f t="shared" si="219"/>
        <v>1E-3</v>
      </c>
      <c r="AR129" s="297">
        <f t="shared" si="220"/>
        <v>1E-3</v>
      </c>
      <c r="AS129" s="297">
        <f t="shared" si="221"/>
        <v>1E-3</v>
      </c>
      <c r="AT129" s="636"/>
      <c r="AU129" s="296">
        <f>(IFERROR(IF($N129/(SUMIF(RES!$D$39:$D$145,$D129,$N$39:$N$145))=1,1,($N129/(SUMIF(RES!$D$39:$D$145,$D129,$N$39:$N$145))-$AU$28)),0))</f>
        <v>-1E-4</v>
      </c>
      <c r="AV129" s="634">
        <f t="shared" si="216"/>
        <v>-1E-4</v>
      </c>
      <c r="AW129" s="634">
        <f t="shared" si="222"/>
        <v>-1E-4</v>
      </c>
      <c r="AX129" s="634">
        <f t="shared" si="222"/>
        <v>-1E-4</v>
      </c>
      <c r="AY129" s="634">
        <f t="shared" si="222"/>
        <v>-1E-4</v>
      </c>
      <c r="AZ129" s="162"/>
      <c r="BA129" s="172"/>
      <c r="BB129" s="160">
        <f t="shared" si="193"/>
        <v>1E-3</v>
      </c>
      <c r="BC129" s="160">
        <f t="shared" si="194"/>
        <v>1E-3</v>
      </c>
      <c r="BD129" s="160">
        <f t="shared" si="195"/>
        <v>1E-3</v>
      </c>
      <c r="BE129" s="160">
        <f t="shared" si="196"/>
        <v>1E-3</v>
      </c>
      <c r="BF129" s="161" t="str">
        <f t="shared" si="191"/>
        <v/>
      </c>
      <c r="BG129" s="172"/>
      <c r="BH129" s="140">
        <f t="shared" si="197"/>
        <v>-1E-4</v>
      </c>
      <c r="BI129" s="140">
        <f t="shared" si="198"/>
        <v>-1E-4</v>
      </c>
      <c r="BJ129" s="140">
        <f t="shared" si="199"/>
        <v>-1E-4</v>
      </c>
      <c r="BK129" s="162" t="str">
        <f t="shared" si="192"/>
        <v/>
      </c>
      <c r="BL129" s="161" t="s">
        <v>517</v>
      </c>
      <c r="BM129" s="527">
        <f t="shared" si="218"/>
        <v>0.96</v>
      </c>
      <c r="BN129" s="377">
        <f>E129</f>
        <v>0.96</v>
      </c>
      <c r="BO129" s="377">
        <f t="shared" si="223"/>
        <v>0.96</v>
      </c>
      <c r="BP129" s="377">
        <f t="shared" si="224"/>
        <v>0.96</v>
      </c>
      <c r="BQ129" s="377">
        <f t="shared" si="225"/>
        <v>0.96</v>
      </c>
      <c r="BR129" s="159" t="s">
        <v>517</v>
      </c>
      <c r="BS129"/>
      <c r="BT129"/>
      <c r="BU129"/>
      <c r="BV129"/>
      <c r="BW129"/>
      <c r="BX129"/>
      <c r="BY129"/>
      <c r="BZ129"/>
      <c r="CA129"/>
      <c r="CB129"/>
      <c r="CC129"/>
      <c r="CD129"/>
      <c r="CE129"/>
      <c r="CF129"/>
    </row>
    <row r="130" spans="1:84" s="195" customFormat="1" ht="15" outlineLevel="1">
      <c r="A130" s="556" t="s">
        <v>974</v>
      </c>
      <c r="B130" s="557"/>
      <c r="C130" s="558"/>
      <c r="D130" s="558"/>
      <c r="E130" s="559" t="str">
        <f>IF(D130="","",IF(COUNTIF(#REF!,$B130)=1,SUMIF(#REF!,RES!B130,#REF!),SUMIF(#REF!,RES!$B130,#REF!)))</f>
        <v/>
      </c>
      <c r="F130" s="559"/>
      <c r="G130" s="559"/>
      <c r="H130" s="559"/>
      <c r="I130" s="629"/>
      <c r="J130" s="559"/>
      <c r="K130" s="560"/>
      <c r="L130" s="561"/>
      <c r="M130" s="561">
        <f>SUM(M124:M129)</f>
        <v>6.3746719734630553</v>
      </c>
      <c r="N130" s="561">
        <f>SUM(N124:N129)</f>
        <v>5.2231317898063496</v>
      </c>
      <c r="O130" s="196"/>
      <c r="P130" s="562"/>
      <c r="Q130" s="562"/>
      <c r="R130" s="562"/>
      <c r="S130" s="562"/>
      <c r="T130" s="563"/>
      <c r="U130" s="564"/>
      <c r="V130" s="564">
        <f>IF($G$16=1,AO130,IF($G$16=2,AO130,IF($G$16=3,BB130,AO130)))</f>
        <v>1.0059999999999998</v>
      </c>
      <c r="W130" s="564"/>
      <c r="X130" s="564"/>
      <c r="Y130" s="564"/>
      <c r="Z130" s="564"/>
      <c r="AA130" s="564"/>
      <c r="AB130" s="564"/>
      <c r="AC130" s="564"/>
      <c r="AD130" s="564"/>
      <c r="AE130" s="564">
        <f>IF($G$16=1,AU130,IF($G$16=2,AU130,IF($G$16=3,BH130,AU130)))</f>
        <v>0</v>
      </c>
      <c r="AF130" s="564"/>
      <c r="AG130" s="564"/>
      <c r="AH130" s="564"/>
      <c r="AI130" s="564"/>
      <c r="AJ130" s="564"/>
      <c r="AK130" s="564"/>
      <c r="AL130" s="564"/>
      <c r="AO130" s="573">
        <f>SUM(AO124:AO129)</f>
        <v>1.0059999999999998</v>
      </c>
      <c r="AP130" s="637">
        <f>SUM(AP124:AP129)</f>
        <v>1.0059999999999998</v>
      </c>
      <c r="AQ130" s="637">
        <f>SUM(AQ124:AQ129)</f>
        <v>1.0059999999999998</v>
      </c>
      <c r="AR130" s="637">
        <f>SUM(AR124:AR129)</f>
        <v>1.4898862253070355</v>
      </c>
      <c r="AS130" s="637">
        <f>SUM(AS124:AS129)</f>
        <v>1.4898862253070355</v>
      </c>
      <c r="AT130" s="638"/>
      <c r="AU130" s="639">
        <f>(IFERROR(IF($N130/(SUMIF(RES!$D$39:$D$145,$D130,$N$39:$N$145))=1,1,($N130/(SUMIF(RES!$D$39:$D$145,$D130,$N$39:$N$145))-$AU$28)),0))</f>
        <v>0</v>
      </c>
      <c r="AV130" s="639"/>
      <c r="AW130" s="639"/>
      <c r="AX130" s="639"/>
      <c r="AY130" s="639"/>
      <c r="AZ130" s="568"/>
      <c r="BA130" s="573"/>
      <c r="BB130" s="573">
        <f t="shared" si="193"/>
        <v>1.0059999999999998</v>
      </c>
      <c r="BC130" s="573">
        <f t="shared" si="194"/>
        <v>1.0059999999999998</v>
      </c>
      <c r="BD130" s="573">
        <f t="shared" si="195"/>
        <v>1.4898862253070355</v>
      </c>
      <c r="BE130" s="573">
        <f t="shared" si="196"/>
        <v>1.4898862253070355</v>
      </c>
      <c r="BF130" s="567" t="str">
        <f t="shared" si="191"/>
        <v/>
      </c>
      <c r="BG130" s="569"/>
      <c r="BH130" s="569" t="str">
        <f t="shared" si="197"/>
        <v/>
      </c>
      <c r="BI130" s="569" t="str">
        <f t="shared" si="198"/>
        <v/>
      </c>
      <c r="BJ130" s="569" t="str">
        <f t="shared" si="199"/>
        <v/>
      </c>
      <c r="BK130" s="568" t="str">
        <f t="shared" si="192"/>
        <v/>
      </c>
      <c r="BL130" s="567"/>
      <c r="BN130" s="562" t="str">
        <f>IF($BL130="","",($BP130-$BM130)*5/25+$BM130)</f>
        <v/>
      </c>
      <c r="BO130" s="562" t="str">
        <f t="shared" si="223"/>
        <v/>
      </c>
      <c r="BP130" s="562" t="str">
        <f t="shared" si="224"/>
        <v/>
      </c>
      <c r="BQ130" s="562" t="str">
        <f>IF(G130="","",IF(COUNTIF(#REF!,$B130)=1,SUMIF(#REF!,RES!$B130,#REF!),SUMIF(#REF!,RES!$B130,#REF!)))</f>
        <v/>
      </c>
    </row>
    <row r="131" spans="1:84" s="237" customFormat="1" ht="15">
      <c r="A131" s="577" t="s">
        <v>1051</v>
      </c>
      <c r="B131" s="578" t="s">
        <v>334</v>
      </c>
      <c r="C131" s="588"/>
      <c r="D131" s="588"/>
      <c r="E131" s="590" t="str">
        <f>IF(D131="","",IF(COUNTIF(#REF!,$B131)=1,SUMIF(#REF!,RES!B131,#REF!),SUMIF(#REF!,RES!$B131,#REF!)))</f>
        <v/>
      </c>
      <c r="F131" s="590"/>
      <c r="G131" s="590"/>
      <c r="H131" s="590"/>
      <c r="I131" s="630"/>
      <c r="J131" s="590"/>
      <c r="K131" s="579"/>
      <c r="L131" s="592"/>
      <c r="M131" s="592" t="str">
        <f>IF(C131="","",IF(COUNTIF(#REF!,$B131)=1,SUMIF(#REF!,RES!$B131,#REF!),SUMIFS(Energy_Balance!I$160:I$160,Energy_Balance!$C$55:$C$160,C131,Energy_Balance!$D$55:$D$160,D131)*L131))</f>
        <v/>
      </c>
      <c r="N131" s="592"/>
      <c r="O131" s="584"/>
      <c r="P131" s="593"/>
      <c r="Q131" s="593"/>
      <c r="R131" s="593"/>
      <c r="S131" s="593"/>
      <c r="T131" s="594"/>
      <c r="U131" s="595"/>
      <c r="V131" s="595">
        <f>IF($G$16=1,AO131,IF($G$16=2,AO131,IF($G$16=3,BB131,AO131)))</f>
        <v>0</v>
      </c>
      <c r="W131" s="595"/>
      <c r="X131" s="595"/>
      <c r="Y131" s="595"/>
      <c r="Z131" s="595"/>
      <c r="AA131" s="595"/>
      <c r="AB131" s="595"/>
      <c r="AC131" s="595"/>
      <c r="AD131" s="595"/>
      <c r="AE131" s="595">
        <f>IF($G$16=1,AU131,IF($G$16=2,AU131,IF($G$16=3,BH131,AU131)))</f>
        <v>0</v>
      </c>
      <c r="AF131" s="595"/>
      <c r="AG131" s="595"/>
      <c r="AH131" s="595"/>
      <c r="AI131" s="595"/>
      <c r="AJ131" s="595"/>
      <c r="AK131" s="595"/>
      <c r="AL131" s="595"/>
      <c r="AO131" s="596"/>
      <c r="AP131" s="640"/>
      <c r="AQ131" s="640"/>
      <c r="AR131" s="640"/>
      <c r="AS131" s="640"/>
      <c r="AT131" s="641"/>
      <c r="AU131" s="640">
        <f>(IFERROR(IF($N131/(SUMIF(RES!$D$39:$D$145,$D131,$N$39:$N$145))=1,1,($N131/(SUMIF(RES!$D$39:$D$145,$D131,$N$39:$N$145))-$AU$28)),0))</f>
        <v>0</v>
      </c>
      <c r="AV131" s="640"/>
      <c r="AW131" s="640"/>
      <c r="AX131" s="640"/>
      <c r="AY131" s="640"/>
      <c r="AZ131" s="587"/>
      <c r="BA131" s="596"/>
      <c r="BB131" s="596" t="str">
        <f t="shared" si="193"/>
        <v/>
      </c>
      <c r="BC131" s="596" t="str">
        <f t="shared" si="194"/>
        <v/>
      </c>
      <c r="BD131" s="596" t="str">
        <f t="shared" si="195"/>
        <v/>
      </c>
      <c r="BE131" s="596" t="str">
        <f t="shared" si="196"/>
        <v/>
      </c>
      <c r="BF131" s="586" t="str">
        <f t="shared" si="191"/>
        <v/>
      </c>
      <c r="BG131" s="596"/>
      <c r="BH131" s="596" t="str">
        <f t="shared" si="197"/>
        <v/>
      </c>
      <c r="BI131" s="596" t="str">
        <f t="shared" si="198"/>
        <v/>
      </c>
      <c r="BJ131" s="596" t="str">
        <f t="shared" si="199"/>
        <v/>
      </c>
      <c r="BK131" s="587" t="str">
        <f t="shared" si="192"/>
        <v/>
      </c>
      <c r="BL131" s="586"/>
      <c r="BN131" s="593" t="str">
        <f>IF($BL131="","",($BP131-$BM131)*5/25+$BM131)</f>
        <v/>
      </c>
      <c r="BO131" s="593" t="str">
        <f t="shared" si="223"/>
        <v/>
      </c>
      <c r="BP131" s="593" t="str">
        <f t="shared" si="224"/>
        <v/>
      </c>
      <c r="BQ131" s="593" t="str">
        <f>IF(G131="","",IF(COUNTIF(#REF!,$B131)=1,SUMIF(#REF!,RES!$B131,#REF!),SUMIF(#REF!,RES!$B131,#REF!)))</f>
        <v/>
      </c>
    </row>
    <row r="132" spans="1:84" s="169" customFormat="1" ht="15" outlineLevel="2">
      <c r="A132" s="108" t="s">
        <v>1052</v>
      </c>
      <c r="B132" s="30" t="s">
        <v>387</v>
      </c>
      <c r="C132" s="43" t="s">
        <v>242</v>
      </c>
      <c r="D132" s="43" t="s">
        <v>594</v>
      </c>
      <c r="E132" s="517">
        <v>0.75</v>
      </c>
      <c r="F132" s="600">
        <v>1</v>
      </c>
      <c r="G132" s="600">
        <v>1</v>
      </c>
      <c r="H132" s="600">
        <f t="shared" ref="H132:H137" si="226">N132/F132*(1+$D$31)</f>
        <v>30.01107619912144</v>
      </c>
      <c r="I132" s="628">
        <v>1E-3</v>
      </c>
      <c r="J132" s="517"/>
      <c r="K132" s="48"/>
      <c r="L132" s="516">
        <v>1</v>
      </c>
      <c r="M132" s="516">
        <f>SUMIFS(Energy_Balance!I$55:I$160,Energy_Balance!$C$55:$C$160,C132,Energy_Balance!$D$55:$D$160,D132)*L132</f>
        <v>40.014768265495256</v>
      </c>
      <c r="N132" s="516">
        <f t="shared" si="155"/>
        <v>30.01107619912144</v>
      </c>
      <c r="O132" s="25"/>
      <c r="P132" s="377">
        <f t="shared" ref="P132:S137" si="227">IF($G$16=0,BN132,IF($G$16=1,BS132,IF($G$16=2,BX132,IF($G$16=3,BN132,IF($G$16=4,BS132,"NA")))))</f>
        <v>0.75</v>
      </c>
      <c r="Q132" s="377">
        <f t="shared" si="227"/>
        <v>0.8085</v>
      </c>
      <c r="R132" s="377">
        <f t="shared" si="227"/>
        <v>0.84749999999999992</v>
      </c>
      <c r="S132" s="377">
        <f t="shared" si="227"/>
        <v>0.84749999999999992</v>
      </c>
      <c r="T132" s="208"/>
      <c r="U132" s="280"/>
      <c r="V132" s="50">
        <f t="shared" ref="V132:V136" si="228">IF($G$16=1,AO132,IF($G$16=2,AO132,IF($G$16=3,BA132,AO132)))</f>
        <v>0.14467816091954022</v>
      </c>
      <c r="W132" s="50">
        <f t="shared" ref="W132:W136" si="229">IF($G$16=1,AP132,IF($G$16=2,AP132,IF($G$16=3,BB132,AP132)))</f>
        <v>0.14467816091954022</v>
      </c>
      <c r="X132" s="50">
        <f t="shared" ref="X132:X136" si="230">$V$32*W132+(1-$V$32)*Y132</f>
        <v>0.14467816091954022</v>
      </c>
      <c r="Y132" s="50">
        <f t="shared" ref="Y132:Y136" si="231">IF($G$16=1,AQ132,IF($G$16=2,AQ132,IF($G$16=3,BC132,AQ132)))</f>
        <v>0.14467816091954022</v>
      </c>
      <c r="Z132" s="50">
        <f t="shared" ref="Z132:Z136" si="232">$V$32*Y132+(1-$V$32)*AA132</f>
        <v>0.14467816091954022</v>
      </c>
      <c r="AA132" s="50">
        <f t="shared" ref="AA132:AA136" si="233">IF($G$16=1,AR132,IF($G$16=2,AR132,IF($G$16=3,BD132,AR132)))</f>
        <v>0.14467816091954022</v>
      </c>
      <c r="AB132" s="50">
        <f t="shared" ref="AB132:AB136" si="234">$V$32*AA132+(1-$V$32)*AC132</f>
        <v>0.14467816091954022</v>
      </c>
      <c r="AC132" s="50">
        <f t="shared" ref="AC132:AC136" si="235">IF($G$16=1,AS132,IF($G$16=2,AS132,IF($G$16=3,BE132,AS132)))</f>
        <v>0.14467816091954022</v>
      </c>
      <c r="AD132" s="50"/>
      <c r="AE132" s="50">
        <f>IF($G$16=1,AU132,IF($G$16=2,AU132,IF($G$16=3,#REF!,AU132)))</f>
        <v>0.14357816091954023</v>
      </c>
      <c r="AF132" s="50">
        <f>IF($G$16=1,AV132,IF($G$16=2,AV132,IF($G$16=3,#REF!,AV132)))</f>
        <v>0.14357816091954023</v>
      </c>
      <c r="AG132" s="50">
        <f t="shared" ref="AG132:AG136" si="236">$V$32*AF132+(1-$V$32)*AH132</f>
        <v>0.14357816091954023</v>
      </c>
      <c r="AH132" s="50">
        <f t="shared" ref="AH132:AH136" si="237">IF($G$16=1,AW132,IF($G$16=2,AW132,IF($G$16=3,BH132,AW132)))</f>
        <v>0.14357816091954023</v>
      </c>
      <c r="AI132" s="50">
        <f t="shared" ref="AI132:AI136" si="238">$V$32*AH132+(1-$V$32)*AJ132</f>
        <v>0.14357816091954023</v>
      </c>
      <c r="AJ132" s="50">
        <f t="shared" ref="AJ132:AJ136" si="239">IF($G$16=1,AX132,IF($G$16=2,AX132,IF($G$16=3,BI132,AX132)))</f>
        <v>0.14357816091954023</v>
      </c>
      <c r="AK132" s="50">
        <f t="shared" ref="AK132:AK136" si="240">$V$32*AJ132+(1-$V$32)*AL132</f>
        <v>0.14357816091954023</v>
      </c>
      <c r="AL132" s="50">
        <f t="shared" ref="AL132:AL136" si="241">IF($G$16=1,AY132,IF($G$16=2,AY132,IF($G$16=3,BJ132,AY132)))</f>
        <v>0.14357816091954023</v>
      </c>
      <c r="AM132"/>
      <c r="AN132"/>
      <c r="AO132" s="140">
        <f>(IFERROR(IF(N132/(SUMIF(RES!$D$39:$D$145,D132,$N$39:$N$145))=1,1,(N132/(SUMIF(RES!$D$39:$D$145,D132,$N$39:$N$145))+$AO$28)),0))</f>
        <v>0.14467816091954022</v>
      </c>
      <c r="AP132" s="296">
        <f t="shared" ref="AP132:AP137" si="242">AO132</f>
        <v>0.14467816091954022</v>
      </c>
      <c r="AQ132" s="296">
        <f t="shared" ref="AQ132" si="243">AP132</f>
        <v>0.14467816091954022</v>
      </c>
      <c r="AR132" s="296">
        <f t="shared" ref="AR132" si="244">AQ132</f>
        <v>0.14467816091954022</v>
      </c>
      <c r="AS132" s="296">
        <f t="shared" ref="AS132" si="245">AR132</f>
        <v>0.14467816091954022</v>
      </c>
      <c r="AT132" s="632"/>
      <c r="AU132" s="296">
        <f>(IFERROR(IF($N132/(SUMIF(RES!$D$39:$D$145,$D132,$N$39:$N$145))=1,1,($N132/(SUMIF(RES!$D$39:$D$145,$D132,$N$39:$N$145))-$AU$28)),0))</f>
        <v>0.14357816091954023</v>
      </c>
      <c r="AV132" s="296">
        <f t="shared" ref="AV132:AV136" si="246">AU132</f>
        <v>0.14357816091954023</v>
      </c>
      <c r="AW132" s="296">
        <f t="shared" ref="AW132:AY132" si="247">AV132</f>
        <v>0.14357816091954023</v>
      </c>
      <c r="AX132" s="296">
        <f t="shared" si="247"/>
        <v>0.14357816091954023</v>
      </c>
      <c r="AY132" s="296">
        <f t="shared" si="247"/>
        <v>0.14357816091954023</v>
      </c>
      <c r="AZ132" s="175"/>
      <c r="BA132" s="172"/>
      <c r="BB132" s="172">
        <f t="shared" si="193"/>
        <v>0.14467816091954022</v>
      </c>
      <c r="BC132" s="172">
        <f t="shared" si="194"/>
        <v>0.14467816091954022</v>
      </c>
      <c r="BD132" s="172">
        <f t="shared" si="195"/>
        <v>0.14467816091954022</v>
      </c>
      <c r="BE132" s="172">
        <f t="shared" si="196"/>
        <v>0.14467816091954022</v>
      </c>
      <c r="BF132" s="173" t="str">
        <f t="shared" si="191"/>
        <v/>
      </c>
      <c r="BG132" s="172"/>
      <c r="BH132" s="172">
        <f t="shared" si="197"/>
        <v>0.14357816091954023</v>
      </c>
      <c r="BI132" s="172">
        <f t="shared" si="198"/>
        <v>0.14357816091954023</v>
      </c>
      <c r="BJ132" s="172">
        <f t="shared" si="199"/>
        <v>0.14357816091954023</v>
      </c>
      <c r="BK132" s="175" t="str">
        <f t="shared" si="192"/>
        <v/>
      </c>
      <c r="BL132" s="257" t="s">
        <v>110</v>
      </c>
      <c r="BM132" s="527">
        <f t="shared" ref="BM132:BM137" si="248">E132</f>
        <v>0.75</v>
      </c>
      <c r="BN132" s="377">
        <f t="shared" ref="BN132:BN137" si="249">E132</f>
        <v>0.75</v>
      </c>
      <c r="BO132" s="377">
        <f t="shared" si="223"/>
        <v>0.8085</v>
      </c>
      <c r="BP132" s="377">
        <f t="shared" si="224"/>
        <v>0.84749999999999992</v>
      </c>
      <c r="BQ132" s="377">
        <f t="shared" ref="BQ132:BQ137" si="250">BP132</f>
        <v>0.84749999999999992</v>
      </c>
      <c r="BR132" s="257" t="s">
        <v>110</v>
      </c>
      <c r="BS132"/>
      <c r="BT132"/>
      <c r="BU132"/>
      <c r="BV132"/>
      <c r="BW132"/>
      <c r="BX132"/>
      <c r="BY132"/>
      <c r="BZ132"/>
      <c r="CA132"/>
      <c r="CB132"/>
      <c r="CC132"/>
      <c r="CD132"/>
      <c r="CE132"/>
      <c r="CF132"/>
    </row>
    <row r="133" spans="1:84" ht="15" outlineLevel="2">
      <c r="A133" s="599" t="s">
        <v>1053</v>
      </c>
      <c r="B133" s="30" t="s">
        <v>391</v>
      </c>
      <c r="C133" s="43" t="s">
        <v>242</v>
      </c>
      <c r="D133" s="43" t="s">
        <v>594</v>
      </c>
      <c r="E133" s="517">
        <v>2.3199999999999998</v>
      </c>
      <c r="F133" s="600">
        <v>1</v>
      </c>
      <c r="G133" s="600">
        <v>1</v>
      </c>
      <c r="H133" s="600">
        <f t="shared" si="226"/>
        <v>92.834262375948981</v>
      </c>
      <c r="I133" s="628">
        <v>1E-3</v>
      </c>
      <c r="J133" s="517"/>
      <c r="K133" s="48"/>
      <c r="L133" s="516">
        <v>1</v>
      </c>
      <c r="M133" s="516">
        <f>SUMIFS(Energy_Balance!I$55:I$160,Energy_Balance!$C$55:$C$160,C133,Energy_Balance!$D$55:$D$160,D133)*L133</f>
        <v>40.014768265495256</v>
      </c>
      <c r="N133" s="516">
        <f>E133*M133</f>
        <v>92.834262375948981</v>
      </c>
      <c r="O133" s="25"/>
      <c r="P133" s="377">
        <f t="shared" si="227"/>
        <v>2.3199999999999998</v>
      </c>
      <c r="Q133" s="377">
        <f t="shared" si="227"/>
        <v>2.5009599999999996</v>
      </c>
      <c r="R133" s="377">
        <f t="shared" si="227"/>
        <v>2.6215999999999995</v>
      </c>
      <c r="S133" s="377">
        <f t="shared" si="227"/>
        <v>2.6215999999999995</v>
      </c>
      <c r="T133" s="208"/>
      <c r="U133" s="280"/>
      <c r="V133" s="50">
        <f t="shared" si="228"/>
        <v>0.44544444444444442</v>
      </c>
      <c r="W133" s="50">
        <f t="shared" si="229"/>
        <v>0.44544444444444442</v>
      </c>
      <c r="X133" s="50">
        <f t="shared" si="230"/>
        <v>0.44544444444444442</v>
      </c>
      <c r="Y133" s="50">
        <f t="shared" si="231"/>
        <v>0.44544444444444442</v>
      </c>
      <c r="Z133" s="50">
        <f t="shared" si="232"/>
        <v>0.44544444444444442</v>
      </c>
      <c r="AA133" s="50">
        <f t="shared" si="233"/>
        <v>0.44544444444444442</v>
      </c>
      <c r="AB133" s="50">
        <f t="shared" si="234"/>
        <v>0.44544444444444442</v>
      </c>
      <c r="AC133" s="50">
        <f t="shared" si="235"/>
        <v>0.44544444444444442</v>
      </c>
      <c r="AD133" s="50"/>
      <c r="AE133" s="50">
        <f>IF($G$16=1,AU133,IF($G$16=2,AU133,IF($G$16=3,#REF!,AU133)))</f>
        <v>0.44434444444444443</v>
      </c>
      <c r="AF133" s="50">
        <f>IF($G$16=1,AV133,IF($G$16=2,AV133,IF($G$16=3,#REF!,AV133)))</f>
        <v>0.44434444444444443</v>
      </c>
      <c r="AG133" s="50">
        <f t="shared" si="236"/>
        <v>0.44434444444444443</v>
      </c>
      <c r="AH133" s="50">
        <f t="shared" si="237"/>
        <v>0.44434444444444443</v>
      </c>
      <c r="AI133" s="50">
        <f t="shared" si="238"/>
        <v>0.44434444444444443</v>
      </c>
      <c r="AJ133" s="50">
        <f t="shared" si="239"/>
        <v>0.44434444444444443</v>
      </c>
      <c r="AK133" s="50">
        <f t="shared" si="240"/>
        <v>0.44434444444444443</v>
      </c>
      <c r="AL133" s="50">
        <f t="shared" si="241"/>
        <v>0.44434444444444443</v>
      </c>
      <c r="AO133" s="140">
        <f>(IFERROR(IF(N133/(SUMIF(RES!$D$39:$D$145,D133,$N$39:$N$145))=1,1,(N133/(SUMIF(RES!$D$39:$D$145,D133,$N$39:$N$145))+$AO$28)),0))</f>
        <v>0.44544444444444442</v>
      </c>
      <c r="AP133" s="297">
        <f t="shared" si="242"/>
        <v>0.44544444444444442</v>
      </c>
      <c r="AQ133" s="297">
        <f>AP133</f>
        <v>0.44544444444444442</v>
      </c>
      <c r="AR133" s="297">
        <f t="shared" ref="AR133:AR137" si="251">AQ133</f>
        <v>0.44544444444444442</v>
      </c>
      <c r="AS133" s="297">
        <f t="shared" ref="AS133:AS137" si="252">AR133</f>
        <v>0.44544444444444442</v>
      </c>
      <c r="AT133" s="633"/>
      <c r="AU133" s="296">
        <f>(IFERROR(IF($N133/(SUMIF(RES!$D$39:$D$145,$D133,$N$39:$N$145))=1,1,($N133/(SUMIF(RES!$D$39:$D$145,$D133,$N$39:$N$145))-$AU$28)),0))</f>
        <v>0.44434444444444443</v>
      </c>
      <c r="AV133" s="634">
        <f t="shared" si="246"/>
        <v>0.44434444444444443</v>
      </c>
      <c r="AW133" s="634">
        <f t="shared" ref="AW133:AY136" si="253">AV133</f>
        <v>0.44434444444444443</v>
      </c>
      <c r="AX133" s="634">
        <f t="shared" si="253"/>
        <v>0.44434444444444443</v>
      </c>
      <c r="AY133" s="634">
        <f t="shared" si="253"/>
        <v>0.44434444444444443</v>
      </c>
      <c r="AZ133" s="125"/>
      <c r="BA133" s="140"/>
      <c r="BB133" s="140">
        <f t="shared" si="193"/>
        <v>0.44544444444444442</v>
      </c>
      <c r="BC133" s="140">
        <f t="shared" si="194"/>
        <v>0.44544444444444442</v>
      </c>
      <c r="BD133" s="140">
        <f t="shared" si="195"/>
        <v>0.44544444444444442</v>
      </c>
      <c r="BE133" s="140">
        <f t="shared" si="196"/>
        <v>0.44544444444444442</v>
      </c>
      <c r="BF133" s="21" t="str">
        <f t="shared" si="191"/>
        <v/>
      </c>
      <c r="BG133" s="172"/>
      <c r="BH133" s="140">
        <f t="shared" si="197"/>
        <v>0.44434444444444443</v>
      </c>
      <c r="BI133" s="140">
        <f t="shared" si="198"/>
        <v>0.44434444444444443</v>
      </c>
      <c r="BJ133" s="140">
        <f t="shared" si="199"/>
        <v>0.44434444444444443</v>
      </c>
      <c r="BK133" s="125" t="str">
        <f t="shared" si="192"/>
        <v/>
      </c>
      <c r="BL133" s="257" t="s">
        <v>110</v>
      </c>
      <c r="BM133" s="527">
        <f t="shared" si="248"/>
        <v>2.3199999999999998</v>
      </c>
      <c r="BN133" s="377">
        <f t="shared" si="249"/>
        <v>2.3199999999999998</v>
      </c>
      <c r="BO133" s="377">
        <f t="shared" si="223"/>
        <v>2.5009599999999996</v>
      </c>
      <c r="BP133" s="377">
        <f t="shared" si="224"/>
        <v>2.6215999999999995</v>
      </c>
      <c r="BQ133" s="377">
        <f t="shared" si="250"/>
        <v>2.6215999999999995</v>
      </c>
      <c r="BR133" s="257" t="s">
        <v>110</v>
      </c>
    </row>
    <row r="134" spans="1:84" ht="15" outlineLevel="2">
      <c r="A134" s="108" t="s">
        <v>1054</v>
      </c>
      <c r="B134" s="30" t="s">
        <v>388</v>
      </c>
      <c r="C134" s="43" t="s">
        <v>242</v>
      </c>
      <c r="D134" s="43" t="s">
        <v>594</v>
      </c>
      <c r="E134" s="517">
        <v>2.15</v>
      </c>
      <c r="F134" s="600">
        <v>1</v>
      </c>
      <c r="G134" s="600">
        <v>1</v>
      </c>
      <c r="H134" s="600">
        <f t="shared" si="226"/>
        <v>86.031751770814793</v>
      </c>
      <c r="I134" s="628">
        <v>1E-3</v>
      </c>
      <c r="J134" s="517"/>
      <c r="K134" s="48"/>
      <c r="L134" s="516">
        <v>1</v>
      </c>
      <c r="M134" s="516">
        <f>SUMIFS(Energy_Balance!I$55:I$160,Energy_Balance!$C$55:$C$160,C134,Energy_Balance!$D$55:$D$160,D134)*L134</f>
        <v>40.014768265495256</v>
      </c>
      <c r="N134" s="516">
        <f t="shared" si="155"/>
        <v>86.031751770814793</v>
      </c>
      <c r="O134" s="25"/>
      <c r="P134" s="377">
        <f t="shared" si="227"/>
        <v>2.15</v>
      </c>
      <c r="Q134" s="377">
        <f t="shared" si="227"/>
        <v>2.3176999999999999</v>
      </c>
      <c r="R134" s="377">
        <f t="shared" si="227"/>
        <v>2.4294999999999995</v>
      </c>
      <c r="S134" s="377">
        <f t="shared" si="227"/>
        <v>2.4294999999999995</v>
      </c>
      <c r="T134" s="208"/>
      <c r="U134" s="280"/>
      <c r="V134" s="50">
        <f t="shared" si="228"/>
        <v>0.4128773946360153</v>
      </c>
      <c r="W134" s="50">
        <f t="shared" si="229"/>
        <v>0.4128773946360153</v>
      </c>
      <c r="X134" s="50">
        <f t="shared" si="230"/>
        <v>0.41287739463601525</v>
      </c>
      <c r="Y134" s="50">
        <f t="shared" si="231"/>
        <v>0.4128773946360153</v>
      </c>
      <c r="Z134" s="50">
        <f t="shared" si="232"/>
        <v>0.41287739463601525</v>
      </c>
      <c r="AA134" s="50">
        <f t="shared" si="233"/>
        <v>0.4128773946360153</v>
      </c>
      <c r="AB134" s="50">
        <f t="shared" si="234"/>
        <v>0.41287739463601525</v>
      </c>
      <c r="AC134" s="50">
        <f t="shared" si="235"/>
        <v>0.4128773946360153</v>
      </c>
      <c r="AD134" s="50"/>
      <c r="AE134" s="50">
        <f>IF($G$16=1,AU134,IF($G$16=2,AU134,IF($G$16=3,#REF!,AU134)))</f>
        <v>0.41177739463601531</v>
      </c>
      <c r="AF134" s="50">
        <f>IF($G$16=1,AV134,IF($G$16=2,AV134,IF($G$16=3,#REF!,AV134)))</f>
        <v>0.41177739463601531</v>
      </c>
      <c r="AG134" s="50">
        <f t="shared" si="236"/>
        <v>0.41177739463601537</v>
      </c>
      <c r="AH134" s="50">
        <f t="shared" si="237"/>
        <v>0.41177739463601531</v>
      </c>
      <c r="AI134" s="50">
        <f t="shared" si="238"/>
        <v>0.41177739463601537</v>
      </c>
      <c r="AJ134" s="50">
        <f t="shared" si="239"/>
        <v>0.41177739463601531</v>
      </c>
      <c r="AK134" s="50">
        <f t="shared" si="240"/>
        <v>0.41177739463601537</v>
      </c>
      <c r="AL134" s="50">
        <f t="shared" si="241"/>
        <v>0.41177739463601531</v>
      </c>
      <c r="AO134" s="140">
        <f>(IFERROR(IF(N134/(SUMIF(RES!$D$39:$D$145,D134,$N$39:$N$145))=1,1,(N134/(SUMIF(RES!$D$39:$D$145,D134,$N$39:$N$145))+$AO$28)),0))</f>
        <v>0.4128773946360153</v>
      </c>
      <c r="AP134" s="297">
        <f t="shared" si="242"/>
        <v>0.4128773946360153</v>
      </c>
      <c r="AQ134" s="297">
        <f>AP134</f>
        <v>0.4128773946360153</v>
      </c>
      <c r="AR134" s="297">
        <f t="shared" si="251"/>
        <v>0.4128773946360153</v>
      </c>
      <c r="AS134" s="297">
        <f t="shared" si="252"/>
        <v>0.4128773946360153</v>
      </c>
      <c r="AT134" s="633"/>
      <c r="AU134" s="296">
        <f>(IFERROR(IF($N134/(SUMIF(RES!$D$39:$D$145,$D134,$N$39:$N$145))=1,1,($N134/(SUMIF(RES!$D$39:$D$145,$D134,$N$39:$N$145))-$AU$28)),0))</f>
        <v>0.41177739463601531</v>
      </c>
      <c r="AV134" s="634">
        <f t="shared" si="246"/>
        <v>0.41177739463601531</v>
      </c>
      <c r="AW134" s="634">
        <f t="shared" si="253"/>
        <v>0.41177739463601531</v>
      </c>
      <c r="AX134" s="634">
        <f t="shared" si="253"/>
        <v>0.41177739463601531</v>
      </c>
      <c r="AY134" s="634">
        <f t="shared" si="253"/>
        <v>0.41177739463601531</v>
      </c>
      <c r="AZ134" s="125"/>
      <c r="BA134" s="140"/>
      <c r="BB134" s="140">
        <f t="shared" si="193"/>
        <v>0.4128773946360153</v>
      </c>
      <c r="BC134" s="140">
        <f t="shared" si="194"/>
        <v>0.4128773946360153</v>
      </c>
      <c r="BD134" s="140">
        <f t="shared" si="195"/>
        <v>0.4128773946360153</v>
      </c>
      <c r="BE134" s="140">
        <f t="shared" si="196"/>
        <v>0.4128773946360153</v>
      </c>
      <c r="BF134" s="21" t="str">
        <f t="shared" si="191"/>
        <v/>
      </c>
      <c r="BG134" s="172"/>
      <c r="BH134" s="140">
        <f t="shared" si="197"/>
        <v>0.41177739463601531</v>
      </c>
      <c r="BI134" s="140">
        <f t="shared" si="198"/>
        <v>0.41177739463601531</v>
      </c>
      <c r="BJ134" s="140">
        <f t="shared" si="199"/>
        <v>0.41177739463601531</v>
      </c>
      <c r="BK134" s="125" t="str">
        <f t="shared" si="192"/>
        <v/>
      </c>
      <c r="BL134" s="257" t="s">
        <v>110</v>
      </c>
      <c r="BM134" s="527">
        <f t="shared" si="248"/>
        <v>2.15</v>
      </c>
      <c r="BN134" s="377">
        <f t="shared" si="249"/>
        <v>2.15</v>
      </c>
      <c r="BO134" s="377">
        <f t="shared" si="223"/>
        <v>2.3176999999999999</v>
      </c>
      <c r="BP134" s="377">
        <f t="shared" si="224"/>
        <v>2.4294999999999995</v>
      </c>
      <c r="BQ134" s="377">
        <f t="shared" si="250"/>
        <v>2.4294999999999995</v>
      </c>
      <c r="BR134" s="257" t="s">
        <v>110</v>
      </c>
    </row>
    <row r="135" spans="1:84" ht="15.35" outlineLevel="2">
      <c r="A135" s="251" t="s">
        <v>1055</v>
      </c>
      <c r="B135" s="30" t="s">
        <v>389</v>
      </c>
      <c r="C135" s="43" t="s">
        <v>244</v>
      </c>
      <c r="D135" s="43" t="s">
        <v>269</v>
      </c>
      <c r="E135" s="517">
        <v>0.56999999999999995</v>
      </c>
      <c r="F135" s="600">
        <v>1</v>
      </c>
      <c r="G135" s="600">
        <v>1</v>
      </c>
      <c r="H135" s="600">
        <f t="shared" si="226"/>
        <v>0</v>
      </c>
      <c r="I135" s="628">
        <v>1E-3</v>
      </c>
      <c r="J135" s="517"/>
      <c r="K135" s="48"/>
      <c r="L135" s="516">
        <v>1</v>
      </c>
      <c r="M135" s="516">
        <v>0</v>
      </c>
      <c r="N135" s="516">
        <f t="shared" ref="N135:N143" si="254">E135*M135</f>
        <v>0</v>
      </c>
      <c r="O135" s="25"/>
      <c r="P135" s="377">
        <f t="shared" si="227"/>
        <v>0.56999999999999995</v>
      </c>
      <c r="Q135" s="377">
        <f t="shared" si="227"/>
        <v>0.56999999999999995</v>
      </c>
      <c r="R135" s="377">
        <f t="shared" si="227"/>
        <v>0.56999999999999995</v>
      </c>
      <c r="S135" s="377">
        <f t="shared" si="227"/>
        <v>0.56999999999999995</v>
      </c>
      <c r="T135" s="208"/>
      <c r="U135" s="50"/>
      <c r="V135" s="50">
        <v>0</v>
      </c>
      <c r="W135" s="50">
        <v>0</v>
      </c>
      <c r="X135" s="50">
        <v>0</v>
      </c>
      <c r="Y135" s="50">
        <v>0</v>
      </c>
      <c r="Z135" s="50">
        <v>0</v>
      </c>
      <c r="AA135" s="50">
        <v>0</v>
      </c>
      <c r="AB135" s="50">
        <v>0</v>
      </c>
      <c r="AC135" s="50">
        <v>0</v>
      </c>
      <c r="AD135" s="50">
        <v>0</v>
      </c>
      <c r="AE135" s="50">
        <v>0</v>
      </c>
      <c r="AF135" s="50">
        <v>0</v>
      </c>
      <c r="AG135" s="50">
        <v>0</v>
      </c>
      <c r="AH135" s="50">
        <v>0</v>
      </c>
      <c r="AI135" s="50">
        <v>0</v>
      </c>
      <c r="AJ135" s="50">
        <v>0</v>
      </c>
      <c r="AK135" s="50">
        <v>0</v>
      </c>
      <c r="AL135" s="50">
        <v>0</v>
      </c>
      <c r="AO135" s="140">
        <f>(IFERROR(IF(N135/(SUMIF(RES!$D$39:$D$145,D135,$N$39:$N$145))=1,1,(N135/(SUMIF(RES!$D$39:$D$145,D135,$N$39:$N$145))+$AO$28)),0))</f>
        <v>0</v>
      </c>
      <c r="AP135" s="297">
        <f t="shared" si="242"/>
        <v>0</v>
      </c>
      <c r="AQ135" s="297">
        <f>AP135</f>
        <v>0</v>
      </c>
      <c r="AR135" s="297">
        <f t="shared" si="251"/>
        <v>0</v>
      </c>
      <c r="AS135" s="297">
        <f t="shared" si="252"/>
        <v>0</v>
      </c>
      <c r="AT135" s="633"/>
      <c r="AU135" s="296">
        <f>(IFERROR(IF($N135/(SUMIF(RES!$D$39:$D$145,$D135,$N$39:$N$145))=1,1,($N135/(SUMIF(RES!$D$39:$D$145,$D135,$N$39:$N$145))-$AU$28)),0))</f>
        <v>0</v>
      </c>
      <c r="AV135" s="634">
        <f t="shared" si="246"/>
        <v>0</v>
      </c>
      <c r="AW135" s="634">
        <f t="shared" si="253"/>
        <v>0</v>
      </c>
      <c r="AX135" s="635">
        <v>0</v>
      </c>
      <c r="AY135" s="635">
        <v>0</v>
      </c>
      <c r="AZ135" s="125"/>
      <c r="BA135" s="297"/>
      <c r="BB135" s="297">
        <f t="shared" si="193"/>
        <v>0</v>
      </c>
      <c r="BC135" s="297">
        <f t="shared" si="194"/>
        <v>0</v>
      </c>
      <c r="BD135" s="297">
        <f t="shared" si="195"/>
        <v>0</v>
      </c>
      <c r="BE135" s="297">
        <f t="shared" si="196"/>
        <v>0</v>
      </c>
      <c r="BF135" s="21" t="str">
        <f t="shared" si="191"/>
        <v/>
      </c>
      <c r="BG135" s="172"/>
      <c r="BH135" s="140">
        <f t="shared" si="197"/>
        <v>0</v>
      </c>
      <c r="BI135" s="140">
        <f t="shared" si="198"/>
        <v>0</v>
      </c>
      <c r="BJ135" s="140">
        <f t="shared" si="199"/>
        <v>0</v>
      </c>
      <c r="BK135" s="125" t="str">
        <f t="shared" si="192"/>
        <v/>
      </c>
      <c r="BL135" s="21" t="s">
        <v>517</v>
      </c>
      <c r="BM135" s="527">
        <f t="shared" si="248"/>
        <v>0.56999999999999995</v>
      </c>
      <c r="BN135" s="377">
        <f t="shared" si="249"/>
        <v>0.56999999999999995</v>
      </c>
      <c r="BO135" s="377">
        <f t="shared" si="223"/>
        <v>0.56999999999999995</v>
      </c>
      <c r="BP135" s="377">
        <f t="shared" si="224"/>
        <v>0.56999999999999995</v>
      </c>
      <c r="BQ135" s="377">
        <f t="shared" si="250"/>
        <v>0.56999999999999995</v>
      </c>
      <c r="BR135" s="21" t="s">
        <v>517</v>
      </c>
    </row>
    <row r="136" spans="1:84" ht="15.35" outlineLevel="2">
      <c r="A136" s="108" t="s">
        <v>1056</v>
      </c>
      <c r="B136" s="30" t="s">
        <v>390</v>
      </c>
      <c r="C136" s="43" t="s">
        <v>243</v>
      </c>
      <c r="D136" s="43" t="s">
        <v>269</v>
      </c>
      <c r="E136" s="517">
        <v>0.65</v>
      </c>
      <c r="F136" s="600">
        <v>1</v>
      </c>
      <c r="G136" s="600">
        <v>1</v>
      </c>
      <c r="H136" s="600">
        <f t="shared" si="226"/>
        <v>0</v>
      </c>
      <c r="I136" s="628">
        <v>1E-3</v>
      </c>
      <c r="J136" s="517"/>
      <c r="K136" s="48"/>
      <c r="L136" s="516">
        <v>1</v>
      </c>
      <c r="M136" s="516">
        <v>0</v>
      </c>
      <c r="N136" s="516">
        <f t="shared" si="254"/>
        <v>0</v>
      </c>
      <c r="O136" s="25"/>
      <c r="P136" s="377">
        <f t="shared" si="227"/>
        <v>0.65</v>
      </c>
      <c r="Q136" s="377">
        <f t="shared" si="227"/>
        <v>0.65</v>
      </c>
      <c r="R136" s="377">
        <f t="shared" si="227"/>
        <v>0.65</v>
      </c>
      <c r="S136" s="377">
        <f t="shared" si="227"/>
        <v>0.65</v>
      </c>
      <c r="T136" s="208"/>
      <c r="U136" s="50"/>
      <c r="V136" s="50">
        <v>0</v>
      </c>
      <c r="W136" s="50">
        <v>0</v>
      </c>
      <c r="X136" s="50">
        <v>0</v>
      </c>
      <c r="Y136" s="50">
        <v>0</v>
      </c>
      <c r="Z136" s="50">
        <v>0</v>
      </c>
      <c r="AA136" s="50">
        <v>0</v>
      </c>
      <c r="AB136" s="50">
        <v>0</v>
      </c>
      <c r="AC136" s="50">
        <v>0</v>
      </c>
      <c r="AD136" s="50">
        <v>0</v>
      </c>
      <c r="AE136" s="50">
        <v>0</v>
      </c>
      <c r="AF136" s="50">
        <v>0</v>
      </c>
      <c r="AG136" s="50">
        <v>0</v>
      </c>
      <c r="AH136" s="50">
        <v>0</v>
      </c>
      <c r="AI136" s="50">
        <v>0</v>
      </c>
      <c r="AJ136" s="50">
        <v>0</v>
      </c>
      <c r="AK136" s="50">
        <v>0</v>
      </c>
      <c r="AL136" s="50">
        <v>0</v>
      </c>
      <c r="AO136" s="140">
        <f>(IFERROR(IF(N136/(SUMIF(RES!$D$39:$D$145,D136,$N$39:$N$145))=1,1,(N136/(SUMIF(RES!$D$39:$D$145,D136,$N$39:$N$145))+$AO$28)),0))</f>
        <v>0</v>
      </c>
      <c r="AP136" s="297">
        <f t="shared" si="242"/>
        <v>0</v>
      </c>
      <c r="AQ136" s="297">
        <f>AP136</f>
        <v>0</v>
      </c>
      <c r="AR136" s="297">
        <f t="shared" si="251"/>
        <v>0</v>
      </c>
      <c r="AS136" s="297">
        <f t="shared" si="252"/>
        <v>0</v>
      </c>
      <c r="AT136" s="633"/>
      <c r="AU136" s="296">
        <f>(IFERROR(IF($N136/(SUMIF(RES!$D$39:$D$145,$D136,$N$39:$N$145))=1,1,($N136/(SUMIF(RES!$D$39:$D$145,$D136,$N$39:$N$145))-$AU$28)),0))</f>
        <v>0</v>
      </c>
      <c r="AV136" s="634">
        <f t="shared" si="246"/>
        <v>0</v>
      </c>
      <c r="AW136" s="634">
        <f t="shared" si="253"/>
        <v>0</v>
      </c>
      <c r="AX136" s="635">
        <v>0</v>
      </c>
      <c r="AY136" s="635">
        <v>0</v>
      </c>
      <c r="AZ136" s="125"/>
      <c r="BA136" s="140"/>
      <c r="BB136" s="140">
        <f t="shared" si="193"/>
        <v>0</v>
      </c>
      <c r="BC136" s="140">
        <f t="shared" si="194"/>
        <v>0</v>
      </c>
      <c r="BD136" s="140">
        <f t="shared" si="195"/>
        <v>0</v>
      </c>
      <c r="BE136" s="140">
        <f t="shared" si="196"/>
        <v>0</v>
      </c>
      <c r="BF136" s="21" t="str">
        <f t="shared" si="191"/>
        <v/>
      </c>
      <c r="BG136" s="172"/>
      <c r="BH136" s="140">
        <f t="shared" si="197"/>
        <v>0</v>
      </c>
      <c r="BI136" s="140">
        <f t="shared" si="198"/>
        <v>0</v>
      </c>
      <c r="BJ136" s="140">
        <f t="shared" si="199"/>
        <v>0</v>
      </c>
      <c r="BK136" s="125" t="str">
        <f t="shared" si="192"/>
        <v/>
      </c>
      <c r="BL136" s="21" t="s">
        <v>517</v>
      </c>
      <c r="BM136" s="527">
        <f t="shared" si="248"/>
        <v>0.65</v>
      </c>
      <c r="BN136" s="377">
        <f t="shared" si="249"/>
        <v>0.65</v>
      </c>
      <c r="BO136" s="377">
        <f t="shared" si="223"/>
        <v>0.65</v>
      </c>
      <c r="BP136" s="377">
        <f t="shared" si="224"/>
        <v>0.65</v>
      </c>
      <c r="BQ136" s="377">
        <f t="shared" si="250"/>
        <v>0.65</v>
      </c>
      <c r="BR136" s="21" t="s">
        <v>517</v>
      </c>
    </row>
    <row r="137" spans="1:84" s="169" customFormat="1" ht="15" outlineLevel="2">
      <c r="A137" s="108" t="s">
        <v>1057</v>
      </c>
      <c r="B137" s="30" t="s">
        <v>392</v>
      </c>
      <c r="C137" s="43" t="s">
        <v>173</v>
      </c>
      <c r="D137" s="43" t="s">
        <v>269</v>
      </c>
      <c r="E137" s="517">
        <v>0.86</v>
      </c>
      <c r="F137" s="600">
        <v>1</v>
      </c>
      <c r="G137" s="600">
        <v>1</v>
      </c>
      <c r="H137" s="600">
        <f t="shared" si="226"/>
        <v>0</v>
      </c>
      <c r="I137" s="628">
        <v>1E-3</v>
      </c>
      <c r="J137" s="517"/>
      <c r="K137" s="48"/>
      <c r="L137" s="516">
        <v>1</v>
      </c>
      <c r="M137" s="516">
        <v>0</v>
      </c>
      <c r="N137" s="516">
        <f t="shared" si="254"/>
        <v>0</v>
      </c>
      <c r="O137" s="25"/>
      <c r="P137" s="377">
        <f t="shared" si="227"/>
        <v>0.86</v>
      </c>
      <c r="Q137" s="377">
        <f t="shared" si="227"/>
        <v>0.86</v>
      </c>
      <c r="R137" s="377">
        <f t="shared" si="227"/>
        <v>0.86</v>
      </c>
      <c r="S137" s="377">
        <f t="shared" si="227"/>
        <v>0.86</v>
      </c>
      <c r="T137" s="208"/>
      <c r="U137" s="50"/>
      <c r="V137" s="50">
        <v>0</v>
      </c>
      <c r="W137" s="50">
        <v>0</v>
      </c>
      <c r="X137" s="50">
        <v>0</v>
      </c>
      <c r="Y137" s="50">
        <v>0</v>
      </c>
      <c r="Z137" s="50">
        <v>0</v>
      </c>
      <c r="AA137" s="50">
        <v>0</v>
      </c>
      <c r="AB137" s="50">
        <v>0</v>
      </c>
      <c r="AC137" s="50">
        <v>0</v>
      </c>
      <c r="AD137" s="50">
        <v>0</v>
      </c>
      <c r="AE137" s="50">
        <v>0</v>
      </c>
      <c r="AF137" s="50">
        <v>0</v>
      </c>
      <c r="AG137" s="50">
        <v>0</v>
      </c>
      <c r="AH137" s="50">
        <v>0</v>
      </c>
      <c r="AI137" s="50">
        <v>0</v>
      </c>
      <c r="AJ137" s="50">
        <v>0</v>
      </c>
      <c r="AK137" s="50">
        <v>0</v>
      </c>
      <c r="AL137" s="50">
        <v>0</v>
      </c>
      <c r="AM137"/>
      <c r="AN137"/>
      <c r="AO137" s="140">
        <f>(IFERROR(IF(N137/(SUMIF(RES!$D$39:$D$145,D137,$N$39:$N$145))=1,1,(N137/(SUMIF(RES!$D$39:$D$145,D137,$N$39:$N$145))+$AO$28)),0))</f>
        <v>0</v>
      </c>
      <c r="AP137" s="296">
        <f t="shared" si="242"/>
        <v>0</v>
      </c>
      <c r="AQ137" s="296">
        <f t="shared" ref="AQ137" si="255">AP137</f>
        <v>0</v>
      </c>
      <c r="AR137" s="296">
        <f t="shared" si="251"/>
        <v>0</v>
      </c>
      <c r="AS137" s="296">
        <f t="shared" si="252"/>
        <v>0</v>
      </c>
      <c r="AT137" s="632"/>
      <c r="AU137" s="296">
        <v>0</v>
      </c>
      <c r="AV137" s="296">
        <v>0</v>
      </c>
      <c r="AW137" s="296">
        <v>0</v>
      </c>
      <c r="AX137" s="296">
        <v>0</v>
      </c>
      <c r="AY137" s="296">
        <v>0</v>
      </c>
      <c r="AZ137" s="175"/>
      <c r="BA137" s="172"/>
      <c r="BB137" s="172">
        <f t="shared" si="193"/>
        <v>0</v>
      </c>
      <c r="BC137" s="172">
        <f t="shared" si="194"/>
        <v>0</v>
      </c>
      <c r="BD137" s="172">
        <f t="shared" si="195"/>
        <v>0</v>
      </c>
      <c r="BE137" s="172">
        <f t="shared" si="196"/>
        <v>0</v>
      </c>
      <c r="BF137" s="173" t="str">
        <f t="shared" si="191"/>
        <v/>
      </c>
      <c r="BG137" s="172"/>
      <c r="BH137" s="172">
        <f t="shared" si="197"/>
        <v>0</v>
      </c>
      <c r="BI137" s="172">
        <f t="shared" si="198"/>
        <v>0</v>
      </c>
      <c r="BJ137" s="172">
        <f t="shared" si="199"/>
        <v>0</v>
      </c>
      <c r="BK137" s="175" t="str">
        <f t="shared" si="192"/>
        <v/>
      </c>
      <c r="BL137" s="173" t="s">
        <v>517</v>
      </c>
      <c r="BM137" s="527">
        <f t="shared" si="248"/>
        <v>0.86</v>
      </c>
      <c r="BN137" s="377">
        <f t="shared" si="249"/>
        <v>0.86</v>
      </c>
      <c r="BO137" s="377">
        <f t="shared" si="223"/>
        <v>0.86</v>
      </c>
      <c r="BP137" s="377">
        <f t="shared" si="224"/>
        <v>0.86</v>
      </c>
      <c r="BQ137" s="377">
        <f t="shared" si="250"/>
        <v>0.86</v>
      </c>
      <c r="BR137" s="173" t="s">
        <v>517</v>
      </c>
      <c r="BS137"/>
      <c r="BT137"/>
      <c r="BU137"/>
      <c r="BV137"/>
      <c r="BW137"/>
      <c r="BX137"/>
      <c r="BY137"/>
      <c r="BZ137"/>
      <c r="CA137"/>
      <c r="CB137"/>
      <c r="CC137"/>
      <c r="CD137"/>
      <c r="CE137"/>
      <c r="CF137"/>
    </row>
    <row r="138" spans="1:84" s="195" customFormat="1" ht="15">
      <c r="A138" s="556" t="s">
        <v>974</v>
      </c>
      <c r="B138" s="557"/>
      <c r="C138" s="558"/>
      <c r="D138" s="558"/>
      <c r="E138" s="559" t="str">
        <f>IF(D138="","",IF(COUNTIF(#REF!,$B138)=1,SUMIF(#REF!,RES!B138,#REF!),SUMIF(#REF!,RES!$B138,#REF!)))</f>
        <v/>
      </c>
      <c r="F138" s="559"/>
      <c r="G138" s="559"/>
      <c r="H138" s="559"/>
      <c r="I138" s="629"/>
      <c r="J138" s="559"/>
      <c r="K138" s="560"/>
      <c r="L138" s="561"/>
      <c r="M138" s="561">
        <f>M132+M133+M134</f>
        <v>120.04430479648576</v>
      </c>
      <c r="N138" s="561">
        <f>SUM(N135:N137)</f>
        <v>0</v>
      </c>
      <c r="O138" s="196"/>
      <c r="P138" s="562"/>
      <c r="Q138" s="562"/>
      <c r="R138" s="562"/>
      <c r="S138" s="562"/>
      <c r="T138" s="563"/>
      <c r="U138" s="564"/>
      <c r="V138" s="564">
        <f t="shared" ref="V138:V143" si="256">IF($G$16=1,AO138,IF($G$16=2,AO138,IF($G$16=3,BB138,AO138)))</f>
        <v>1.0029999999999999</v>
      </c>
      <c r="W138" s="564"/>
      <c r="X138" s="564"/>
      <c r="Y138" s="564"/>
      <c r="Z138" s="564"/>
      <c r="AA138" s="564"/>
      <c r="AB138" s="564"/>
      <c r="AC138" s="564"/>
      <c r="AD138" s="564"/>
      <c r="AE138" s="564">
        <f t="shared" ref="AE138:AE143" si="257">IF($G$16=1,AU138,IF($G$16=2,AU138,IF($G$16=3,BH138,AU138)))</f>
        <v>0</v>
      </c>
      <c r="AF138" s="564"/>
      <c r="AG138" s="564"/>
      <c r="AH138" s="564"/>
      <c r="AI138" s="564"/>
      <c r="AJ138" s="564"/>
      <c r="AK138" s="564"/>
      <c r="AL138" s="564"/>
      <c r="AO138" s="566">
        <f>SUM(AO132:AO137)</f>
        <v>1.0029999999999999</v>
      </c>
      <c r="AP138" s="642">
        <f t="shared" ref="AP138:AS138" si="258">SUM(AP132:AP137)</f>
        <v>1.0029999999999999</v>
      </c>
      <c r="AQ138" s="642">
        <f t="shared" si="258"/>
        <v>1.0029999999999999</v>
      </c>
      <c r="AR138" s="642">
        <f t="shared" si="258"/>
        <v>1.0029999999999999</v>
      </c>
      <c r="AS138" s="642">
        <f t="shared" si="258"/>
        <v>1.0029999999999999</v>
      </c>
      <c r="AT138" s="638"/>
      <c r="AU138" s="639">
        <f>(IFERROR(IF($N138/(SUMIF(RES!$D$39:$D$145,$D138,$N$39:$N$145))=1,1,($N138/(SUMIF(RES!$D$39:$D$145,$D138,$N$39:$N$145))-$AU$28)),0))</f>
        <v>0</v>
      </c>
      <c r="AV138" s="639"/>
      <c r="AW138" s="639"/>
      <c r="AX138" s="639"/>
      <c r="AY138" s="639"/>
      <c r="AZ138" s="568"/>
      <c r="BA138" s="566"/>
      <c r="BB138" s="566">
        <f t="shared" si="193"/>
        <v>1.0029999999999999</v>
      </c>
      <c r="BC138" s="566">
        <f t="shared" si="194"/>
        <v>1.0029999999999999</v>
      </c>
      <c r="BD138" s="566">
        <f t="shared" si="195"/>
        <v>1.0029999999999999</v>
      </c>
      <c r="BE138" s="566">
        <f t="shared" si="196"/>
        <v>1.0029999999999999</v>
      </c>
      <c r="BF138" s="567" t="str">
        <f t="shared" si="191"/>
        <v/>
      </c>
      <c r="BG138" s="569"/>
      <c r="BH138" s="569" t="str">
        <f t="shared" si="197"/>
        <v/>
      </c>
      <c r="BI138" s="569" t="str">
        <f t="shared" si="198"/>
        <v/>
      </c>
      <c r="BJ138" s="569" t="str">
        <f t="shared" si="199"/>
        <v/>
      </c>
      <c r="BK138" s="568" t="str">
        <f t="shared" si="192"/>
        <v/>
      </c>
      <c r="BL138" s="567"/>
      <c r="BN138" s="562" t="str">
        <f>IF($BL138="","",($BP138-$BM138)*5/25+$BM138)</f>
        <v/>
      </c>
      <c r="BO138" s="562" t="str">
        <f t="shared" si="223"/>
        <v/>
      </c>
      <c r="BP138" s="562" t="str">
        <f t="shared" si="224"/>
        <v/>
      </c>
      <c r="BQ138" s="562" t="str">
        <f>IF(G138="","",IF(COUNTIF(#REF!,$B138)=1,SUMIF(#REF!,RES!$B138,#REF!),SUMIF(#REF!,RES!$B138,#REF!)))</f>
        <v/>
      </c>
    </row>
    <row r="139" spans="1:84" s="237" customFormat="1" ht="15">
      <c r="A139" s="577" t="s">
        <v>975</v>
      </c>
      <c r="B139" s="578" t="s">
        <v>334</v>
      </c>
      <c r="C139" s="588"/>
      <c r="D139" s="588"/>
      <c r="E139" s="590" t="str">
        <f>IF(D139="","",IF(COUNTIF(#REF!,$B139)=1,SUMIF(#REF!,RES!B139,#REF!),SUMIF(#REF!,RES!$B139,#REF!)))</f>
        <v/>
      </c>
      <c r="F139" s="590"/>
      <c r="G139" s="590"/>
      <c r="H139" s="590"/>
      <c r="I139" s="630"/>
      <c r="J139" s="590"/>
      <c r="K139" s="579"/>
      <c r="L139" s="592"/>
      <c r="M139" s="592"/>
      <c r="N139" s="592"/>
      <c r="O139" s="584"/>
      <c r="P139" s="593"/>
      <c r="Q139" s="593"/>
      <c r="R139" s="593"/>
      <c r="S139" s="593"/>
      <c r="T139" s="594"/>
      <c r="U139" s="595"/>
      <c r="V139" s="595">
        <f t="shared" si="256"/>
        <v>0</v>
      </c>
      <c r="W139" s="595"/>
      <c r="X139" s="595"/>
      <c r="Y139" s="595"/>
      <c r="Z139" s="595"/>
      <c r="AA139" s="595"/>
      <c r="AB139" s="595"/>
      <c r="AC139" s="595"/>
      <c r="AD139" s="595"/>
      <c r="AE139" s="595">
        <f t="shared" si="257"/>
        <v>0</v>
      </c>
      <c r="AF139" s="595"/>
      <c r="AG139" s="595"/>
      <c r="AH139" s="595"/>
      <c r="AI139" s="595"/>
      <c r="AJ139" s="595"/>
      <c r="AK139" s="595"/>
      <c r="AL139" s="595"/>
      <c r="AO139" s="596"/>
      <c r="AP139" s="640"/>
      <c r="AQ139" s="640"/>
      <c r="AR139" s="640"/>
      <c r="AS139" s="640"/>
      <c r="AT139" s="641"/>
      <c r="AU139" s="640">
        <f>(IFERROR(IF($N139/(SUMIF(RES!$D$39:$D$145,$D139,$N$39:$N$145))=1,1,($N139/(SUMIF(RES!$D$39:$D$145,$D139,$N$39:$N$145))-$AU$28)),0))</f>
        <v>0</v>
      </c>
      <c r="AV139" s="640"/>
      <c r="AW139" s="640"/>
      <c r="AX139" s="640"/>
      <c r="AY139" s="640"/>
      <c r="AZ139" s="587"/>
      <c r="BA139" s="596"/>
      <c r="BB139" s="596" t="str">
        <f t="shared" si="193"/>
        <v/>
      </c>
      <c r="BC139" s="596" t="str">
        <f t="shared" si="194"/>
        <v/>
      </c>
      <c r="BD139" s="596" t="str">
        <f t="shared" si="195"/>
        <v/>
      </c>
      <c r="BE139" s="596" t="str">
        <f t="shared" si="196"/>
        <v/>
      </c>
      <c r="BF139" s="586" t="str">
        <f t="shared" si="191"/>
        <v/>
      </c>
      <c r="BG139" s="596"/>
      <c r="BH139" s="596" t="str">
        <f t="shared" si="197"/>
        <v/>
      </c>
      <c r="BI139" s="596" t="str">
        <f t="shared" si="198"/>
        <v/>
      </c>
      <c r="BJ139" s="596" t="str">
        <f t="shared" si="199"/>
        <v/>
      </c>
      <c r="BK139" s="587" t="str">
        <f t="shared" si="192"/>
        <v/>
      </c>
      <c r="BL139" s="586"/>
      <c r="BN139" s="593" t="str">
        <f>IF($BL139="","",($BP139-$BM139)*5/25+$BM139)</f>
        <v/>
      </c>
      <c r="BO139" s="593" t="str">
        <f t="shared" si="223"/>
        <v/>
      </c>
      <c r="BP139" s="593" t="str">
        <f t="shared" si="224"/>
        <v/>
      </c>
      <c r="BQ139" s="593" t="str">
        <f>IF(G139="","",IF(COUNTIF(#REF!,$B139)=1,SUMIF(#REF!,RES!$B139,#REF!),SUMIF(#REF!,RES!$B139,#REF!)))</f>
        <v/>
      </c>
    </row>
    <row r="140" spans="1:84" s="169" customFormat="1" ht="15" outlineLevel="1">
      <c r="A140" s="108" t="s">
        <v>1058</v>
      </c>
      <c r="B140" s="30" t="s">
        <v>393</v>
      </c>
      <c r="C140" s="43" t="s">
        <v>242</v>
      </c>
      <c r="D140" s="43" t="s">
        <v>270</v>
      </c>
      <c r="E140" s="525">
        <f>INDEX('Electrical efficiency'!$L$8:$L$23,MATCH(RES!D140,'Electrical efficiency'!$K$8:$K$23,0))</f>
        <v>0.64200000000000002</v>
      </c>
      <c r="F140" s="600">
        <v>1</v>
      </c>
      <c r="G140" s="600">
        <v>1</v>
      </c>
      <c r="H140" s="600">
        <f>N140/F140*(1+$D$31)</f>
        <v>9.1228493232049725</v>
      </c>
      <c r="I140" s="628">
        <v>1E-3</v>
      </c>
      <c r="J140" s="517"/>
      <c r="K140" s="48" t="s">
        <v>931</v>
      </c>
      <c r="L140" s="516">
        <v>1</v>
      </c>
      <c r="M140" s="516">
        <f>IF(C140="","",SUMIFS(Energy_Balance!I$55:I$160,Energy_Balance!$C$55:$C$160,C140,Energy_Balance!$D$55:$D$160,D140)*L140)</f>
        <v>14.210045674774101</v>
      </c>
      <c r="N140" s="516">
        <f t="shared" si="254"/>
        <v>9.1228493232049725</v>
      </c>
      <c r="O140" s="25"/>
      <c r="P140" s="377">
        <f>IF($G$16=0,BN140,IF($G$16=1,BS140,IF($G$16=2,BX140,IF($G$16=3,BN140,IF($G$16=4,BS140,"NA")))))</f>
        <v>0.72954545454545461</v>
      </c>
      <c r="Q140" s="377">
        <f>IF($G$16=0,BO140,IF($G$16=1,BT140,IF($G$16=2,BY140,IF($G$16=3,BO140,IF($G$16=4,BT140,"NA")))))</f>
        <v>1.1672727272727272</v>
      </c>
      <c r="R140" s="377">
        <f>IF($G$16=0,BP140,IF($G$16=1,BU140,IF($G$16=2,BZ140,IF($G$16=3,BP140,IF($G$16=4,BU140,"NA")))))</f>
        <v>1.3102040816326532</v>
      </c>
      <c r="S140" s="377">
        <f>IF($G$16=0,BQ140,IF($G$16=1,BV140,IF($G$16=2,CA140,IF($G$16=3,BQ140,IF($G$16=4,BV140,"NA")))))</f>
        <v>1.3102040816326532</v>
      </c>
      <c r="T140" s="208"/>
      <c r="U140" s="50"/>
      <c r="V140" s="50">
        <f t="shared" si="256"/>
        <v>1</v>
      </c>
      <c r="W140" s="50">
        <f>IF($G$16=1,AP140,IF($G$16=2,AP140,IF($G$16=3,BB140,AP140)))</f>
        <v>1</v>
      </c>
      <c r="X140" s="50">
        <f>$V$32*W140+(1-$V$32)*Y140</f>
        <v>1</v>
      </c>
      <c r="Y140" s="50">
        <f>IF($G$16=1,AQ140,IF($G$16=2,AQ140,IF($G$16=3,BC140,AQ140)))</f>
        <v>1</v>
      </c>
      <c r="Z140" s="50">
        <f>$V$32*Y140+(1-$V$32)*AA140</f>
        <v>1</v>
      </c>
      <c r="AA140" s="50">
        <f>IF($G$16=1,AR140,IF($G$16=2,AR140,IF($G$16=3,BD140,AR140)))</f>
        <v>1</v>
      </c>
      <c r="AB140" s="50">
        <f>$V$32*AA140+(1-$V$32)*AC140</f>
        <v>1</v>
      </c>
      <c r="AC140" s="50">
        <f>IF($G$16=1,AS140,IF($G$16=2,AS140,IF($G$16=3,BE140,AS140)))</f>
        <v>1</v>
      </c>
      <c r="AD140" s="50"/>
      <c r="AE140" s="50">
        <f t="shared" si="257"/>
        <v>1</v>
      </c>
      <c r="AF140" s="50">
        <f>IF($G$16=1,AV140,IF($G$16=2,AV140,IF($G$16=3,#REF!,AV140)))</f>
        <v>1</v>
      </c>
      <c r="AG140" s="50">
        <f>$V$32*AF140+(1-$V$32)*AH140</f>
        <v>1</v>
      </c>
      <c r="AH140" s="50">
        <f>IF($G$16=1,AW140,IF($G$16=2,AW140,IF($G$16=3,BH140,AW140)))</f>
        <v>1</v>
      </c>
      <c r="AI140" s="50">
        <f>$V$32*AH140+(1-$V$32)*AJ140</f>
        <v>1</v>
      </c>
      <c r="AJ140" s="50">
        <f>IF($G$16=1,AX140,IF($G$16=2,AX140,IF($G$16=3,BI140,AX140)))</f>
        <v>1</v>
      </c>
      <c r="AK140" s="50">
        <f>$V$32*AJ140+(1-$V$32)*AL140</f>
        <v>1</v>
      </c>
      <c r="AL140" s="50">
        <f>IF($G$16=1,AY140,IF($G$16=2,AY140,IF($G$16=3,BJ140,AY140)))</f>
        <v>1</v>
      </c>
      <c r="AM140"/>
      <c r="AN140"/>
      <c r="AO140" s="140">
        <f>(IFERROR(IF(N140/(SUMIF(RES!$D$39:$D$145,D140,$N$39:$N$145))=1,1,(N140/(SUMIF(RES!$D$39:$D$145,D140,$N$39:$N$145))+$AO$28)),0))</f>
        <v>1</v>
      </c>
      <c r="AP140" s="296">
        <f>AO140</f>
        <v>1</v>
      </c>
      <c r="AQ140" s="296">
        <f t="shared" ref="AQ140" si="259">AP140</f>
        <v>1</v>
      </c>
      <c r="AR140" s="296">
        <f t="shared" ref="AR140" si="260">AQ140</f>
        <v>1</v>
      </c>
      <c r="AS140" s="296">
        <f t="shared" ref="AS140" si="261">AR140</f>
        <v>1</v>
      </c>
      <c r="AT140" s="632"/>
      <c r="AU140" s="296">
        <f>(IFERROR(IF($N140/(SUMIF(RES!$D$39:$D$145,$D140,$N$39:$N$145))=1,1,($N140/(SUMIF(RES!$D$39:$D$145,$D140,$N$39:$N$145))-$AU$28)),0))</f>
        <v>1</v>
      </c>
      <c r="AV140" s="296">
        <f>AU140</f>
        <v>1</v>
      </c>
      <c r="AW140" s="296">
        <f t="shared" ref="AW140:AY140" si="262">AV140</f>
        <v>1</v>
      </c>
      <c r="AX140" s="296">
        <f t="shared" si="262"/>
        <v>1</v>
      </c>
      <c r="AY140" s="296">
        <f t="shared" si="262"/>
        <v>1</v>
      </c>
      <c r="AZ140" s="175"/>
      <c r="BA140" s="172"/>
      <c r="BB140" s="172">
        <f t="shared" si="193"/>
        <v>1</v>
      </c>
      <c r="BC140" s="172">
        <f t="shared" si="194"/>
        <v>1</v>
      </c>
      <c r="BD140" s="172">
        <f t="shared" si="195"/>
        <v>1</v>
      </c>
      <c r="BE140" s="172">
        <f t="shared" si="196"/>
        <v>1</v>
      </c>
      <c r="BF140" s="173" t="str">
        <f t="shared" si="191"/>
        <v/>
      </c>
      <c r="BG140" s="172"/>
      <c r="BH140" s="172">
        <f t="shared" si="197"/>
        <v>1</v>
      </c>
      <c r="BI140" s="172">
        <f t="shared" si="198"/>
        <v>1</v>
      </c>
      <c r="BJ140" s="172">
        <f t="shared" si="199"/>
        <v>1</v>
      </c>
      <c r="BK140" s="175" t="str">
        <f t="shared" si="192"/>
        <v/>
      </c>
      <c r="BL140" s="257" t="s">
        <v>110</v>
      </c>
      <c r="BM140" s="527">
        <f>E140</f>
        <v>0.64200000000000002</v>
      </c>
      <c r="BN140" s="377">
        <f>INDEX('Electrical efficiency'!$M$8:$M$23,MATCH(RES!D140,'Electrical efficiency'!$K$8:$K$23,0))</f>
        <v>0.72954545454545461</v>
      </c>
      <c r="BO140" s="377">
        <f>INDEX('Electrical efficiency'!$N$8:$N$23,MATCH(RES!D140,'Electrical efficiency'!$K$8:$K$23,0))</f>
        <v>1.1672727272727272</v>
      </c>
      <c r="BP140" s="377">
        <f>INDEX('Electrical efficiency'!$O$8:$O$23,MATCH(RES!D140,'Electrical efficiency'!$K$8:$K$23,0))</f>
        <v>1.3102040816326532</v>
      </c>
      <c r="BQ140" s="377">
        <f>INDEX('Electrical efficiency'!$P$8:$P$23,MATCH(RES!D140,'Electrical efficiency'!$K$8:$K$23,0))</f>
        <v>1.3102040816326532</v>
      </c>
      <c r="BR140" s="257" t="s">
        <v>110</v>
      </c>
      <c r="BS140"/>
      <c r="BT140"/>
      <c r="BU140"/>
      <c r="BV140"/>
      <c r="BW140"/>
      <c r="BX140"/>
      <c r="BY140"/>
      <c r="BZ140"/>
      <c r="CA140"/>
      <c r="CB140"/>
      <c r="CC140"/>
      <c r="CD140"/>
      <c r="CE140"/>
      <c r="CF140"/>
    </row>
    <row r="141" spans="1:84" s="195" customFormat="1" ht="15" outlineLevel="1">
      <c r="A141" s="556" t="s">
        <v>974</v>
      </c>
      <c r="B141" s="557"/>
      <c r="C141" s="558"/>
      <c r="D141" s="558"/>
      <c r="E141" s="559" t="str">
        <f>IF(D141="","",IF(COUNTIF(#REF!,$B141)=1,SUMIF(#REF!,RES!B141,#REF!),SUMIF(#REF!,RES!$B141,#REF!)))</f>
        <v/>
      </c>
      <c r="F141" s="559"/>
      <c r="G141" s="559"/>
      <c r="H141" s="559"/>
      <c r="I141" s="629"/>
      <c r="J141" s="559"/>
      <c r="K141" s="560"/>
      <c r="L141" s="561"/>
      <c r="M141" s="561">
        <f>SUM(M140:M140)</f>
        <v>14.210045674774101</v>
      </c>
      <c r="N141" s="561">
        <f>SUM(N140:N140)</f>
        <v>9.1228493232049725</v>
      </c>
      <c r="O141" s="196"/>
      <c r="P141" s="562"/>
      <c r="Q141" s="562"/>
      <c r="R141" s="562"/>
      <c r="S141" s="562"/>
      <c r="T141" s="563"/>
      <c r="U141" s="564"/>
      <c r="V141" s="564">
        <f t="shared" si="256"/>
        <v>1</v>
      </c>
      <c r="W141" s="564"/>
      <c r="X141" s="564"/>
      <c r="Y141" s="564"/>
      <c r="Z141" s="564"/>
      <c r="AA141" s="564"/>
      <c r="AB141" s="564"/>
      <c r="AC141" s="564"/>
      <c r="AD141" s="564"/>
      <c r="AE141" s="564">
        <f t="shared" si="257"/>
        <v>0</v>
      </c>
      <c r="AF141" s="564"/>
      <c r="AG141" s="564"/>
      <c r="AH141" s="564"/>
      <c r="AI141" s="564"/>
      <c r="AJ141" s="564"/>
      <c r="AK141" s="564"/>
      <c r="AL141" s="564"/>
      <c r="AO141" s="573">
        <f>SUM(AO140:AO140)</f>
        <v>1</v>
      </c>
      <c r="AP141" s="637">
        <f>SUM(AP140:AP140)</f>
        <v>1</v>
      </c>
      <c r="AQ141" s="637">
        <f>SUM(AQ140:AQ140)</f>
        <v>1</v>
      </c>
      <c r="AR141" s="637">
        <f>SUM(AR140:AR140)</f>
        <v>1</v>
      </c>
      <c r="AS141" s="637">
        <f>SUM(AS140:AS140)</f>
        <v>1</v>
      </c>
      <c r="AT141" s="638"/>
      <c r="AU141" s="639">
        <f>(IFERROR(IF($N141/(SUMIF(RES!$D$39:$D$145,$D141,$N$39:$N$145))=1,1,($N141/(SUMIF(RES!$D$39:$D$145,$D141,$N$39:$N$145))-$AU$28)),0))</f>
        <v>0</v>
      </c>
      <c r="AV141" s="639"/>
      <c r="AW141" s="639"/>
      <c r="AX141" s="639"/>
      <c r="AY141" s="639"/>
      <c r="AZ141" s="568"/>
      <c r="BA141" s="573"/>
      <c r="BB141" s="573">
        <f t="shared" si="193"/>
        <v>1</v>
      </c>
      <c r="BC141" s="573">
        <f t="shared" si="194"/>
        <v>1</v>
      </c>
      <c r="BD141" s="573">
        <f t="shared" si="195"/>
        <v>1</v>
      </c>
      <c r="BE141" s="573">
        <f t="shared" si="196"/>
        <v>1</v>
      </c>
      <c r="BF141" s="567" t="str">
        <f t="shared" si="191"/>
        <v/>
      </c>
      <c r="BG141" s="569"/>
      <c r="BH141" s="569" t="str">
        <f t="shared" si="197"/>
        <v/>
      </c>
      <c r="BI141" s="569" t="str">
        <f t="shared" si="198"/>
        <v/>
      </c>
      <c r="BJ141" s="569" t="str">
        <f t="shared" si="199"/>
        <v/>
      </c>
      <c r="BK141" s="568" t="str">
        <f t="shared" si="192"/>
        <v/>
      </c>
      <c r="BL141" s="567"/>
      <c r="BN141" s="562" t="str">
        <f>IF($BL141="","",($BP141-$BM141)*5/25+$BM141)</f>
        <v/>
      </c>
      <c r="BO141" s="562" t="str">
        <f>IF($BL141="","",($BP141-$BM141)*15/25+$BM141)</f>
        <v/>
      </c>
      <c r="BP141" s="562" t="str">
        <f>IF($BL141="","",IF($BL141="*",$BM141*(1+$BN$29),E141))</f>
        <v/>
      </c>
      <c r="BQ141" s="562" t="str">
        <f>IF(G141="","",IF(COUNTIF(#REF!,$B141)=1,SUMIF(#REF!,RES!$B141,#REF!),SUMIF(#REF!,RES!$B141,#REF!)))</f>
        <v/>
      </c>
    </row>
    <row r="142" spans="1:84" s="237" customFormat="1" ht="15">
      <c r="A142" s="577" t="s">
        <v>1059</v>
      </c>
      <c r="B142" s="578" t="s">
        <v>334</v>
      </c>
      <c r="C142" s="588"/>
      <c r="D142" s="588"/>
      <c r="E142" s="590" t="str">
        <f>IF(D142="","",IF(COUNTIF(#REF!,$B142)=1,SUMIF(#REF!,RES!B142,#REF!),SUMIF(#REF!,RES!$B142,#REF!)))</f>
        <v/>
      </c>
      <c r="F142" s="590"/>
      <c r="G142" s="590"/>
      <c r="H142" s="590"/>
      <c r="I142" s="630"/>
      <c r="J142" s="590"/>
      <c r="K142" s="579"/>
      <c r="L142" s="592"/>
      <c r="M142" s="592"/>
      <c r="N142" s="592"/>
      <c r="O142" s="584"/>
      <c r="P142" s="593"/>
      <c r="Q142" s="593"/>
      <c r="R142" s="593"/>
      <c r="S142" s="593"/>
      <c r="T142" s="594"/>
      <c r="U142" s="595"/>
      <c r="V142" s="595">
        <f t="shared" si="256"/>
        <v>0</v>
      </c>
      <c r="W142" s="595"/>
      <c r="X142" s="595"/>
      <c r="Y142" s="595"/>
      <c r="Z142" s="595"/>
      <c r="AA142" s="595"/>
      <c r="AB142" s="595"/>
      <c r="AC142" s="595"/>
      <c r="AD142" s="595"/>
      <c r="AE142" s="595">
        <f t="shared" si="257"/>
        <v>0</v>
      </c>
      <c r="AF142" s="595"/>
      <c r="AG142" s="595"/>
      <c r="AH142" s="595"/>
      <c r="AI142" s="595"/>
      <c r="AJ142" s="595"/>
      <c r="AK142" s="595"/>
      <c r="AL142" s="595"/>
      <c r="AO142" s="596"/>
      <c r="AP142" s="640"/>
      <c r="AQ142" s="640"/>
      <c r="AR142" s="640"/>
      <c r="AS142" s="640"/>
      <c r="AT142" s="641"/>
      <c r="AU142" s="640">
        <f>(IFERROR(IF($N142/(SUMIF(RES!$D$39:$D$145,$D142,$N$39:$N$145))=1,1,($N142/(SUMIF(RES!$D$39:$D$145,$D142,$N$39:$N$145))-$AU$28)),0))</f>
        <v>0</v>
      </c>
      <c r="AV142" s="640"/>
      <c r="AW142" s="640"/>
      <c r="AX142" s="640"/>
      <c r="AY142" s="640"/>
      <c r="AZ142" s="587"/>
      <c r="BA142" s="596"/>
      <c r="BB142" s="596" t="str">
        <f t="shared" si="193"/>
        <v/>
      </c>
      <c r="BC142" s="596" t="str">
        <f t="shared" si="194"/>
        <v/>
      </c>
      <c r="BD142" s="596" t="str">
        <f t="shared" si="195"/>
        <v/>
      </c>
      <c r="BE142" s="596" t="str">
        <f t="shared" si="196"/>
        <v/>
      </c>
      <c r="BF142" s="586" t="str">
        <f t="shared" si="191"/>
        <v/>
      </c>
      <c r="BG142" s="596"/>
      <c r="BH142" s="596" t="str">
        <f t="shared" si="197"/>
        <v/>
      </c>
      <c r="BI142" s="596" t="str">
        <f t="shared" si="198"/>
        <v/>
      </c>
      <c r="BJ142" s="596" t="str">
        <f t="shared" si="199"/>
        <v/>
      </c>
      <c r="BK142" s="587" t="str">
        <f t="shared" si="192"/>
        <v/>
      </c>
      <c r="BL142" s="586"/>
      <c r="BN142" s="593" t="str">
        <f>IF($BL142="","",($BP142-$BM142)*5/25+$BM142)</f>
        <v/>
      </c>
      <c r="BO142" s="593" t="str">
        <f>IF($BL142="","",($BP142-$BM142)*15/25+$BM142)</f>
        <v/>
      </c>
      <c r="BP142" s="593" t="str">
        <f>IF($BL142="","",IF($BL142="*",$BM142*(1+$BN$29),E142))</f>
        <v/>
      </c>
      <c r="BQ142" s="593" t="str">
        <f>IF(G142="","",IF(COUNTIF(#REF!,$B142)=1,SUMIF(#REF!,RES!$B142,#REF!),SUMIF(#REF!,RES!$B142,#REF!)))</f>
        <v/>
      </c>
    </row>
    <row r="143" spans="1:84" s="169" customFormat="1" ht="15" outlineLevel="1">
      <c r="A143" s="108" t="s">
        <v>1060</v>
      </c>
      <c r="B143" s="30" t="s">
        <v>394</v>
      </c>
      <c r="C143" s="43" t="s">
        <v>242</v>
      </c>
      <c r="D143" s="43" t="s">
        <v>271</v>
      </c>
      <c r="E143" s="525">
        <f>INDEX('Electrical efficiency'!$L$8:$L$23,MATCH(RES!D143,'Electrical efficiency'!$K$8:$K$23,0))</f>
        <v>0.8</v>
      </c>
      <c r="F143" s="600">
        <v>1</v>
      </c>
      <c r="G143" s="600">
        <v>1</v>
      </c>
      <c r="H143" s="600">
        <f>N143/F143*(1+$D$31)</f>
        <v>14.770636079826772</v>
      </c>
      <c r="I143" s="628">
        <v>1E-3</v>
      </c>
      <c r="J143" s="517"/>
      <c r="K143" s="48" t="s">
        <v>931</v>
      </c>
      <c r="L143" s="516">
        <v>1</v>
      </c>
      <c r="M143" s="516">
        <f>IF(C143="","",SUMIFS(Energy_Balance!I$55:I$160,Energy_Balance!$C$55:$C$160,C143,Energy_Balance!$D$55:$D$160,D143)*L143)</f>
        <v>18.463295099783466</v>
      </c>
      <c r="N143" s="516">
        <f t="shared" si="254"/>
        <v>14.770636079826772</v>
      </c>
      <c r="O143" s="25"/>
      <c r="P143" s="377">
        <f>IF($G$16=0,BN143,IF($G$16=1,BS143,IF($G$16=2,BX143,IF($G$16=3,BN143,IF($G$16=4,BS143,"NA")))))</f>
        <v>0.82474226804123729</v>
      </c>
      <c r="Q143" s="377">
        <f>IF($G$16=0,BO143,IF($G$16=1,BT143,IF($G$16=2,BY143,IF($G$16=3,BO143,IF($G$16=4,BT143,"NA")))))</f>
        <v>0.88888888888888895</v>
      </c>
      <c r="R143" s="377">
        <f>IF($G$16=0,BP143,IF($G$16=1,BU143,IF($G$16=2,BZ143,IF($G$16=3,BP143,IF($G$16=4,BU143,"NA")))))</f>
        <v>0.90909090909090917</v>
      </c>
      <c r="S143" s="377">
        <f>IF($G$16=0,BQ143,IF($G$16=1,BV143,IF($G$16=2,CA143,IF($G$16=3,BQ143,IF($G$16=4,BV143,"NA")))))</f>
        <v>0.90909090909090917</v>
      </c>
      <c r="T143" s="208"/>
      <c r="U143" s="50"/>
      <c r="V143" s="50">
        <f t="shared" si="256"/>
        <v>1</v>
      </c>
      <c r="W143" s="50">
        <f>IF($G$16=1,AP143,IF($G$16=2,AP143,IF($G$16=3,BB143,AP143)))</f>
        <v>1</v>
      </c>
      <c r="X143" s="50">
        <f>$V$32*W143+(1-$V$32)*Y143</f>
        <v>1</v>
      </c>
      <c r="Y143" s="50">
        <f>IF($G$16=1,AQ143,IF($G$16=2,AQ143,IF($G$16=3,BC143,AQ143)))</f>
        <v>1</v>
      </c>
      <c r="Z143" s="50">
        <f>$V$32*Y143+(1-$V$32)*AA143</f>
        <v>1</v>
      </c>
      <c r="AA143" s="50">
        <f>IF($G$16=1,AR143,IF($G$16=2,AR143,IF($G$16=3,BD143,AR143)))</f>
        <v>1</v>
      </c>
      <c r="AB143" s="50">
        <f>$V$32*AA143+(1-$V$32)*AC143</f>
        <v>1</v>
      </c>
      <c r="AC143" s="50">
        <f>IF($G$16=1,AS143,IF($G$16=2,AS143,IF($G$16=3,BE143,AS143)))</f>
        <v>1</v>
      </c>
      <c r="AD143" s="50"/>
      <c r="AE143" s="50">
        <f t="shared" si="257"/>
        <v>1</v>
      </c>
      <c r="AF143" s="50">
        <f>IF($G$16=1,AV143,IF($G$16=2,AV143,IF($G$16=3,#REF!,AV143)))</f>
        <v>1</v>
      </c>
      <c r="AG143" s="50">
        <f>$V$32*AF143+(1-$V$32)*AH143</f>
        <v>1</v>
      </c>
      <c r="AH143" s="50">
        <f>IF($G$16=1,AW143,IF($G$16=2,AW143,IF($G$16=3,BH143,AW143)))</f>
        <v>1</v>
      </c>
      <c r="AI143" s="50">
        <f>$V$32*AH143+(1-$V$32)*AJ143</f>
        <v>1</v>
      </c>
      <c r="AJ143" s="50">
        <f>IF($G$16=1,AX143,IF($G$16=2,AX143,IF($G$16=3,BI143,AX143)))</f>
        <v>1</v>
      </c>
      <c r="AK143" s="50">
        <f>$V$32*AJ143+(1-$V$32)*AL143</f>
        <v>1</v>
      </c>
      <c r="AL143" s="50">
        <f>IF($G$16=1,AY143,IF($G$16=2,AY143,IF($G$16=3,BJ143,AY143)))</f>
        <v>1</v>
      </c>
      <c r="AM143"/>
      <c r="AN143"/>
      <c r="AO143" s="140">
        <f>(IFERROR(IF(N143/(SUMIF(RES!$D$39:$D$145,D143,$N$39:$N$145))=1,1,(N143/(SUMIF(RES!$D$39:$D$145,D143,$N$39:$N$145))+$AO$28)),0))</f>
        <v>1</v>
      </c>
      <c r="AP143" s="296">
        <f>AO143</f>
        <v>1</v>
      </c>
      <c r="AQ143" s="296">
        <f t="shared" ref="AQ143" si="263">AP143</f>
        <v>1</v>
      </c>
      <c r="AR143" s="296">
        <f t="shared" ref="AR143" si="264">AQ143</f>
        <v>1</v>
      </c>
      <c r="AS143" s="296">
        <f t="shared" ref="AS143" si="265">AR143</f>
        <v>1</v>
      </c>
      <c r="AT143" s="632"/>
      <c r="AU143" s="296">
        <f>(IFERROR(IF($N143/(SUMIF(RES!$D$39:$D$145,$D143,$N$39:$N$145))=1,1,($N143/(SUMIF(RES!$D$39:$D$145,$D143,$N$39:$N$145))-$AU$28)),0))</f>
        <v>1</v>
      </c>
      <c r="AV143" s="296">
        <f>AU143</f>
        <v>1</v>
      </c>
      <c r="AW143" s="296">
        <f t="shared" ref="AW143:AY143" si="266">AV143</f>
        <v>1</v>
      </c>
      <c r="AX143" s="296">
        <f t="shared" si="266"/>
        <v>1</v>
      </c>
      <c r="AY143" s="296">
        <f t="shared" si="266"/>
        <v>1</v>
      </c>
      <c r="AZ143" s="175"/>
      <c r="BA143" s="172"/>
      <c r="BB143" s="172">
        <f t="shared" si="193"/>
        <v>1</v>
      </c>
      <c r="BC143" s="172">
        <f t="shared" si="194"/>
        <v>1</v>
      </c>
      <c r="BD143" s="172">
        <f t="shared" si="195"/>
        <v>1</v>
      </c>
      <c r="BE143" s="172">
        <f t="shared" si="196"/>
        <v>1</v>
      </c>
      <c r="BF143" s="173" t="str">
        <f t="shared" si="191"/>
        <v/>
      </c>
      <c r="BG143" s="172"/>
      <c r="BH143" s="172">
        <f t="shared" si="197"/>
        <v>1</v>
      </c>
      <c r="BI143" s="172">
        <f t="shared" si="198"/>
        <v>1</v>
      </c>
      <c r="BJ143" s="172">
        <f t="shared" si="199"/>
        <v>1</v>
      </c>
      <c r="BK143" s="175" t="str">
        <f t="shared" si="192"/>
        <v/>
      </c>
      <c r="BL143" s="257" t="s">
        <v>110</v>
      </c>
      <c r="BM143" s="527">
        <f>E143</f>
        <v>0.8</v>
      </c>
      <c r="BN143" s="377">
        <f>INDEX('Electrical efficiency'!$M$8:$M$23,MATCH(RES!D143,'Electrical efficiency'!$K$8:$K$23,0))</f>
        <v>0.82474226804123729</v>
      </c>
      <c r="BO143" s="377">
        <f>INDEX('Electrical efficiency'!$N$8:$N$23,MATCH(RES!D143,'Electrical efficiency'!$K$8:$K$23,0))</f>
        <v>0.88888888888888895</v>
      </c>
      <c r="BP143" s="377">
        <f>INDEX('Electrical efficiency'!$O$8:$O$23,MATCH(RES!D143,'Electrical efficiency'!$K$8:$K$23,0))</f>
        <v>0.90909090909090917</v>
      </c>
      <c r="BQ143" s="377">
        <f>INDEX('Electrical efficiency'!$P$8:$P$23,MATCH(RES!D143,'Electrical efficiency'!$K$8:$K$23,0))</f>
        <v>0.90909090909090917</v>
      </c>
      <c r="BR143" s="257" t="s">
        <v>110</v>
      </c>
      <c r="BS143"/>
      <c r="BT143"/>
      <c r="BU143"/>
      <c r="BV143"/>
      <c r="BW143"/>
      <c r="BX143"/>
      <c r="BY143"/>
      <c r="BZ143"/>
      <c r="CA143"/>
      <c r="CB143"/>
      <c r="CC143"/>
      <c r="CD143"/>
      <c r="CE143"/>
      <c r="CF143"/>
    </row>
    <row r="144" spans="1:84" s="195" customFormat="1" ht="15" outlineLevel="1">
      <c r="A144" s="556" t="s">
        <v>974</v>
      </c>
      <c r="B144" s="557"/>
      <c r="C144" s="558"/>
      <c r="D144" s="558"/>
      <c r="E144" s="559" t="str">
        <f>IF(D144="","",IF(COUNTIF(#REF!,$B144)=1,SUMIF(#REF!,RES!B144,#REF!),SUMIF(#REF!,RES!$B144,#REF!)))</f>
        <v/>
      </c>
      <c r="F144" s="559"/>
      <c r="G144" s="559"/>
      <c r="H144" s="559"/>
      <c r="I144" s="559"/>
      <c r="J144" s="559"/>
      <c r="K144" s="560"/>
      <c r="L144" s="561"/>
      <c r="M144" s="561">
        <f>SUM(M143:M143)</f>
        <v>18.463295099783466</v>
      </c>
      <c r="N144" s="561">
        <f>SUM(N143:N143)</f>
        <v>14.770636079826772</v>
      </c>
      <c r="O144" s="196"/>
      <c r="P144" s="562"/>
      <c r="Q144" s="562"/>
      <c r="R144" s="562"/>
      <c r="S144" s="562"/>
      <c r="T144" s="563"/>
      <c r="U144" s="564"/>
      <c r="V144" s="564"/>
      <c r="W144" s="564"/>
      <c r="X144" s="564"/>
      <c r="Y144" s="564"/>
      <c r="Z144" s="564"/>
      <c r="AA144" s="564"/>
      <c r="AB144" s="564"/>
      <c r="AC144" s="564"/>
      <c r="AD144" s="564"/>
      <c r="AE144" s="564"/>
      <c r="AF144" s="564"/>
      <c r="AG144" s="564"/>
      <c r="AH144" s="564"/>
      <c r="AI144" s="564"/>
      <c r="AJ144" s="564"/>
      <c r="AK144" s="564"/>
      <c r="AL144" s="564"/>
      <c r="AO144" s="566">
        <f>SUM(AO143:AO143)</f>
        <v>1</v>
      </c>
      <c r="AP144" s="566">
        <f>SUM(AP143:AP143)</f>
        <v>1</v>
      </c>
      <c r="AQ144" s="566">
        <f>SUM(AQ143:AQ143)</f>
        <v>1</v>
      </c>
      <c r="AR144" s="566">
        <f>SUM(AR143:AR143)</f>
        <v>1</v>
      </c>
      <c r="AS144" s="566">
        <f>SUM(AS143:AS143)</f>
        <v>1</v>
      </c>
      <c r="AT144" s="567"/>
      <c r="AU144" s="570">
        <f>(IFERROR(IF($N144/(SUMIF(RES!$D$39:$D$145,$D144,$N$39:$N$145))=1,1,($N144/(SUMIF(RES!$D$39:$D$145,$D144,$N$39:$N$145))-$AU$28)),0))</f>
        <v>0</v>
      </c>
      <c r="AV144" s="569"/>
      <c r="AW144" s="569"/>
      <c r="AX144" s="569"/>
      <c r="AY144" s="569"/>
      <c r="AZ144" s="568"/>
      <c r="BA144" s="566"/>
      <c r="BB144" s="566">
        <f t="shared" si="193"/>
        <v>1</v>
      </c>
      <c r="BC144" s="566">
        <f t="shared" si="194"/>
        <v>1</v>
      </c>
      <c r="BD144" s="566">
        <f t="shared" si="195"/>
        <v>1</v>
      </c>
      <c r="BE144" s="566">
        <f t="shared" si="196"/>
        <v>1</v>
      </c>
      <c r="BF144" s="567" t="str">
        <f t="shared" si="191"/>
        <v/>
      </c>
      <c r="BG144" s="569"/>
      <c r="BH144" s="569" t="str">
        <f t="shared" si="197"/>
        <v/>
      </c>
      <c r="BI144" s="569" t="str">
        <f t="shared" si="198"/>
        <v/>
      </c>
      <c r="BJ144" s="569" t="str">
        <f t="shared" si="199"/>
        <v/>
      </c>
      <c r="BK144" s="568" t="str">
        <f t="shared" si="192"/>
        <v/>
      </c>
      <c r="BL144" s="567"/>
      <c r="BN144" s="562" t="str">
        <f>IF($BL144="","",($BP144-$BM144)*5/25+$BM144)</f>
        <v/>
      </c>
      <c r="BO144" s="562" t="str">
        <f>IF($BL144="","",($BP144-$BM144)*15/25+$BM144)</f>
        <v/>
      </c>
      <c r="BP144" s="562" t="str">
        <f>IF(F144="","",IF(COUNTIF(#REF!,$B144)=1,SUMIF(#REF!,RES!$B144,#REF!),SUMIF(#REF!,RES!$B144,#REF!)))</f>
        <v/>
      </c>
      <c r="BQ144" s="562" t="str">
        <f>IF(G144="","",IF(COUNTIF(#REF!,$B144)=1,SUMIF(#REF!,RES!$B144,#REF!),SUMIF(#REF!,RES!$B144,#REF!)))</f>
        <v/>
      </c>
    </row>
    <row r="145" spans="1:69" ht="15">
      <c r="A145" s="108" t="s">
        <v>974</v>
      </c>
      <c r="B145" s="30"/>
      <c r="C145" s="43"/>
      <c r="D145" s="43"/>
      <c r="E145" s="600"/>
      <c r="F145" s="206"/>
      <c r="G145" s="206"/>
      <c r="H145" s="206"/>
      <c r="I145" s="206"/>
      <c r="J145" s="206"/>
      <c r="L145" s="40"/>
      <c r="M145" s="40"/>
      <c r="N145" s="40"/>
      <c r="O145" s="25"/>
      <c r="P145" s="377"/>
      <c r="Q145" s="377"/>
      <c r="R145" s="377"/>
      <c r="S145" s="377"/>
      <c r="T145" s="348"/>
      <c r="U145" s="50"/>
      <c r="V145" s="50"/>
      <c r="W145" s="50"/>
      <c r="X145" s="50"/>
      <c r="Y145" s="50"/>
      <c r="Z145" s="50"/>
      <c r="AA145" s="50"/>
      <c r="AB145" s="50"/>
      <c r="AC145" s="50"/>
      <c r="AD145" s="50"/>
      <c r="AE145" s="50"/>
      <c r="AF145" s="50"/>
      <c r="AG145" s="50"/>
      <c r="AH145" s="50"/>
      <c r="AI145" s="50"/>
      <c r="AJ145" s="50"/>
      <c r="AK145" s="50"/>
      <c r="AL145" s="50"/>
      <c r="AO145" s="140"/>
      <c r="AP145" s="140"/>
      <c r="AQ145" s="140"/>
      <c r="AR145" s="140"/>
      <c r="AS145" s="140"/>
      <c r="AT145" s="21"/>
      <c r="AU145" s="172"/>
      <c r="AV145" s="140"/>
      <c r="AW145" s="140"/>
      <c r="AX145" s="140"/>
      <c r="AY145" s="435">
        <v>138</v>
      </c>
      <c r="AZ145" s="125"/>
      <c r="BA145" s="140"/>
      <c r="BB145" s="140"/>
      <c r="BC145" s="140"/>
      <c r="BD145" s="140"/>
      <c r="BE145" s="140"/>
      <c r="BF145" s="21"/>
      <c r="BG145" s="172"/>
      <c r="BH145" s="140"/>
      <c r="BI145" s="140"/>
      <c r="BJ145" s="140"/>
      <c r="BK145" s="125"/>
      <c r="BL145" s="21"/>
      <c r="BN145" s="377" t="str">
        <f>IF($BL145="","",($BP145-$BM145)*5/25+$BM145)</f>
        <v/>
      </c>
      <c r="BO145" s="377" t="str">
        <f>IF($BL145="","",($BP145-$BM145)*15/25+$BM145)</f>
        <v/>
      </c>
      <c r="BP145" s="377"/>
      <c r="BQ145" s="377"/>
    </row>
    <row r="146" spans="1:69">
      <c r="U146" s="3"/>
      <c r="W146"/>
    </row>
    <row r="147" spans="1:69">
      <c r="U147" s="3"/>
      <c r="W147"/>
    </row>
    <row r="148" spans="1:69">
      <c r="U148" s="3"/>
      <c r="W148"/>
    </row>
    <row r="149" spans="1:69">
      <c r="U149" s="3"/>
      <c r="W149"/>
    </row>
    <row r="150" spans="1:69">
      <c r="U150" s="3"/>
      <c r="W150"/>
    </row>
    <row r="151" spans="1:69">
      <c r="U151" s="3"/>
      <c r="W151"/>
    </row>
    <row r="152" spans="1:69">
      <c r="U152" s="3"/>
      <c r="W152"/>
    </row>
    <row r="153" spans="1:69">
      <c r="U153" s="3"/>
      <c r="W153"/>
    </row>
    <row r="154" spans="1:69">
      <c r="U154" s="3"/>
      <c r="W154"/>
    </row>
    <row r="155" spans="1:69">
      <c r="U155" s="3"/>
      <c r="W155"/>
    </row>
    <row r="156" spans="1:69">
      <c r="U156" s="3"/>
      <c r="W156"/>
    </row>
    <row r="157" spans="1:69">
      <c r="U157" s="3"/>
      <c r="W157"/>
    </row>
    <row r="158" spans="1:69">
      <c r="U158" s="3"/>
      <c r="W158"/>
    </row>
    <row r="159" spans="1:69">
      <c r="U159" s="3"/>
      <c r="W159"/>
    </row>
    <row r="160" spans="1:69">
      <c r="U160" s="3"/>
      <c r="W160"/>
    </row>
    <row r="161" spans="21:23">
      <c r="U161" s="3"/>
      <c r="W161"/>
    </row>
    <row r="162" spans="21:23">
      <c r="U162" s="3"/>
      <c r="W162"/>
    </row>
    <row r="163" spans="21:23">
      <c r="U163" s="3"/>
      <c r="W163"/>
    </row>
    <row r="164" spans="21:23">
      <c r="U164" s="3"/>
      <c r="W164"/>
    </row>
    <row r="165" spans="21:23">
      <c r="U165" s="3"/>
      <c r="W165"/>
    </row>
    <row r="166" spans="21:23">
      <c r="U166" s="3"/>
      <c r="W166"/>
    </row>
    <row r="167" spans="21:23">
      <c r="U167" s="3"/>
      <c r="W167"/>
    </row>
    <row r="168" spans="21:23">
      <c r="U168" s="3"/>
      <c r="W168"/>
    </row>
    <row r="169" spans="21:23">
      <c r="U169" s="3"/>
      <c r="W169"/>
    </row>
    <row r="170" spans="21:23">
      <c r="U170" s="3"/>
      <c r="W170"/>
    </row>
    <row r="171" spans="21:23">
      <c r="U171" s="3"/>
      <c r="W171"/>
    </row>
    <row r="172" spans="21:23">
      <c r="U172" s="3"/>
      <c r="W172"/>
    </row>
    <row r="173" spans="21:23">
      <c r="U173" s="3"/>
      <c r="W173"/>
    </row>
    <row r="174" spans="21:23">
      <c r="U174" s="3"/>
      <c r="W174"/>
    </row>
    <row r="175" spans="21:23">
      <c r="U175" s="3"/>
      <c r="W175"/>
    </row>
    <row r="176" spans="21:23">
      <c r="U176" s="3"/>
      <c r="W176"/>
    </row>
    <row r="177" spans="21:23">
      <c r="U177" s="3"/>
      <c r="W177"/>
    </row>
    <row r="178" spans="21:23">
      <c r="U178" s="3"/>
      <c r="W178"/>
    </row>
    <row r="179" spans="21:23">
      <c r="U179" s="3"/>
      <c r="W179"/>
    </row>
    <row r="180" spans="21:23">
      <c r="U180" s="3"/>
      <c r="W180"/>
    </row>
    <row r="181" spans="21:23">
      <c r="U181" s="3"/>
      <c r="W181"/>
    </row>
    <row r="182" spans="21:23">
      <c r="U182" s="3"/>
      <c r="W182"/>
    </row>
    <row r="183" spans="21:23">
      <c r="U183" s="3"/>
      <c r="W183"/>
    </row>
    <row r="184" spans="21:23">
      <c r="U184" s="3"/>
      <c r="W184"/>
    </row>
    <row r="185" spans="21:23">
      <c r="U185" s="3"/>
      <c r="W185"/>
    </row>
    <row r="186" spans="21:23">
      <c r="U186" s="3"/>
      <c r="W186"/>
    </row>
    <row r="187" spans="21:23">
      <c r="U187" s="3"/>
      <c r="W187"/>
    </row>
    <row r="188" spans="21:23">
      <c r="U188" s="3"/>
      <c r="W188"/>
    </row>
    <row r="189" spans="21:23">
      <c r="U189" s="3"/>
      <c r="W189"/>
    </row>
    <row r="190" spans="21:23">
      <c r="U190" s="3"/>
      <c r="W190"/>
    </row>
    <row r="191" spans="21:23">
      <c r="U191" s="3"/>
      <c r="W191"/>
    </row>
    <row r="192" spans="21:23">
      <c r="U192" s="3"/>
      <c r="W192"/>
    </row>
    <row r="193" spans="21:23">
      <c r="U193" s="3"/>
      <c r="W193"/>
    </row>
  </sheetData>
  <autoFilter ref="A34:T145" xr:uid="{C49839A2-BB7D-455D-9535-B890C5DE3D2B}"/>
  <conditionalFormatting sqref="M48 BA48:BE48 BA41:BE41">
    <cfRule type="expression" dxfId="306" priority="1385">
      <formula>$M$48&lt;&gt;#REF!</formula>
    </cfRule>
    <cfRule type="expression" dxfId="305" priority="1386">
      <formula>$M$48=#REF!</formula>
    </cfRule>
  </conditionalFormatting>
  <conditionalFormatting sqref="M55 BA55:BE55 BA66:BE66 BA138:BE138 BA59:BE59 BA97:BE97 BA105:BE105 BA144:BE144 BA69:BE69">
    <cfRule type="expression" dxfId="304" priority="1387">
      <formula>$M$55&lt;&gt;#REF!</formula>
    </cfRule>
    <cfRule type="expression" dxfId="303" priority="1388">
      <formula>$M$55=#REF!</formula>
    </cfRule>
  </conditionalFormatting>
  <conditionalFormatting sqref="M66">
    <cfRule type="expression" dxfId="302" priority="1393">
      <formula>$M$66&lt;&gt;#REF!</formula>
    </cfRule>
    <cfRule type="expression" dxfId="301" priority="1394">
      <formula>$M$66=#REF!</formula>
    </cfRule>
  </conditionalFormatting>
  <conditionalFormatting sqref="M69">
    <cfRule type="expression" dxfId="300" priority="1395">
      <formula>$M$69&lt;&gt;#REF!</formula>
    </cfRule>
    <cfRule type="expression" dxfId="299" priority="1396">
      <formula>$M$69=#REF!</formula>
    </cfRule>
  </conditionalFormatting>
  <conditionalFormatting sqref="M73:N73">
    <cfRule type="expression" dxfId="298" priority="1397">
      <formula>$M$73&lt;&gt;SUM(#REF!)</formula>
    </cfRule>
    <cfRule type="expression" dxfId="297" priority="1398">
      <formula>$M$73=SUM(#REF!)</formula>
    </cfRule>
  </conditionalFormatting>
  <conditionalFormatting sqref="M77 BA77:BE77">
    <cfRule type="expression" dxfId="296" priority="1399">
      <formula>$M$77&lt;&gt;#REF!</formula>
    </cfRule>
    <cfRule type="expression" dxfId="295" priority="1400">
      <formula>$M$77=#REF!</formula>
    </cfRule>
  </conditionalFormatting>
  <conditionalFormatting sqref="M85 BA85">
    <cfRule type="expression" dxfId="294" priority="1401">
      <formula>$M$85&lt;&gt;#REF!</formula>
    </cfRule>
    <cfRule type="expression" dxfId="293" priority="1402">
      <formula>$M$85=#REF!</formula>
    </cfRule>
  </conditionalFormatting>
  <conditionalFormatting sqref="M93 BA93">
    <cfRule type="expression" dxfId="292" priority="1403">
      <formula>$M$93=#REF!</formula>
    </cfRule>
  </conditionalFormatting>
  <conditionalFormatting sqref="M108 BA108">
    <cfRule type="expression" dxfId="291" priority="1406">
      <formula>$M$108&lt;&gt;#REF!</formula>
    </cfRule>
    <cfRule type="expression" dxfId="290" priority="1407">
      <formula>$M$108=#REF!</formula>
    </cfRule>
  </conditionalFormatting>
  <conditionalFormatting sqref="M112 BA112">
    <cfRule type="expression" dxfId="289" priority="1408">
      <formula>$M$112&lt;&gt;SUM(#REF!)</formula>
    </cfRule>
    <cfRule type="expression" dxfId="288" priority="1409">
      <formula>$M$112=SUM(#REF!)</formula>
    </cfRule>
  </conditionalFormatting>
  <conditionalFormatting sqref="M115 BA115">
    <cfRule type="expression" dxfId="287" priority="1410">
      <formula>$M$115&lt;&gt;#REF!</formula>
    </cfRule>
    <cfRule type="expression" dxfId="286" priority="1411">
      <formula>$M$115=#REF!</formula>
    </cfRule>
  </conditionalFormatting>
  <conditionalFormatting sqref="M122 BA122">
    <cfRule type="expression" dxfId="285" priority="1412">
      <formula>$M$122&lt;&gt;#REF!</formula>
    </cfRule>
    <cfRule type="expression" dxfId="284" priority="1413">
      <formula>$M$122=#REF!</formula>
    </cfRule>
  </conditionalFormatting>
  <conditionalFormatting sqref="M130 BA130">
    <cfRule type="expression" dxfId="283" priority="1414">
      <formula>$M$130&lt;&gt;#REF!</formula>
    </cfRule>
    <cfRule type="expression" dxfId="282" priority="1415">
      <formula>$M$130=#REF!</formula>
    </cfRule>
  </conditionalFormatting>
  <conditionalFormatting sqref="M141 BA141">
    <cfRule type="expression" dxfId="281" priority="1418">
      <formula>$M$141&lt;&gt;#REF!</formula>
    </cfRule>
    <cfRule type="expression" dxfId="280" priority="1419">
      <formula>$M$141=#REF!</formula>
    </cfRule>
  </conditionalFormatting>
  <conditionalFormatting sqref="N48">
    <cfRule type="expression" dxfId="279" priority="1153">
      <formula>$M$48&lt;&gt;#REF!</formula>
    </cfRule>
    <cfRule type="expression" dxfId="278" priority="1154">
      <formula>$M$48=#REF!</formula>
    </cfRule>
  </conditionalFormatting>
  <conditionalFormatting sqref="N55">
    <cfRule type="expression" dxfId="277" priority="1151">
      <formula>$M$55&lt;&gt;#REF!</formula>
    </cfRule>
    <cfRule type="expression" dxfId="276" priority="1152">
      <formula>$M$55=#REF!</formula>
    </cfRule>
  </conditionalFormatting>
  <conditionalFormatting sqref="AO48:AS48">
    <cfRule type="expression" dxfId="275" priority="1145">
      <formula>$M$48&lt;&gt;#REF!</formula>
    </cfRule>
    <cfRule type="expression" dxfId="274" priority="1146">
      <formula>$M$48=#REF!</formula>
    </cfRule>
  </conditionalFormatting>
  <conditionalFormatting sqref="C98:C104 C34:C39 C60:C75 C77:C96 C106:C143 C41:C58">
    <cfRule type="cellIs" dxfId="273" priority="1142" operator="equal">
      <formula>"RESCOA"</formula>
    </cfRule>
    <cfRule type="cellIs" dxfId="272" priority="1143" operator="equal">
      <formula>"RESOKE"</formula>
    </cfRule>
    <cfRule type="cellIs" dxfId="271" priority="1144" operator="equal">
      <formula>"RESBIW"</formula>
    </cfRule>
  </conditionalFormatting>
  <conditionalFormatting sqref="AP138:AS138">
    <cfRule type="expression" dxfId="270" priority="1131">
      <formula>$M$55&lt;&gt;#REF!</formula>
    </cfRule>
    <cfRule type="expression" dxfId="269" priority="1132">
      <formula>$M$55=#REF!</formula>
    </cfRule>
  </conditionalFormatting>
  <conditionalFormatting sqref="M59">
    <cfRule type="expression" dxfId="268" priority="1129">
      <formula>$M$66&lt;&gt;#REF!</formula>
    </cfRule>
    <cfRule type="expression" dxfId="267" priority="1130">
      <formula>$M$66=#REF!</formula>
    </cfRule>
  </conditionalFormatting>
  <conditionalFormatting sqref="C59">
    <cfRule type="cellIs" dxfId="266" priority="1126" operator="equal">
      <formula>"RESCOA"</formula>
    </cfRule>
    <cfRule type="cellIs" dxfId="265" priority="1127" operator="equal">
      <formula>"RESOKE"</formula>
    </cfRule>
    <cfRule type="cellIs" dxfId="264" priority="1128" operator="equal">
      <formula>"RESBIW"</formula>
    </cfRule>
  </conditionalFormatting>
  <conditionalFormatting sqref="M97">
    <cfRule type="expression" dxfId="263" priority="1122">
      <formula>$M$66&lt;&gt;#REF!</formula>
    </cfRule>
    <cfRule type="expression" dxfId="262" priority="1123">
      <formula>$M$66=#REF!</formula>
    </cfRule>
  </conditionalFormatting>
  <conditionalFormatting sqref="C97">
    <cfRule type="cellIs" dxfId="261" priority="1119" operator="equal">
      <formula>"RESCOA"</formula>
    </cfRule>
    <cfRule type="cellIs" dxfId="260" priority="1120" operator="equal">
      <formula>"RESOKE"</formula>
    </cfRule>
    <cfRule type="cellIs" dxfId="259" priority="1121" operator="equal">
      <formula>"RESBIW"</formula>
    </cfRule>
  </conditionalFormatting>
  <conditionalFormatting sqref="AP97:AS97">
    <cfRule type="expression" dxfId="258" priority="1117">
      <formula>$M$55&lt;&gt;#REF!</formula>
    </cfRule>
    <cfRule type="expression" dxfId="257" priority="1118">
      <formula>$M$55=#REF!</formula>
    </cfRule>
  </conditionalFormatting>
  <conditionalFormatting sqref="M105">
    <cfRule type="expression" dxfId="256" priority="1115">
      <formula>$M$66&lt;&gt;#REF!</formula>
    </cfRule>
    <cfRule type="expression" dxfId="255" priority="1116">
      <formula>$M$66=#REF!</formula>
    </cfRule>
  </conditionalFormatting>
  <conditionalFormatting sqref="C105">
    <cfRule type="cellIs" dxfId="254" priority="1112" operator="equal">
      <formula>"RESCOA"</formula>
    </cfRule>
    <cfRule type="cellIs" dxfId="253" priority="1113" operator="equal">
      <formula>"RESOKE"</formula>
    </cfRule>
    <cfRule type="cellIs" dxfId="252" priority="1114" operator="equal">
      <formula>"RESBIW"</formula>
    </cfRule>
  </conditionalFormatting>
  <conditionalFormatting sqref="AP105:AS105">
    <cfRule type="expression" dxfId="251" priority="1110">
      <formula>$M$55&lt;&gt;#REF!</formula>
    </cfRule>
    <cfRule type="expression" dxfId="250" priority="1111">
      <formula>$M$55=#REF!</formula>
    </cfRule>
  </conditionalFormatting>
  <conditionalFormatting sqref="M144:N144">
    <cfRule type="expression" dxfId="249" priority="1108">
      <formula>$M$138&lt;&gt;#REF!</formula>
    </cfRule>
    <cfRule type="expression" dxfId="248" priority="1109">
      <formula>$M$138=#REF!</formula>
    </cfRule>
  </conditionalFormatting>
  <conditionalFormatting sqref="C144">
    <cfRule type="cellIs" dxfId="247" priority="1105" operator="equal">
      <formula>"RESCOA"</formula>
    </cfRule>
    <cfRule type="cellIs" dxfId="246" priority="1106" operator="equal">
      <formula>"RESOKE"</formula>
    </cfRule>
    <cfRule type="cellIs" dxfId="245" priority="1107" operator="equal">
      <formula>"RESBIW"</formula>
    </cfRule>
  </conditionalFormatting>
  <conditionalFormatting sqref="AP144:AS144">
    <cfRule type="expression" dxfId="244" priority="1103">
      <formula>$M$55&lt;&gt;#REF!</formula>
    </cfRule>
    <cfRule type="expression" dxfId="243" priority="1104">
      <formula>$M$55=#REF!</formula>
    </cfRule>
  </conditionalFormatting>
  <conditionalFormatting sqref="C145">
    <cfRule type="cellIs" dxfId="242" priority="1098" operator="equal">
      <formula>"RESCOA"</formula>
    </cfRule>
    <cfRule type="cellIs" dxfId="241" priority="1099" operator="equal">
      <formula>"RESOKE"</formula>
    </cfRule>
    <cfRule type="cellIs" dxfId="240" priority="1100" operator="equal">
      <formula>"RESBIW"</formula>
    </cfRule>
  </conditionalFormatting>
  <conditionalFormatting sqref="M41">
    <cfRule type="expression" dxfId="239" priority="1071">
      <formula>$M$48&lt;&gt;#REF!</formula>
    </cfRule>
    <cfRule type="expression" dxfId="238" priority="1072">
      <formula>$M$48=#REF!</formula>
    </cfRule>
  </conditionalFormatting>
  <conditionalFormatting sqref="N41">
    <cfRule type="expression" dxfId="237" priority="1069">
      <formula>$M$48&lt;&gt;#REF!</formula>
    </cfRule>
    <cfRule type="expression" dxfId="236" priority="1070">
      <formula>$M$48=#REF!</formula>
    </cfRule>
  </conditionalFormatting>
  <conditionalFormatting sqref="N59">
    <cfRule type="expression" dxfId="235" priority="1065">
      <formula>$M$66&lt;&gt;#REF!</formula>
    </cfRule>
    <cfRule type="expression" dxfId="234" priority="1066">
      <formula>$M$66=#REF!</formula>
    </cfRule>
  </conditionalFormatting>
  <conditionalFormatting sqref="N66">
    <cfRule type="expression" dxfId="233" priority="1063">
      <formula>$M$66&lt;&gt;#REF!</formula>
    </cfRule>
    <cfRule type="expression" dxfId="232" priority="1064">
      <formula>$M$66=#REF!</formula>
    </cfRule>
  </conditionalFormatting>
  <conditionalFormatting sqref="N97">
    <cfRule type="expression" dxfId="231" priority="1061">
      <formula>$M$66&lt;&gt;#REF!</formula>
    </cfRule>
    <cfRule type="expression" dxfId="230" priority="1062">
      <formula>$M$66=#REF!</formula>
    </cfRule>
  </conditionalFormatting>
  <conditionalFormatting sqref="AP69:AS69">
    <cfRule type="expression" dxfId="229" priority="1059">
      <formula>$M$55&lt;&gt;#REF!</formula>
    </cfRule>
    <cfRule type="expression" dxfId="228" priority="1060">
      <formula>$M$55=#REF!</formula>
    </cfRule>
  </conditionalFormatting>
  <conditionalFormatting sqref="N69">
    <cfRule type="expression" dxfId="227" priority="1057">
      <formula>$M$69&lt;&gt;#REF!</formula>
    </cfRule>
    <cfRule type="expression" dxfId="226" priority="1058">
      <formula>$M$69=#REF!</formula>
    </cfRule>
  </conditionalFormatting>
  <conditionalFormatting sqref="AP73:AS73 BA73:BE73">
    <cfRule type="expression" dxfId="225" priority="1055">
      <formula>$M$73&lt;&gt;SUM(#REF!)</formula>
    </cfRule>
    <cfRule type="expression" dxfId="224" priority="1056">
      <formula>$M$73=SUM(#REF!)</formula>
    </cfRule>
  </conditionalFormatting>
  <conditionalFormatting sqref="N77">
    <cfRule type="expression" dxfId="223" priority="1053">
      <formula>$M$77&lt;&gt;#REF!</formula>
    </cfRule>
    <cfRule type="expression" dxfId="222" priority="1054">
      <formula>$M$77=#REF!</formula>
    </cfRule>
  </conditionalFormatting>
  <conditionalFormatting sqref="AP77:AS77">
    <cfRule type="expression" dxfId="221" priority="1051">
      <formula>$M$77&lt;&gt;#REF!</formula>
    </cfRule>
    <cfRule type="expression" dxfId="220" priority="1052">
      <formula>$M$77=#REF!</formula>
    </cfRule>
  </conditionalFormatting>
  <conditionalFormatting sqref="N93">
    <cfRule type="expression" dxfId="219" priority="1050">
      <formula>$M$93=#REF!</formula>
    </cfRule>
  </conditionalFormatting>
  <conditionalFormatting sqref="N85">
    <cfRule type="expression" dxfId="218" priority="1043">
      <formula>$M$85&lt;&gt;#REF!</formula>
    </cfRule>
    <cfRule type="expression" dxfId="217" priority="1044">
      <formula>$M$85=#REF!</formula>
    </cfRule>
  </conditionalFormatting>
  <conditionalFormatting sqref="AP85">
    <cfRule type="expression" dxfId="216" priority="1039">
      <formula>$M$85&lt;&gt;#REF!</formula>
    </cfRule>
    <cfRule type="expression" dxfId="215" priority="1040">
      <formula>$M$85=#REF!</formula>
    </cfRule>
  </conditionalFormatting>
  <conditionalFormatting sqref="AQ85">
    <cfRule type="expression" dxfId="214" priority="1037">
      <formula>$M$85&lt;&gt;#REF!</formula>
    </cfRule>
    <cfRule type="expression" dxfId="213" priority="1038">
      <formula>$M$85=#REF!</formula>
    </cfRule>
  </conditionalFormatting>
  <conditionalFormatting sqref="AR85">
    <cfRule type="expression" dxfId="212" priority="1035">
      <formula>$M$85&lt;&gt;#REF!</formula>
    </cfRule>
    <cfRule type="expression" dxfId="211" priority="1036">
      <formula>$M$85=#REF!</formula>
    </cfRule>
  </conditionalFormatting>
  <conditionalFormatting sqref="AS85">
    <cfRule type="expression" dxfId="210" priority="1033">
      <formula>$M$85&lt;&gt;#REF!</formula>
    </cfRule>
    <cfRule type="expression" dxfId="209" priority="1034">
      <formula>$M$85=#REF!</formula>
    </cfRule>
  </conditionalFormatting>
  <conditionalFormatting sqref="N105">
    <cfRule type="expression" dxfId="208" priority="1029">
      <formula>$M$66&lt;&gt;#REF!</formula>
    </cfRule>
    <cfRule type="expression" dxfId="207" priority="1030">
      <formula>$M$66=#REF!</formula>
    </cfRule>
  </conditionalFormatting>
  <conditionalFormatting sqref="N138">
    <cfRule type="expression" dxfId="206" priority="1027">
      <formula>$M$138&lt;&gt;#REF!</formula>
    </cfRule>
    <cfRule type="expression" dxfId="205" priority="1028">
      <formula>$M$138=#REF!</formula>
    </cfRule>
  </conditionalFormatting>
  <conditionalFormatting sqref="N141">
    <cfRule type="expression" dxfId="204" priority="973">
      <formula>$M$141&lt;&gt;#REF!</formula>
    </cfRule>
    <cfRule type="expression" dxfId="203" priority="974">
      <formula>$M$141=#REF!</formula>
    </cfRule>
  </conditionalFormatting>
  <conditionalFormatting sqref="AP141">
    <cfRule type="expression" dxfId="202" priority="969">
      <formula>$M$141&lt;&gt;#REF!</formula>
    </cfRule>
    <cfRule type="expression" dxfId="201" priority="970">
      <formula>$M$141=#REF!</formula>
    </cfRule>
  </conditionalFormatting>
  <conditionalFormatting sqref="AQ141">
    <cfRule type="expression" dxfId="200" priority="967">
      <formula>$M$141&lt;&gt;#REF!</formula>
    </cfRule>
    <cfRule type="expression" dxfId="199" priority="968">
      <formula>$M$141=#REF!</formula>
    </cfRule>
  </conditionalFormatting>
  <conditionalFormatting sqref="AR141">
    <cfRule type="expression" dxfId="198" priority="965">
      <formula>$M$141&lt;&gt;#REF!</formula>
    </cfRule>
    <cfRule type="expression" dxfId="197" priority="966">
      <formula>$M$141=#REF!</formula>
    </cfRule>
  </conditionalFormatting>
  <conditionalFormatting sqref="AS141">
    <cfRule type="expression" dxfId="196" priority="963">
      <formula>$M$141&lt;&gt;#REF!</formula>
    </cfRule>
    <cfRule type="expression" dxfId="195" priority="964">
      <formula>$M$141=#REF!</formula>
    </cfRule>
  </conditionalFormatting>
  <conditionalFormatting sqref="N130">
    <cfRule type="expression" dxfId="194" priority="961">
      <formula>$M$130&lt;&gt;#REF!</formula>
    </cfRule>
    <cfRule type="expression" dxfId="193" priority="962">
      <formula>$M$130=#REF!</formula>
    </cfRule>
  </conditionalFormatting>
  <conditionalFormatting sqref="AP130">
    <cfRule type="expression" dxfId="192" priority="957">
      <formula>$M$130&lt;&gt;#REF!</formula>
    </cfRule>
    <cfRule type="expression" dxfId="191" priority="958">
      <formula>$M$130=#REF!</formula>
    </cfRule>
  </conditionalFormatting>
  <conditionalFormatting sqref="AQ130">
    <cfRule type="expression" dxfId="190" priority="955">
      <formula>$M$130&lt;&gt;#REF!</formula>
    </cfRule>
    <cfRule type="expression" dxfId="189" priority="956">
      <formula>$M$130=#REF!</formula>
    </cfRule>
  </conditionalFormatting>
  <conditionalFormatting sqref="AR130">
    <cfRule type="expression" dxfId="188" priority="953">
      <formula>$M$130&lt;&gt;#REF!</formula>
    </cfRule>
    <cfRule type="expression" dxfId="187" priority="954">
      <formula>$M$130=#REF!</formula>
    </cfRule>
  </conditionalFormatting>
  <conditionalFormatting sqref="AS130">
    <cfRule type="expression" dxfId="186" priority="951">
      <formula>$M$130&lt;&gt;#REF!</formula>
    </cfRule>
    <cfRule type="expression" dxfId="185" priority="952">
      <formula>$M$130=#REF!</formula>
    </cfRule>
  </conditionalFormatting>
  <conditionalFormatting sqref="N122">
    <cfRule type="expression" dxfId="184" priority="949">
      <formula>$M$122&lt;&gt;#REF!</formula>
    </cfRule>
    <cfRule type="expression" dxfId="183" priority="950">
      <formula>$M$122=#REF!</formula>
    </cfRule>
  </conditionalFormatting>
  <conditionalFormatting sqref="AP122">
    <cfRule type="expression" dxfId="182" priority="945">
      <formula>$M$122&lt;&gt;#REF!</formula>
    </cfRule>
    <cfRule type="expression" dxfId="181" priority="946">
      <formula>$M$122=#REF!</formula>
    </cfRule>
  </conditionalFormatting>
  <conditionalFormatting sqref="AQ122">
    <cfRule type="expression" dxfId="180" priority="943">
      <formula>$M$122&lt;&gt;#REF!</formula>
    </cfRule>
    <cfRule type="expression" dxfId="179" priority="944">
      <formula>$M$122=#REF!</formula>
    </cfRule>
  </conditionalFormatting>
  <conditionalFormatting sqref="AR122">
    <cfRule type="expression" dxfId="178" priority="941">
      <formula>$M$122&lt;&gt;#REF!</formula>
    </cfRule>
    <cfRule type="expression" dxfId="177" priority="942">
      <formula>$M$122=#REF!</formula>
    </cfRule>
  </conditionalFormatting>
  <conditionalFormatting sqref="AS122">
    <cfRule type="expression" dxfId="176" priority="939">
      <formula>$M$122&lt;&gt;#REF!</formula>
    </cfRule>
    <cfRule type="expression" dxfId="175" priority="940">
      <formula>$M$122=#REF!</formula>
    </cfRule>
  </conditionalFormatting>
  <conditionalFormatting sqref="N115">
    <cfRule type="expression" dxfId="174" priority="937">
      <formula>$M$115&lt;&gt;#REF!</formula>
    </cfRule>
    <cfRule type="expression" dxfId="173" priority="938">
      <formula>$M$115=#REF!</formula>
    </cfRule>
  </conditionalFormatting>
  <conditionalFormatting sqref="AP115">
    <cfRule type="expression" dxfId="172" priority="933">
      <formula>$M$115&lt;&gt;#REF!</formula>
    </cfRule>
    <cfRule type="expression" dxfId="171" priority="934">
      <formula>$M$115=#REF!</formula>
    </cfRule>
  </conditionalFormatting>
  <conditionalFormatting sqref="AQ115">
    <cfRule type="expression" dxfId="170" priority="931">
      <formula>$M$115&lt;&gt;#REF!</formula>
    </cfRule>
    <cfRule type="expression" dxfId="169" priority="932">
      <formula>$M$115=#REF!</formula>
    </cfRule>
  </conditionalFormatting>
  <conditionalFormatting sqref="AR115">
    <cfRule type="expression" dxfId="168" priority="929">
      <formula>$M$115&lt;&gt;#REF!</formula>
    </cfRule>
    <cfRule type="expression" dxfId="167" priority="930">
      <formula>$M$115=#REF!</formula>
    </cfRule>
  </conditionalFormatting>
  <conditionalFormatting sqref="AS115">
    <cfRule type="expression" dxfId="166" priority="927">
      <formula>$M$115&lt;&gt;#REF!</formula>
    </cfRule>
    <cfRule type="expression" dxfId="165" priority="928">
      <formula>$M$115=#REF!</formula>
    </cfRule>
  </conditionalFormatting>
  <conditionalFormatting sqref="N112">
    <cfRule type="expression" dxfId="164" priority="925">
      <formula>$M$112&lt;&gt;SUM(#REF!)</formula>
    </cfRule>
    <cfRule type="expression" dxfId="163" priority="926">
      <formula>$M$112=SUM(#REF!)</formula>
    </cfRule>
  </conditionalFormatting>
  <conditionalFormatting sqref="AP112">
    <cfRule type="expression" dxfId="162" priority="921">
      <formula>$M$112&lt;&gt;SUM(#REF!)</formula>
    </cfRule>
    <cfRule type="expression" dxfId="161" priority="922">
      <formula>$M$112=SUM(#REF!)</formula>
    </cfRule>
  </conditionalFormatting>
  <conditionalFormatting sqref="AQ112">
    <cfRule type="expression" dxfId="160" priority="919">
      <formula>$M$112&lt;&gt;SUM(#REF!)</formula>
    </cfRule>
    <cfRule type="expression" dxfId="159" priority="920">
      <formula>$M$112=SUM(#REF!)</formula>
    </cfRule>
  </conditionalFormatting>
  <conditionalFormatting sqref="AR112">
    <cfRule type="expression" dxfId="158" priority="917">
      <formula>$M$112&lt;&gt;SUM(#REF!)</formula>
    </cfRule>
    <cfRule type="expression" dxfId="157" priority="918">
      <formula>$M$112=SUM(#REF!)</formula>
    </cfRule>
  </conditionalFormatting>
  <conditionalFormatting sqref="AS112">
    <cfRule type="expression" dxfId="156" priority="915">
      <formula>$M$112&lt;&gt;SUM(#REF!)</formula>
    </cfRule>
    <cfRule type="expression" dxfId="155" priority="916">
      <formula>$M$112=SUM(#REF!)</formula>
    </cfRule>
  </conditionalFormatting>
  <conditionalFormatting sqref="N108">
    <cfRule type="expression" dxfId="154" priority="913">
      <formula>$M$108&lt;&gt;#REF!</formula>
    </cfRule>
    <cfRule type="expression" dxfId="153" priority="914">
      <formula>$M$108=#REF!</formula>
    </cfRule>
  </conditionalFormatting>
  <conditionalFormatting sqref="AP108">
    <cfRule type="expression" dxfId="152" priority="909">
      <formula>$M$108&lt;&gt;#REF!</formula>
    </cfRule>
    <cfRule type="expression" dxfId="151" priority="910">
      <formula>$M$108=#REF!</formula>
    </cfRule>
  </conditionalFormatting>
  <conditionalFormatting sqref="AQ108">
    <cfRule type="expression" dxfId="150" priority="907">
      <formula>$M$108&lt;&gt;#REF!</formula>
    </cfRule>
    <cfRule type="expression" dxfId="149" priority="908">
      <formula>$M$108=#REF!</formula>
    </cfRule>
  </conditionalFormatting>
  <conditionalFormatting sqref="AR108">
    <cfRule type="expression" dxfId="148" priority="905">
      <formula>$M$108&lt;&gt;#REF!</formula>
    </cfRule>
    <cfRule type="expression" dxfId="147" priority="906">
      <formula>$M$108=#REF!</formula>
    </cfRule>
  </conditionalFormatting>
  <conditionalFormatting sqref="AS108">
    <cfRule type="expression" dxfId="146" priority="903">
      <formula>$M$108&lt;&gt;#REF!</formula>
    </cfRule>
    <cfRule type="expression" dxfId="145" priority="904">
      <formula>$M$108=#REF!</formula>
    </cfRule>
  </conditionalFormatting>
  <conditionalFormatting sqref="T39:T145">
    <cfRule type="cellIs" dxfId="144" priority="902" operator="equal">
      <formula>"B"</formula>
    </cfRule>
  </conditionalFormatting>
  <conditionalFormatting sqref="BB93">
    <cfRule type="expression" dxfId="143" priority="865">
      <formula>$M$93=#REF!</formula>
    </cfRule>
  </conditionalFormatting>
  <conditionalFormatting sqref="BC93">
    <cfRule type="expression" dxfId="142" priority="864">
      <formula>$M$93=#REF!</formula>
    </cfRule>
  </conditionalFormatting>
  <conditionalFormatting sqref="BD93">
    <cfRule type="expression" dxfId="141" priority="863">
      <formula>$M$93=#REF!</formula>
    </cfRule>
  </conditionalFormatting>
  <conditionalFormatting sqref="BE93">
    <cfRule type="expression" dxfId="140" priority="862">
      <formula>$M$93=#REF!</formula>
    </cfRule>
  </conditionalFormatting>
  <conditionalFormatting sqref="BB85">
    <cfRule type="expression" dxfId="139" priority="858">
      <formula>$M$85&lt;&gt;#REF!</formula>
    </cfRule>
    <cfRule type="expression" dxfId="138" priority="859">
      <formula>$M$85=#REF!</formula>
    </cfRule>
  </conditionalFormatting>
  <conditionalFormatting sqref="BC85">
    <cfRule type="expression" dxfId="137" priority="856">
      <formula>$M$85&lt;&gt;#REF!</formula>
    </cfRule>
    <cfRule type="expression" dxfId="136" priority="857">
      <formula>$M$85=#REF!</formula>
    </cfRule>
  </conditionalFormatting>
  <conditionalFormatting sqref="BD85">
    <cfRule type="expression" dxfId="135" priority="854">
      <formula>$M$85&lt;&gt;#REF!</formula>
    </cfRule>
    <cfRule type="expression" dxfId="134" priority="855">
      <formula>$M$85=#REF!</formula>
    </cfRule>
  </conditionalFormatting>
  <conditionalFormatting sqref="BE85">
    <cfRule type="expression" dxfId="133" priority="852">
      <formula>$M$85&lt;&gt;#REF!</formula>
    </cfRule>
    <cfRule type="expression" dxfId="132" priority="853">
      <formula>$M$85=#REF!</formula>
    </cfRule>
  </conditionalFormatting>
  <conditionalFormatting sqref="BB141">
    <cfRule type="expression" dxfId="131" priority="836">
      <formula>$M$141&lt;&gt;#REF!</formula>
    </cfRule>
    <cfRule type="expression" dxfId="130" priority="837">
      <formula>$M$141=#REF!</formula>
    </cfRule>
  </conditionalFormatting>
  <conditionalFormatting sqref="BC141">
    <cfRule type="expression" dxfId="129" priority="834">
      <formula>$M$141&lt;&gt;#REF!</formula>
    </cfRule>
    <cfRule type="expression" dxfId="128" priority="835">
      <formula>$M$141=#REF!</formula>
    </cfRule>
  </conditionalFormatting>
  <conditionalFormatting sqref="BD141">
    <cfRule type="expression" dxfId="127" priority="832">
      <formula>$M$141&lt;&gt;#REF!</formula>
    </cfRule>
    <cfRule type="expression" dxfId="126" priority="833">
      <formula>$M$141=#REF!</formula>
    </cfRule>
  </conditionalFormatting>
  <conditionalFormatting sqref="BE141">
    <cfRule type="expression" dxfId="125" priority="830">
      <formula>$M$141&lt;&gt;#REF!</formula>
    </cfRule>
    <cfRule type="expression" dxfId="124" priority="831">
      <formula>$M$141=#REF!</formula>
    </cfRule>
  </conditionalFormatting>
  <conditionalFormatting sqref="BB130">
    <cfRule type="expression" dxfId="123" priority="826">
      <formula>$M$130&lt;&gt;#REF!</formula>
    </cfRule>
    <cfRule type="expression" dxfId="122" priority="827">
      <formula>$M$130=#REF!</formula>
    </cfRule>
  </conditionalFormatting>
  <conditionalFormatting sqref="BC130">
    <cfRule type="expression" dxfId="121" priority="824">
      <formula>$M$130&lt;&gt;#REF!</formula>
    </cfRule>
    <cfRule type="expression" dxfId="120" priority="825">
      <formula>$M$130=#REF!</formula>
    </cfRule>
  </conditionalFormatting>
  <conditionalFormatting sqref="BD130">
    <cfRule type="expression" dxfId="119" priority="822">
      <formula>$M$130&lt;&gt;#REF!</formula>
    </cfRule>
    <cfRule type="expression" dxfId="118" priority="823">
      <formula>$M$130=#REF!</formula>
    </cfRule>
  </conditionalFormatting>
  <conditionalFormatting sqref="BE130">
    <cfRule type="expression" dxfId="117" priority="820">
      <formula>$M$130&lt;&gt;#REF!</formula>
    </cfRule>
    <cfRule type="expression" dxfId="116" priority="821">
      <formula>$M$130=#REF!</formula>
    </cfRule>
  </conditionalFormatting>
  <conditionalFormatting sqref="BB122">
    <cfRule type="expression" dxfId="115" priority="816">
      <formula>$M$122&lt;&gt;#REF!</formula>
    </cfRule>
    <cfRule type="expression" dxfId="114" priority="817">
      <formula>$M$122=#REF!</formula>
    </cfRule>
  </conditionalFormatting>
  <conditionalFormatting sqref="BC122">
    <cfRule type="expression" dxfId="113" priority="814">
      <formula>$M$122&lt;&gt;#REF!</formula>
    </cfRule>
    <cfRule type="expression" dxfId="112" priority="815">
      <formula>$M$122=#REF!</formula>
    </cfRule>
  </conditionalFormatting>
  <conditionalFormatting sqref="BD122">
    <cfRule type="expression" dxfId="111" priority="812">
      <formula>$M$122&lt;&gt;#REF!</formula>
    </cfRule>
    <cfRule type="expression" dxfId="110" priority="813">
      <formula>$M$122=#REF!</formula>
    </cfRule>
  </conditionalFormatting>
  <conditionalFormatting sqref="BE122">
    <cfRule type="expression" dxfId="109" priority="810">
      <formula>$M$122&lt;&gt;#REF!</formula>
    </cfRule>
    <cfRule type="expression" dxfId="108" priority="811">
      <formula>$M$122=#REF!</formula>
    </cfRule>
  </conditionalFormatting>
  <conditionalFormatting sqref="BB115">
    <cfRule type="expression" dxfId="107" priority="806">
      <formula>$M$115&lt;&gt;#REF!</formula>
    </cfRule>
    <cfRule type="expression" dxfId="106" priority="807">
      <formula>$M$115=#REF!</formula>
    </cfRule>
  </conditionalFormatting>
  <conditionalFormatting sqref="BC115">
    <cfRule type="expression" dxfId="105" priority="804">
      <formula>$M$115&lt;&gt;#REF!</formula>
    </cfRule>
    <cfRule type="expression" dxfId="104" priority="805">
      <formula>$M$115=#REF!</formula>
    </cfRule>
  </conditionalFormatting>
  <conditionalFormatting sqref="BD115">
    <cfRule type="expression" dxfId="103" priority="802">
      <formula>$M$115&lt;&gt;#REF!</formula>
    </cfRule>
    <cfRule type="expression" dxfId="102" priority="803">
      <formula>$M$115=#REF!</formula>
    </cfRule>
  </conditionalFormatting>
  <conditionalFormatting sqref="BE115">
    <cfRule type="expression" dxfId="101" priority="800">
      <formula>$M$115&lt;&gt;#REF!</formula>
    </cfRule>
    <cfRule type="expression" dxfId="100" priority="801">
      <formula>$M$115=#REF!</formula>
    </cfRule>
  </conditionalFormatting>
  <conditionalFormatting sqref="BB112">
    <cfRule type="expression" dxfId="99" priority="796">
      <formula>$M$112&lt;&gt;SUM(#REF!)</formula>
    </cfRule>
    <cfRule type="expression" dxfId="98" priority="797">
      <formula>$M$112=SUM(#REF!)</formula>
    </cfRule>
  </conditionalFormatting>
  <conditionalFormatting sqref="BC112">
    <cfRule type="expression" dxfId="97" priority="794">
      <formula>$M$112&lt;&gt;SUM(#REF!)</formula>
    </cfRule>
    <cfRule type="expression" dxfId="96" priority="795">
      <formula>$M$112=SUM(#REF!)</formula>
    </cfRule>
  </conditionalFormatting>
  <conditionalFormatting sqref="BD112">
    <cfRule type="expression" dxfId="95" priority="792">
      <formula>$M$112&lt;&gt;SUM(#REF!)</formula>
    </cfRule>
    <cfRule type="expression" dxfId="94" priority="793">
      <formula>$M$112=SUM(#REF!)</formula>
    </cfRule>
  </conditionalFormatting>
  <conditionalFormatting sqref="BE112">
    <cfRule type="expression" dxfId="93" priority="790">
      <formula>$M$112&lt;&gt;SUM(#REF!)</formula>
    </cfRule>
    <cfRule type="expression" dxfId="92" priority="791">
      <formula>$M$112=SUM(#REF!)</formula>
    </cfRule>
  </conditionalFormatting>
  <conditionalFormatting sqref="BB108">
    <cfRule type="expression" dxfId="91" priority="786">
      <formula>$M$108&lt;&gt;#REF!</formula>
    </cfRule>
    <cfRule type="expression" dxfId="90" priority="787">
      <formula>$M$108=#REF!</formula>
    </cfRule>
  </conditionalFormatting>
  <conditionalFormatting sqref="BC108">
    <cfRule type="expression" dxfId="89" priority="784">
      <formula>$M$108&lt;&gt;#REF!</formula>
    </cfRule>
    <cfRule type="expression" dxfId="88" priority="785">
      <formula>$M$108=#REF!</formula>
    </cfRule>
  </conditionalFormatting>
  <conditionalFormatting sqref="BD108">
    <cfRule type="expression" dxfId="87" priority="782">
      <formula>$M$108&lt;&gt;#REF!</formula>
    </cfRule>
    <cfRule type="expression" dxfId="86" priority="783">
      <formula>$M$108=#REF!</formula>
    </cfRule>
  </conditionalFormatting>
  <conditionalFormatting sqref="BE108">
    <cfRule type="expression" dxfId="85" priority="780">
      <formula>$M$108&lt;&gt;#REF!</formula>
    </cfRule>
    <cfRule type="expression" dxfId="84" priority="781">
      <formula>$M$108=#REF!</formula>
    </cfRule>
  </conditionalFormatting>
  <conditionalFormatting sqref="C76">
    <cfRule type="cellIs" dxfId="83" priority="753" operator="equal">
      <formula>"RESCOA"</formula>
    </cfRule>
    <cfRule type="cellIs" dxfId="82" priority="754" operator="equal">
      <formula>"RESOKE"</formula>
    </cfRule>
    <cfRule type="cellIs" dxfId="81" priority="755" operator="equal">
      <formula>"RESBIW"</formula>
    </cfRule>
  </conditionalFormatting>
  <conditionalFormatting sqref="AO144">
    <cfRule type="expression" dxfId="80" priority="712">
      <formula>$M$55&lt;&gt;#REF!</formula>
    </cfRule>
    <cfRule type="expression" dxfId="79" priority="713">
      <formula>$M$55=#REF!</formula>
    </cfRule>
  </conditionalFormatting>
  <conditionalFormatting sqref="AO73">
    <cfRule type="expression" dxfId="78" priority="732">
      <formula>$M$73&lt;&gt;SUM(#REF!)</formula>
    </cfRule>
    <cfRule type="expression" dxfId="77" priority="733">
      <formula>$M$73=SUM(#REF!)</formula>
    </cfRule>
  </conditionalFormatting>
  <conditionalFormatting sqref="AO77">
    <cfRule type="expression" dxfId="76" priority="730">
      <formula>$M$77&lt;&gt;#REF!</formula>
    </cfRule>
    <cfRule type="expression" dxfId="75" priority="731">
      <formula>$M$77=#REF!</formula>
    </cfRule>
  </conditionalFormatting>
  <conditionalFormatting sqref="AO85">
    <cfRule type="expression" dxfId="74" priority="728">
      <formula>$M$85&lt;&gt;#REF!</formula>
    </cfRule>
    <cfRule type="expression" dxfId="73" priority="729">
      <formula>$M$85=#REF!</formula>
    </cfRule>
  </conditionalFormatting>
  <conditionalFormatting sqref="AO97">
    <cfRule type="expression" dxfId="72" priority="726">
      <formula>$M$55&lt;&gt;#REF!</formula>
    </cfRule>
    <cfRule type="expression" dxfId="71" priority="727">
      <formula>$M$55=#REF!</formula>
    </cfRule>
  </conditionalFormatting>
  <conditionalFormatting sqref="AO112">
    <cfRule type="expression" dxfId="70" priority="724">
      <formula>$M$112&lt;&gt;SUM(#REF!)</formula>
    </cfRule>
    <cfRule type="expression" dxfId="69" priority="725">
      <formula>$M$112=SUM(#REF!)</formula>
    </cfRule>
  </conditionalFormatting>
  <conditionalFormatting sqref="AO115">
    <cfRule type="expression" dxfId="68" priority="722">
      <formula>$M$115&lt;&gt;#REF!</formula>
    </cfRule>
    <cfRule type="expression" dxfId="67" priority="723">
      <formula>$M$115=#REF!</formula>
    </cfRule>
  </conditionalFormatting>
  <conditionalFormatting sqref="AO122">
    <cfRule type="expression" dxfId="66" priority="720">
      <formula>$M$122&lt;&gt;#REF!</formula>
    </cfRule>
    <cfRule type="expression" dxfId="65" priority="721">
      <formula>$M$122=#REF!</formula>
    </cfRule>
  </conditionalFormatting>
  <conditionalFormatting sqref="AO130">
    <cfRule type="expression" dxfId="64" priority="718">
      <formula>$M$130&lt;&gt;#REF!</formula>
    </cfRule>
    <cfRule type="expression" dxfId="63" priority="719">
      <formula>$M$130=#REF!</formula>
    </cfRule>
  </conditionalFormatting>
  <conditionalFormatting sqref="AO138">
    <cfRule type="expression" dxfId="62" priority="716">
      <formula>$M$55&lt;&gt;#REF!</formula>
    </cfRule>
    <cfRule type="expression" dxfId="61" priority="717">
      <formula>$M$55=#REF!</formula>
    </cfRule>
  </conditionalFormatting>
  <conditionalFormatting sqref="AO141">
    <cfRule type="expression" dxfId="60" priority="714">
      <formula>$M$141&lt;&gt;#REF!</formula>
    </cfRule>
    <cfRule type="expression" dxfId="59" priority="715">
      <formula>$M$141=#REF!</formula>
    </cfRule>
  </conditionalFormatting>
  <conditionalFormatting sqref="AL48 AA48 Y48 W48 AJ48 AH48 AC48:AD48 AF48">
    <cfRule type="dataBar" priority="690">
      <dataBar>
        <cfvo type="min"/>
        <cfvo type="max"/>
        <color rgb="FF008AEF"/>
      </dataBar>
      <extLst>
        <ext xmlns:x14="http://schemas.microsoft.com/office/spreadsheetml/2009/9/main" uri="{B025F937-C7B1-47D3-B67F-A62EFF666E3E}">
          <x14:id>{EE7E7DBA-833B-49F1-B7A3-808A958C3760}</x14:id>
        </ext>
      </extLst>
    </cfRule>
  </conditionalFormatting>
  <conditionalFormatting sqref="AL59 U59 AA59 Y59 W59 AJ59 AH59 AC59:AD59 AF59">
    <cfRule type="dataBar" priority="682">
      <dataBar>
        <cfvo type="min"/>
        <cfvo type="max"/>
        <color rgb="FF008AEF"/>
      </dataBar>
      <extLst>
        <ext xmlns:x14="http://schemas.microsoft.com/office/spreadsheetml/2009/9/main" uri="{B025F937-C7B1-47D3-B67F-A62EFF666E3E}">
          <x14:id>{BCC009E0-7343-4EC9-8D05-72ED3EF3B273}</x14:id>
        </ext>
      </extLst>
    </cfRule>
  </conditionalFormatting>
  <conditionalFormatting sqref="X59">
    <cfRule type="dataBar" priority="680">
      <dataBar>
        <cfvo type="min"/>
        <cfvo type="max"/>
        <color rgb="FF008AEF"/>
      </dataBar>
      <extLst>
        <ext xmlns:x14="http://schemas.microsoft.com/office/spreadsheetml/2009/9/main" uri="{B025F937-C7B1-47D3-B67F-A62EFF666E3E}">
          <x14:id>{D11DD312-3D19-471A-81AA-CF7CBEFC8461}</x14:id>
        </ext>
      </extLst>
    </cfRule>
  </conditionalFormatting>
  <conditionalFormatting sqref="Z59">
    <cfRule type="dataBar" priority="679">
      <dataBar>
        <cfvo type="min"/>
        <cfvo type="max"/>
        <color rgb="FF008AEF"/>
      </dataBar>
      <extLst>
        <ext xmlns:x14="http://schemas.microsoft.com/office/spreadsheetml/2009/9/main" uri="{B025F937-C7B1-47D3-B67F-A62EFF666E3E}">
          <x14:id>{7D7337CE-EC94-45A1-AB4F-A771DB22D985}</x14:id>
        </ext>
      </extLst>
    </cfRule>
  </conditionalFormatting>
  <conditionalFormatting sqref="AB59">
    <cfRule type="dataBar" priority="678">
      <dataBar>
        <cfvo type="min"/>
        <cfvo type="max"/>
        <color rgb="FF008AEF"/>
      </dataBar>
      <extLst>
        <ext xmlns:x14="http://schemas.microsoft.com/office/spreadsheetml/2009/9/main" uri="{B025F937-C7B1-47D3-B67F-A62EFF666E3E}">
          <x14:id>{540CA410-AC31-43CF-AB74-DD65A757E349}</x14:id>
        </ext>
      </extLst>
    </cfRule>
  </conditionalFormatting>
  <conditionalFormatting sqref="AG59">
    <cfRule type="dataBar" priority="677">
      <dataBar>
        <cfvo type="min"/>
        <cfvo type="max"/>
        <color rgb="FF008AEF"/>
      </dataBar>
      <extLst>
        <ext xmlns:x14="http://schemas.microsoft.com/office/spreadsheetml/2009/9/main" uri="{B025F937-C7B1-47D3-B67F-A62EFF666E3E}">
          <x14:id>{848F0C01-C5B8-435F-9A12-E712DD4B7499}</x14:id>
        </ext>
      </extLst>
    </cfRule>
  </conditionalFormatting>
  <conditionalFormatting sqref="AI59">
    <cfRule type="dataBar" priority="676">
      <dataBar>
        <cfvo type="min"/>
        <cfvo type="max"/>
        <color rgb="FF008AEF"/>
      </dataBar>
      <extLst>
        <ext xmlns:x14="http://schemas.microsoft.com/office/spreadsheetml/2009/9/main" uri="{B025F937-C7B1-47D3-B67F-A62EFF666E3E}">
          <x14:id>{158F6A12-C65D-4A09-8D35-DFF31DFE7E95}</x14:id>
        </ext>
      </extLst>
    </cfRule>
  </conditionalFormatting>
  <conditionalFormatting sqref="AK59">
    <cfRule type="dataBar" priority="675">
      <dataBar>
        <cfvo type="min"/>
        <cfvo type="max"/>
        <color rgb="FF008AEF"/>
      </dataBar>
      <extLst>
        <ext xmlns:x14="http://schemas.microsoft.com/office/spreadsheetml/2009/9/main" uri="{B025F937-C7B1-47D3-B67F-A62EFF666E3E}">
          <x14:id>{52017958-0E0C-4212-8986-6438512BC502}</x14:id>
        </ext>
      </extLst>
    </cfRule>
  </conditionalFormatting>
  <conditionalFormatting sqref="U66 AL66 AA66 Y66 W66 AJ66 AH66 AC66:AD66 AF66">
    <cfRule type="dataBar" priority="674">
      <dataBar>
        <cfvo type="min"/>
        <cfvo type="max"/>
        <color rgb="FF008AEF"/>
      </dataBar>
      <extLst>
        <ext xmlns:x14="http://schemas.microsoft.com/office/spreadsheetml/2009/9/main" uri="{B025F937-C7B1-47D3-B67F-A62EFF666E3E}">
          <x14:id>{7F59F68D-1830-43C8-B29E-4BA25B3F52BC}</x14:id>
        </ext>
      </extLst>
    </cfRule>
  </conditionalFormatting>
  <conditionalFormatting sqref="X66">
    <cfRule type="dataBar" priority="672">
      <dataBar>
        <cfvo type="min"/>
        <cfvo type="max"/>
        <color rgb="FF008AEF"/>
      </dataBar>
      <extLst>
        <ext xmlns:x14="http://schemas.microsoft.com/office/spreadsheetml/2009/9/main" uri="{B025F937-C7B1-47D3-B67F-A62EFF666E3E}">
          <x14:id>{58DC79A6-37DA-4276-BD4A-E0CF139D148F}</x14:id>
        </ext>
      </extLst>
    </cfRule>
  </conditionalFormatting>
  <conditionalFormatting sqref="Z66">
    <cfRule type="dataBar" priority="671">
      <dataBar>
        <cfvo type="min"/>
        <cfvo type="max"/>
        <color rgb="FF008AEF"/>
      </dataBar>
      <extLst>
        <ext xmlns:x14="http://schemas.microsoft.com/office/spreadsheetml/2009/9/main" uri="{B025F937-C7B1-47D3-B67F-A62EFF666E3E}">
          <x14:id>{CC0B68AE-CE0A-460C-86F0-D7BFBEEB76B6}</x14:id>
        </ext>
      </extLst>
    </cfRule>
  </conditionalFormatting>
  <conditionalFormatting sqref="AB66">
    <cfRule type="dataBar" priority="670">
      <dataBar>
        <cfvo type="min"/>
        <cfvo type="max"/>
        <color rgb="FF008AEF"/>
      </dataBar>
      <extLst>
        <ext xmlns:x14="http://schemas.microsoft.com/office/spreadsheetml/2009/9/main" uri="{B025F937-C7B1-47D3-B67F-A62EFF666E3E}">
          <x14:id>{CF0A1233-0AA0-4733-89F0-657C21949015}</x14:id>
        </ext>
      </extLst>
    </cfRule>
  </conditionalFormatting>
  <conditionalFormatting sqref="AG66">
    <cfRule type="dataBar" priority="669">
      <dataBar>
        <cfvo type="min"/>
        <cfvo type="max"/>
        <color rgb="FF008AEF"/>
      </dataBar>
      <extLst>
        <ext xmlns:x14="http://schemas.microsoft.com/office/spreadsheetml/2009/9/main" uri="{B025F937-C7B1-47D3-B67F-A62EFF666E3E}">
          <x14:id>{3626ECFD-4F34-4CE2-8CDA-6BC403265878}</x14:id>
        </ext>
      </extLst>
    </cfRule>
  </conditionalFormatting>
  <conditionalFormatting sqref="AI66">
    <cfRule type="dataBar" priority="668">
      <dataBar>
        <cfvo type="min"/>
        <cfvo type="max"/>
        <color rgb="FF008AEF"/>
      </dataBar>
      <extLst>
        <ext xmlns:x14="http://schemas.microsoft.com/office/spreadsheetml/2009/9/main" uri="{B025F937-C7B1-47D3-B67F-A62EFF666E3E}">
          <x14:id>{04074C78-69FD-410B-B532-882150085745}</x14:id>
        </ext>
      </extLst>
    </cfRule>
  </conditionalFormatting>
  <conditionalFormatting sqref="AK66">
    <cfRule type="dataBar" priority="667">
      <dataBar>
        <cfvo type="min"/>
        <cfvo type="max"/>
        <color rgb="FF008AEF"/>
      </dataBar>
      <extLst>
        <ext xmlns:x14="http://schemas.microsoft.com/office/spreadsheetml/2009/9/main" uri="{B025F937-C7B1-47D3-B67F-A62EFF666E3E}">
          <x14:id>{47331048-39F5-48CE-95BF-EDA5CE7EC073}</x14:id>
        </ext>
      </extLst>
    </cfRule>
  </conditionalFormatting>
  <conditionalFormatting sqref="U67 AL67 AA67 Y67 W67 AJ67 AH67 AC67:AD67 AF67">
    <cfRule type="dataBar" priority="666">
      <dataBar>
        <cfvo type="min"/>
        <cfvo type="max"/>
        <color rgb="FF008AEF"/>
      </dataBar>
      <extLst>
        <ext xmlns:x14="http://schemas.microsoft.com/office/spreadsheetml/2009/9/main" uri="{B025F937-C7B1-47D3-B67F-A62EFF666E3E}">
          <x14:id>{71EEB247-8703-4FE5-B236-07750244F069}</x14:id>
        </ext>
      </extLst>
    </cfRule>
  </conditionalFormatting>
  <conditionalFormatting sqref="X67">
    <cfRule type="dataBar" priority="664">
      <dataBar>
        <cfvo type="min"/>
        <cfvo type="max"/>
        <color rgb="FF008AEF"/>
      </dataBar>
      <extLst>
        <ext xmlns:x14="http://schemas.microsoft.com/office/spreadsheetml/2009/9/main" uri="{B025F937-C7B1-47D3-B67F-A62EFF666E3E}">
          <x14:id>{5EF72394-BBC2-4095-9221-CB5A79CB8A18}</x14:id>
        </ext>
      </extLst>
    </cfRule>
  </conditionalFormatting>
  <conditionalFormatting sqref="Z67">
    <cfRule type="dataBar" priority="663">
      <dataBar>
        <cfvo type="min"/>
        <cfvo type="max"/>
        <color rgb="FF008AEF"/>
      </dataBar>
      <extLst>
        <ext xmlns:x14="http://schemas.microsoft.com/office/spreadsheetml/2009/9/main" uri="{B025F937-C7B1-47D3-B67F-A62EFF666E3E}">
          <x14:id>{063B7066-8BF9-4ABF-BAB8-A8E6D99A5950}</x14:id>
        </ext>
      </extLst>
    </cfRule>
  </conditionalFormatting>
  <conditionalFormatting sqref="AB67">
    <cfRule type="dataBar" priority="662">
      <dataBar>
        <cfvo type="min"/>
        <cfvo type="max"/>
        <color rgb="FF008AEF"/>
      </dataBar>
      <extLst>
        <ext xmlns:x14="http://schemas.microsoft.com/office/spreadsheetml/2009/9/main" uri="{B025F937-C7B1-47D3-B67F-A62EFF666E3E}">
          <x14:id>{D9B5D389-7F69-4436-A92A-4808CF0AC493}</x14:id>
        </ext>
      </extLst>
    </cfRule>
  </conditionalFormatting>
  <conditionalFormatting sqref="AG67">
    <cfRule type="dataBar" priority="661">
      <dataBar>
        <cfvo type="min"/>
        <cfvo type="max"/>
        <color rgb="FF008AEF"/>
      </dataBar>
      <extLst>
        <ext xmlns:x14="http://schemas.microsoft.com/office/spreadsheetml/2009/9/main" uri="{B025F937-C7B1-47D3-B67F-A62EFF666E3E}">
          <x14:id>{36598FF9-3351-48EF-B747-051D8B4BDD9C}</x14:id>
        </ext>
      </extLst>
    </cfRule>
  </conditionalFormatting>
  <conditionalFormatting sqref="AI67">
    <cfRule type="dataBar" priority="660">
      <dataBar>
        <cfvo type="min"/>
        <cfvo type="max"/>
        <color rgb="FF008AEF"/>
      </dataBar>
      <extLst>
        <ext xmlns:x14="http://schemas.microsoft.com/office/spreadsheetml/2009/9/main" uri="{B025F937-C7B1-47D3-B67F-A62EFF666E3E}">
          <x14:id>{3F346B44-ADAC-4192-B9A4-0AEC77EF178C}</x14:id>
        </ext>
      </extLst>
    </cfRule>
  </conditionalFormatting>
  <conditionalFormatting sqref="AK67">
    <cfRule type="dataBar" priority="659">
      <dataBar>
        <cfvo type="min"/>
        <cfvo type="max"/>
        <color rgb="FF008AEF"/>
      </dataBar>
      <extLst>
        <ext xmlns:x14="http://schemas.microsoft.com/office/spreadsheetml/2009/9/main" uri="{B025F937-C7B1-47D3-B67F-A62EFF666E3E}">
          <x14:id>{AED35A54-A1C3-4DAF-B7EC-B8967EB46D34}</x14:id>
        </ext>
      </extLst>
    </cfRule>
  </conditionalFormatting>
  <conditionalFormatting sqref="U70 AL70 AA70 Y70 W70 AJ70 AH70 AC70:AD70 AF70">
    <cfRule type="dataBar" priority="658">
      <dataBar>
        <cfvo type="min"/>
        <cfvo type="max"/>
        <color rgb="FF008AEF"/>
      </dataBar>
      <extLst>
        <ext xmlns:x14="http://schemas.microsoft.com/office/spreadsheetml/2009/9/main" uri="{B025F937-C7B1-47D3-B67F-A62EFF666E3E}">
          <x14:id>{B315923A-1FCB-4C1F-9DEE-8E7D6C48AE12}</x14:id>
        </ext>
      </extLst>
    </cfRule>
  </conditionalFormatting>
  <conditionalFormatting sqref="X70">
    <cfRule type="dataBar" priority="656">
      <dataBar>
        <cfvo type="min"/>
        <cfvo type="max"/>
        <color rgb="FF008AEF"/>
      </dataBar>
      <extLst>
        <ext xmlns:x14="http://schemas.microsoft.com/office/spreadsheetml/2009/9/main" uri="{B025F937-C7B1-47D3-B67F-A62EFF666E3E}">
          <x14:id>{6BE5D550-2461-46A3-A982-611CDFF81362}</x14:id>
        </ext>
      </extLst>
    </cfRule>
  </conditionalFormatting>
  <conditionalFormatting sqref="Z70">
    <cfRule type="dataBar" priority="655">
      <dataBar>
        <cfvo type="min"/>
        <cfvo type="max"/>
        <color rgb="FF008AEF"/>
      </dataBar>
      <extLst>
        <ext xmlns:x14="http://schemas.microsoft.com/office/spreadsheetml/2009/9/main" uri="{B025F937-C7B1-47D3-B67F-A62EFF666E3E}">
          <x14:id>{DCB60F66-BA67-4811-959C-6DF3B62E4162}</x14:id>
        </ext>
      </extLst>
    </cfRule>
  </conditionalFormatting>
  <conditionalFormatting sqref="AB70">
    <cfRule type="dataBar" priority="654">
      <dataBar>
        <cfvo type="min"/>
        <cfvo type="max"/>
        <color rgb="FF008AEF"/>
      </dataBar>
      <extLst>
        <ext xmlns:x14="http://schemas.microsoft.com/office/spreadsheetml/2009/9/main" uri="{B025F937-C7B1-47D3-B67F-A62EFF666E3E}">
          <x14:id>{EC9252D7-0B06-4199-85D3-86D286AD12EB}</x14:id>
        </ext>
      </extLst>
    </cfRule>
  </conditionalFormatting>
  <conditionalFormatting sqref="AG70">
    <cfRule type="dataBar" priority="653">
      <dataBar>
        <cfvo type="min"/>
        <cfvo type="max"/>
        <color rgb="FF008AEF"/>
      </dataBar>
      <extLst>
        <ext xmlns:x14="http://schemas.microsoft.com/office/spreadsheetml/2009/9/main" uri="{B025F937-C7B1-47D3-B67F-A62EFF666E3E}">
          <x14:id>{05D30188-7E6D-4986-B31B-B400A1B4A934}</x14:id>
        </ext>
      </extLst>
    </cfRule>
  </conditionalFormatting>
  <conditionalFormatting sqref="AI70">
    <cfRule type="dataBar" priority="652">
      <dataBar>
        <cfvo type="min"/>
        <cfvo type="max"/>
        <color rgb="FF008AEF"/>
      </dataBar>
      <extLst>
        <ext xmlns:x14="http://schemas.microsoft.com/office/spreadsheetml/2009/9/main" uri="{B025F937-C7B1-47D3-B67F-A62EFF666E3E}">
          <x14:id>{B0ECEAD3-6465-402C-A3CC-28CDF371E271}</x14:id>
        </ext>
      </extLst>
    </cfRule>
  </conditionalFormatting>
  <conditionalFormatting sqref="AK70">
    <cfRule type="dataBar" priority="651">
      <dataBar>
        <cfvo type="min"/>
        <cfvo type="max"/>
        <color rgb="FF008AEF"/>
      </dataBar>
      <extLst>
        <ext xmlns:x14="http://schemas.microsoft.com/office/spreadsheetml/2009/9/main" uri="{B025F937-C7B1-47D3-B67F-A62EFF666E3E}">
          <x14:id>{E62BB869-8F07-4742-85A8-B0BEA198A702}</x14:id>
        </ext>
      </extLst>
    </cfRule>
  </conditionalFormatting>
  <conditionalFormatting sqref="U73 AL73 AA73 Y73 W73 AJ73 AH73 AC73:AD73 AF73">
    <cfRule type="dataBar" priority="642">
      <dataBar>
        <cfvo type="min"/>
        <cfvo type="max"/>
        <color rgb="FF008AEF"/>
      </dataBar>
      <extLst>
        <ext xmlns:x14="http://schemas.microsoft.com/office/spreadsheetml/2009/9/main" uri="{B025F937-C7B1-47D3-B67F-A62EFF666E3E}">
          <x14:id>{84BB929D-7EB8-4061-B3BE-02CDF90B3554}</x14:id>
        </ext>
      </extLst>
    </cfRule>
  </conditionalFormatting>
  <conditionalFormatting sqref="X73">
    <cfRule type="dataBar" priority="640">
      <dataBar>
        <cfvo type="min"/>
        <cfvo type="max"/>
        <color rgb="FF008AEF"/>
      </dataBar>
      <extLst>
        <ext xmlns:x14="http://schemas.microsoft.com/office/spreadsheetml/2009/9/main" uri="{B025F937-C7B1-47D3-B67F-A62EFF666E3E}">
          <x14:id>{C87013C6-0151-4EEC-92EB-375512116A91}</x14:id>
        </ext>
      </extLst>
    </cfRule>
  </conditionalFormatting>
  <conditionalFormatting sqref="Z73">
    <cfRule type="dataBar" priority="639">
      <dataBar>
        <cfvo type="min"/>
        <cfvo type="max"/>
        <color rgb="FF008AEF"/>
      </dataBar>
      <extLst>
        <ext xmlns:x14="http://schemas.microsoft.com/office/spreadsheetml/2009/9/main" uri="{B025F937-C7B1-47D3-B67F-A62EFF666E3E}">
          <x14:id>{670FB763-CABE-4956-91DE-2091FB29BA1D}</x14:id>
        </ext>
      </extLst>
    </cfRule>
  </conditionalFormatting>
  <conditionalFormatting sqref="AB73">
    <cfRule type="dataBar" priority="638">
      <dataBar>
        <cfvo type="min"/>
        <cfvo type="max"/>
        <color rgb="FF008AEF"/>
      </dataBar>
      <extLst>
        <ext xmlns:x14="http://schemas.microsoft.com/office/spreadsheetml/2009/9/main" uri="{B025F937-C7B1-47D3-B67F-A62EFF666E3E}">
          <x14:id>{5E53D824-8B6B-42C7-97F5-1548196701F8}</x14:id>
        </ext>
      </extLst>
    </cfRule>
  </conditionalFormatting>
  <conditionalFormatting sqref="AG73">
    <cfRule type="dataBar" priority="637">
      <dataBar>
        <cfvo type="min"/>
        <cfvo type="max"/>
        <color rgb="FF008AEF"/>
      </dataBar>
      <extLst>
        <ext xmlns:x14="http://schemas.microsoft.com/office/spreadsheetml/2009/9/main" uri="{B025F937-C7B1-47D3-B67F-A62EFF666E3E}">
          <x14:id>{59AD3E89-5738-4738-A90D-3F4AE405683F}</x14:id>
        </ext>
      </extLst>
    </cfRule>
  </conditionalFormatting>
  <conditionalFormatting sqref="AI73">
    <cfRule type="dataBar" priority="636">
      <dataBar>
        <cfvo type="min"/>
        <cfvo type="max"/>
        <color rgb="FF008AEF"/>
      </dataBar>
      <extLst>
        <ext xmlns:x14="http://schemas.microsoft.com/office/spreadsheetml/2009/9/main" uri="{B025F937-C7B1-47D3-B67F-A62EFF666E3E}">
          <x14:id>{C7D9F67F-256E-4B37-A47D-19A162B5B8FA}</x14:id>
        </ext>
      </extLst>
    </cfRule>
  </conditionalFormatting>
  <conditionalFormatting sqref="AK73">
    <cfRule type="dataBar" priority="635">
      <dataBar>
        <cfvo type="min"/>
        <cfvo type="max"/>
        <color rgb="FF008AEF"/>
      </dataBar>
      <extLst>
        <ext xmlns:x14="http://schemas.microsoft.com/office/spreadsheetml/2009/9/main" uri="{B025F937-C7B1-47D3-B67F-A62EFF666E3E}">
          <x14:id>{C6D1E401-CB3E-4929-9CE3-A8BC61168C02}</x14:id>
        </ext>
      </extLst>
    </cfRule>
  </conditionalFormatting>
  <conditionalFormatting sqref="U74 AL74 AA74 Y74 W74 AJ74 AH74 AC74:AD74 AF74">
    <cfRule type="dataBar" priority="634">
      <dataBar>
        <cfvo type="min"/>
        <cfvo type="max"/>
        <color rgb="FF008AEF"/>
      </dataBar>
      <extLst>
        <ext xmlns:x14="http://schemas.microsoft.com/office/spreadsheetml/2009/9/main" uri="{B025F937-C7B1-47D3-B67F-A62EFF666E3E}">
          <x14:id>{274ED9F8-86B4-49A0-BDDB-190C86E7DB53}</x14:id>
        </ext>
      </extLst>
    </cfRule>
  </conditionalFormatting>
  <conditionalFormatting sqref="X74">
    <cfRule type="dataBar" priority="632">
      <dataBar>
        <cfvo type="min"/>
        <cfvo type="max"/>
        <color rgb="FF008AEF"/>
      </dataBar>
      <extLst>
        <ext xmlns:x14="http://schemas.microsoft.com/office/spreadsheetml/2009/9/main" uri="{B025F937-C7B1-47D3-B67F-A62EFF666E3E}">
          <x14:id>{E0BED39D-98F4-4660-8C51-DF3015D3D312}</x14:id>
        </ext>
      </extLst>
    </cfRule>
  </conditionalFormatting>
  <conditionalFormatting sqref="Z74">
    <cfRule type="dataBar" priority="631">
      <dataBar>
        <cfvo type="min"/>
        <cfvo type="max"/>
        <color rgb="FF008AEF"/>
      </dataBar>
      <extLst>
        <ext xmlns:x14="http://schemas.microsoft.com/office/spreadsheetml/2009/9/main" uri="{B025F937-C7B1-47D3-B67F-A62EFF666E3E}">
          <x14:id>{C32F6C89-A5A8-4F37-9EF2-B018738750A2}</x14:id>
        </ext>
      </extLst>
    </cfRule>
  </conditionalFormatting>
  <conditionalFormatting sqref="AB74">
    <cfRule type="dataBar" priority="630">
      <dataBar>
        <cfvo type="min"/>
        <cfvo type="max"/>
        <color rgb="FF008AEF"/>
      </dataBar>
      <extLst>
        <ext xmlns:x14="http://schemas.microsoft.com/office/spreadsheetml/2009/9/main" uri="{B025F937-C7B1-47D3-B67F-A62EFF666E3E}">
          <x14:id>{6FB9C36A-16DB-4ADD-B1F9-E2609FD8E420}</x14:id>
        </ext>
      </extLst>
    </cfRule>
  </conditionalFormatting>
  <conditionalFormatting sqref="AG74">
    <cfRule type="dataBar" priority="629">
      <dataBar>
        <cfvo type="min"/>
        <cfvo type="max"/>
        <color rgb="FF008AEF"/>
      </dataBar>
      <extLst>
        <ext xmlns:x14="http://schemas.microsoft.com/office/spreadsheetml/2009/9/main" uri="{B025F937-C7B1-47D3-B67F-A62EFF666E3E}">
          <x14:id>{D758BFAA-55D1-406E-A49E-C3D64B9CB172}</x14:id>
        </ext>
      </extLst>
    </cfRule>
  </conditionalFormatting>
  <conditionalFormatting sqref="AI74">
    <cfRule type="dataBar" priority="628">
      <dataBar>
        <cfvo type="min"/>
        <cfvo type="max"/>
        <color rgb="FF008AEF"/>
      </dataBar>
      <extLst>
        <ext xmlns:x14="http://schemas.microsoft.com/office/spreadsheetml/2009/9/main" uri="{B025F937-C7B1-47D3-B67F-A62EFF666E3E}">
          <x14:id>{046F07E4-E717-4A5E-BDF1-4E21A976648D}</x14:id>
        </ext>
      </extLst>
    </cfRule>
  </conditionalFormatting>
  <conditionalFormatting sqref="AK74">
    <cfRule type="dataBar" priority="627">
      <dataBar>
        <cfvo type="min"/>
        <cfvo type="max"/>
        <color rgb="FF008AEF"/>
      </dataBar>
      <extLst>
        <ext xmlns:x14="http://schemas.microsoft.com/office/spreadsheetml/2009/9/main" uri="{B025F937-C7B1-47D3-B67F-A62EFF666E3E}">
          <x14:id>{E7E7BFEC-52EB-4B58-A4D0-FF1FA5BC0220}</x14:id>
        </ext>
      </extLst>
    </cfRule>
  </conditionalFormatting>
  <conditionalFormatting sqref="AL77 Y77 AA77 W77 AJ77 AH77 AC77:AD77 AF77">
    <cfRule type="dataBar" priority="618">
      <dataBar>
        <cfvo type="min"/>
        <cfvo type="max"/>
        <color rgb="FF008AEF"/>
      </dataBar>
      <extLst>
        <ext xmlns:x14="http://schemas.microsoft.com/office/spreadsheetml/2009/9/main" uri="{B025F937-C7B1-47D3-B67F-A62EFF666E3E}">
          <x14:id>{2923D1E8-14DD-4D03-AEF7-FA16CCEACB19}</x14:id>
        </ext>
      </extLst>
    </cfRule>
  </conditionalFormatting>
  <conditionalFormatting sqref="X77">
    <cfRule type="dataBar" priority="608">
      <dataBar>
        <cfvo type="min"/>
        <cfvo type="max"/>
        <color rgb="FF008AEF"/>
      </dataBar>
      <extLst>
        <ext xmlns:x14="http://schemas.microsoft.com/office/spreadsheetml/2009/9/main" uri="{B025F937-C7B1-47D3-B67F-A62EFF666E3E}">
          <x14:id>{A4D2DC3D-E6D2-42A4-BF09-8A864EC181BA}</x14:id>
        </ext>
      </extLst>
    </cfRule>
  </conditionalFormatting>
  <conditionalFormatting sqref="Z77">
    <cfRule type="dataBar" priority="607">
      <dataBar>
        <cfvo type="min"/>
        <cfvo type="max"/>
        <color rgb="FF008AEF"/>
      </dataBar>
      <extLst>
        <ext xmlns:x14="http://schemas.microsoft.com/office/spreadsheetml/2009/9/main" uri="{B025F937-C7B1-47D3-B67F-A62EFF666E3E}">
          <x14:id>{310772A5-339A-49F3-A31B-2B116FD5CD25}</x14:id>
        </ext>
      </extLst>
    </cfRule>
  </conditionalFormatting>
  <conditionalFormatting sqref="AB77">
    <cfRule type="dataBar" priority="606">
      <dataBar>
        <cfvo type="min"/>
        <cfvo type="max"/>
        <color rgb="FF008AEF"/>
      </dataBar>
      <extLst>
        <ext xmlns:x14="http://schemas.microsoft.com/office/spreadsheetml/2009/9/main" uri="{B025F937-C7B1-47D3-B67F-A62EFF666E3E}">
          <x14:id>{DB42937E-48AD-4CB8-9906-42734CB4FF56}</x14:id>
        </ext>
      </extLst>
    </cfRule>
  </conditionalFormatting>
  <conditionalFormatting sqref="AG77">
    <cfRule type="dataBar" priority="605">
      <dataBar>
        <cfvo type="min"/>
        <cfvo type="max"/>
        <color rgb="FF008AEF"/>
      </dataBar>
      <extLst>
        <ext xmlns:x14="http://schemas.microsoft.com/office/spreadsheetml/2009/9/main" uri="{B025F937-C7B1-47D3-B67F-A62EFF666E3E}">
          <x14:id>{48966A0D-CF37-427F-B90B-2729A0896FF5}</x14:id>
        </ext>
      </extLst>
    </cfRule>
  </conditionalFormatting>
  <conditionalFormatting sqref="AI77">
    <cfRule type="dataBar" priority="604">
      <dataBar>
        <cfvo type="min"/>
        <cfvo type="max"/>
        <color rgb="FF008AEF"/>
      </dataBar>
      <extLst>
        <ext xmlns:x14="http://schemas.microsoft.com/office/spreadsheetml/2009/9/main" uri="{B025F937-C7B1-47D3-B67F-A62EFF666E3E}">
          <x14:id>{C8394704-45BC-4A8D-BF84-5FFA724E4FD3}</x14:id>
        </ext>
      </extLst>
    </cfRule>
  </conditionalFormatting>
  <conditionalFormatting sqref="AK77">
    <cfRule type="dataBar" priority="603">
      <dataBar>
        <cfvo type="min"/>
        <cfvo type="max"/>
        <color rgb="FF008AEF"/>
      </dataBar>
      <extLst>
        <ext xmlns:x14="http://schemas.microsoft.com/office/spreadsheetml/2009/9/main" uri="{B025F937-C7B1-47D3-B67F-A62EFF666E3E}">
          <x14:id>{91F93F47-3BA0-414B-BF23-DBCFB15C9C9D}</x14:id>
        </ext>
      </extLst>
    </cfRule>
  </conditionalFormatting>
  <conditionalFormatting sqref="AL78 U78 AA78 Y78 W78 AJ78 AH78 AC78:AD78 AF78">
    <cfRule type="dataBar" priority="602">
      <dataBar>
        <cfvo type="min"/>
        <cfvo type="max"/>
        <color rgb="FF008AEF"/>
      </dataBar>
      <extLst>
        <ext xmlns:x14="http://schemas.microsoft.com/office/spreadsheetml/2009/9/main" uri="{B025F937-C7B1-47D3-B67F-A62EFF666E3E}">
          <x14:id>{AA9B7E46-D182-473D-A1C9-A42FAFA6CF20}</x14:id>
        </ext>
      </extLst>
    </cfRule>
  </conditionalFormatting>
  <conditionalFormatting sqref="X78">
    <cfRule type="dataBar" priority="600">
      <dataBar>
        <cfvo type="min"/>
        <cfvo type="max"/>
        <color rgb="FF008AEF"/>
      </dataBar>
      <extLst>
        <ext xmlns:x14="http://schemas.microsoft.com/office/spreadsheetml/2009/9/main" uri="{B025F937-C7B1-47D3-B67F-A62EFF666E3E}">
          <x14:id>{37D3FB18-C73D-40E5-9E05-9E241C5A0ABB}</x14:id>
        </ext>
      </extLst>
    </cfRule>
  </conditionalFormatting>
  <conditionalFormatting sqref="Z78">
    <cfRule type="dataBar" priority="599">
      <dataBar>
        <cfvo type="min"/>
        <cfvo type="max"/>
        <color rgb="FF008AEF"/>
      </dataBar>
      <extLst>
        <ext xmlns:x14="http://schemas.microsoft.com/office/spreadsheetml/2009/9/main" uri="{B025F937-C7B1-47D3-B67F-A62EFF666E3E}">
          <x14:id>{0AE77D88-40EF-4136-B193-1C8B2E7D34B9}</x14:id>
        </ext>
      </extLst>
    </cfRule>
  </conditionalFormatting>
  <conditionalFormatting sqref="AB78">
    <cfRule type="dataBar" priority="598">
      <dataBar>
        <cfvo type="min"/>
        <cfvo type="max"/>
        <color rgb="FF008AEF"/>
      </dataBar>
      <extLst>
        <ext xmlns:x14="http://schemas.microsoft.com/office/spreadsheetml/2009/9/main" uri="{B025F937-C7B1-47D3-B67F-A62EFF666E3E}">
          <x14:id>{19942ECE-EE9B-4E18-B84E-A5643FF9859C}</x14:id>
        </ext>
      </extLst>
    </cfRule>
  </conditionalFormatting>
  <conditionalFormatting sqref="AG78">
    <cfRule type="dataBar" priority="597">
      <dataBar>
        <cfvo type="min"/>
        <cfvo type="max"/>
        <color rgb="FF008AEF"/>
      </dataBar>
      <extLst>
        <ext xmlns:x14="http://schemas.microsoft.com/office/spreadsheetml/2009/9/main" uri="{B025F937-C7B1-47D3-B67F-A62EFF666E3E}">
          <x14:id>{60100606-456A-4F3A-90EB-CEBB5EBDDC09}</x14:id>
        </ext>
      </extLst>
    </cfRule>
  </conditionalFormatting>
  <conditionalFormatting sqref="AI78">
    <cfRule type="dataBar" priority="596">
      <dataBar>
        <cfvo type="min"/>
        <cfvo type="max"/>
        <color rgb="FF008AEF"/>
      </dataBar>
      <extLst>
        <ext xmlns:x14="http://schemas.microsoft.com/office/spreadsheetml/2009/9/main" uri="{B025F937-C7B1-47D3-B67F-A62EFF666E3E}">
          <x14:id>{458BE02E-418E-4D34-AA91-E013512C0AD5}</x14:id>
        </ext>
      </extLst>
    </cfRule>
  </conditionalFormatting>
  <conditionalFormatting sqref="AK78">
    <cfRule type="dataBar" priority="595">
      <dataBar>
        <cfvo type="min"/>
        <cfvo type="max"/>
        <color rgb="FF008AEF"/>
      </dataBar>
      <extLst>
        <ext xmlns:x14="http://schemas.microsoft.com/office/spreadsheetml/2009/9/main" uri="{B025F937-C7B1-47D3-B67F-A62EFF666E3E}">
          <x14:id>{911BA8B8-AE79-49AE-9843-3AC72BB2DEAF}</x14:id>
        </ext>
      </extLst>
    </cfRule>
  </conditionalFormatting>
  <conditionalFormatting sqref="AL49 Y49 AA49 W49 AJ49 AH49 AC49:AD49 AF49">
    <cfRule type="dataBar" priority="594">
      <dataBar>
        <cfvo type="min"/>
        <cfvo type="max"/>
        <color rgb="FF008AEF"/>
      </dataBar>
      <extLst>
        <ext xmlns:x14="http://schemas.microsoft.com/office/spreadsheetml/2009/9/main" uri="{B025F937-C7B1-47D3-B67F-A62EFF666E3E}">
          <x14:id>{4E3964B2-E764-4C01-A0F7-8DD28D179514}</x14:id>
        </ext>
      </extLst>
    </cfRule>
  </conditionalFormatting>
  <conditionalFormatting sqref="X48">
    <cfRule type="dataBar" priority="576">
      <dataBar>
        <cfvo type="min"/>
        <cfvo type="max"/>
        <color rgb="FF008AEF"/>
      </dataBar>
      <extLst>
        <ext xmlns:x14="http://schemas.microsoft.com/office/spreadsheetml/2009/9/main" uri="{B025F937-C7B1-47D3-B67F-A62EFF666E3E}">
          <x14:id>{ECECE57A-6B2D-490C-A302-A6A3FCFFCD99}</x14:id>
        </ext>
      </extLst>
    </cfRule>
  </conditionalFormatting>
  <conditionalFormatting sqref="Z48">
    <cfRule type="dataBar" priority="575">
      <dataBar>
        <cfvo type="min"/>
        <cfvo type="max"/>
        <color rgb="FF008AEF"/>
      </dataBar>
      <extLst>
        <ext xmlns:x14="http://schemas.microsoft.com/office/spreadsheetml/2009/9/main" uri="{B025F937-C7B1-47D3-B67F-A62EFF666E3E}">
          <x14:id>{D1D81615-D998-42E6-9787-716EF55CA0EE}</x14:id>
        </ext>
      </extLst>
    </cfRule>
  </conditionalFormatting>
  <conditionalFormatting sqref="AB48">
    <cfRule type="dataBar" priority="574">
      <dataBar>
        <cfvo type="min"/>
        <cfvo type="max"/>
        <color rgb="FF008AEF"/>
      </dataBar>
      <extLst>
        <ext xmlns:x14="http://schemas.microsoft.com/office/spreadsheetml/2009/9/main" uri="{B025F937-C7B1-47D3-B67F-A62EFF666E3E}">
          <x14:id>{3ABCB519-4AF1-446C-A54C-0F68148F3991}</x14:id>
        </ext>
      </extLst>
    </cfRule>
  </conditionalFormatting>
  <conditionalFormatting sqref="AG48">
    <cfRule type="dataBar" priority="573">
      <dataBar>
        <cfvo type="min"/>
        <cfvo type="max"/>
        <color rgb="FF008AEF"/>
      </dataBar>
      <extLst>
        <ext xmlns:x14="http://schemas.microsoft.com/office/spreadsheetml/2009/9/main" uri="{B025F937-C7B1-47D3-B67F-A62EFF666E3E}">
          <x14:id>{A8BB7295-F28A-42F8-85EB-7A5300EF87CA}</x14:id>
        </ext>
      </extLst>
    </cfRule>
  </conditionalFormatting>
  <conditionalFormatting sqref="AI48">
    <cfRule type="dataBar" priority="572">
      <dataBar>
        <cfvo type="min"/>
        <cfvo type="max"/>
        <color rgb="FF008AEF"/>
      </dataBar>
      <extLst>
        <ext xmlns:x14="http://schemas.microsoft.com/office/spreadsheetml/2009/9/main" uri="{B025F937-C7B1-47D3-B67F-A62EFF666E3E}">
          <x14:id>{7F53DB68-1D3D-4699-8627-A87B4E23307A}</x14:id>
        </ext>
      </extLst>
    </cfRule>
  </conditionalFormatting>
  <conditionalFormatting sqref="AK48">
    <cfRule type="dataBar" priority="571">
      <dataBar>
        <cfvo type="min"/>
        <cfvo type="max"/>
        <color rgb="FF008AEF"/>
      </dataBar>
      <extLst>
        <ext xmlns:x14="http://schemas.microsoft.com/office/spreadsheetml/2009/9/main" uri="{B025F937-C7B1-47D3-B67F-A62EFF666E3E}">
          <x14:id>{BDDB11E5-3C1B-499F-8CC4-807617ABCFD9}</x14:id>
        </ext>
      </extLst>
    </cfRule>
  </conditionalFormatting>
  <conditionalFormatting sqref="X49">
    <cfRule type="dataBar" priority="568">
      <dataBar>
        <cfvo type="min"/>
        <cfvo type="max"/>
        <color rgb="FF008AEF"/>
      </dataBar>
      <extLst>
        <ext xmlns:x14="http://schemas.microsoft.com/office/spreadsheetml/2009/9/main" uri="{B025F937-C7B1-47D3-B67F-A62EFF666E3E}">
          <x14:id>{7AE8DFA1-EE6E-498C-A4CC-F696E0DEC91E}</x14:id>
        </ext>
      </extLst>
    </cfRule>
  </conditionalFormatting>
  <conditionalFormatting sqref="Z49">
    <cfRule type="dataBar" priority="567">
      <dataBar>
        <cfvo type="min"/>
        <cfvo type="max"/>
        <color rgb="FF008AEF"/>
      </dataBar>
      <extLst>
        <ext xmlns:x14="http://schemas.microsoft.com/office/spreadsheetml/2009/9/main" uri="{B025F937-C7B1-47D3-B67F-A62EFF666E3E}">
          <x14:id>{9B9012AD-4BDC-4FC7-8365-6FC0E16F1498}</x14:id>
        </ext>
      </extLst>
    </cfRule>
  </conditionalFormatting>
  <conditionalFormatting sqref="AB49">
    <cfRule type="dataBar" priority="566">
      <dataBar>
        <cfvo type="min"/>
        <cfvo type="max"/>
        <color rgb="FF008AEF"/>
      </dataBar>
      <extLst>
        <ext xmlns:x14="http://schemas.microsoft.com/office/spreadsheetml/2009/9/main" uri="{B025F937-C7B1-47D3-B67F-A62EFF666E3E}">
          <x14:id>{4EDF2113-5151-4F73-9048-6D7AD49DA72A}</x14:id>
        </ext>
      </extLst>
    </cfRule>
  </conditionalFormatting>
  <conditionalFormatting sqref="AG49">
    <cfRule type="dataBar" priority="565">
      <dataBar>
        <cfvo type="min"/>
        <cfvo type="max"/>
        <color rgb="FF008AEF"/>
      </dataBar>
      <extLst>
        <ext xmlns:x14="http://schemas.microsoft.com/office/spreadsheetml/2009/9/main" uri="{B025F937-C7B1-47D3-B67F-A62EFF666E3E}">
          <x14:id>{1C32084E-3E77-475E-B59B-8EC71B04AB7C}</x14:id>
        </ext>
      </extLst>
    </cfRule>
  </conditionalFormatting>
  <conditionalFormatting sqref="AI49">
    <cfRule type="dataBar" priority="564">
      <dataBar>
        <cfvo type="min"/>
        <cfvo type="max"/>
        <color rgb="FF008AEF"/>
      </dataBar>
      <extLst>
        <ext xmlns:x14="http://schemas.microsoft.com/office/spreadsheetml/2009/9/main" uri="{B025F937-C7B1-47D3-B67F-A62EFF666E3E}">
          <x14:id>{7600F7E0-5A23-4F3E-919F-3A5EDCF2AC44}</x14:id>
        </ext>
      </extLst>
    </cfRule>
  </conditionalFormatting>
  <conditionalFormatting sqref="AK49">
    <cfRule type="dataBar" priority="563">
      <dataBar>
        <cfvo type="min"/>
        <cfvo type="max"/>
        <color rgb="FF008AEF"/>
      </dataBar>
      <extLst>
        <ext xmlns:x14="http://schemas.microsoft.com/office/spreadsheetml/2009/9/main" uri="{B025F937-C7B1-47D3-B67F-A62EFF666E3E}">
          <x14:id>{372935B6-1391-451C-9EC8-DFF38ADA4678}</x14:id>
        </ext>
      </extLst>
    </cfRule>
  </conditionalFormatting>
  <conditionalFormatting sqref="AL56 U56 AA56 Y56 W56 AJ56 AH56 AC56:AD56 AF56">
    <cfRule type="dataBar" priority="562">
      <dataBar>
        <cfvo type="min"/>
        <cfvo type="max"/>
        <color rgb="FF008AEF"/>
      </dataBar>
      <extLst>
        <ext xmlns:x14="http://schemas.microsoft.com/office/spreadsheetml/2009/9/main" uri="{B025F937-C7B1-47D3-B67F-A62EFF666E3E}">
          <x14:id>{EB879D1B-9E3B-43B7-8C92-959422D85FAA}</x14:id>
        </ext>
      </extLst>
    </cfRule>
  </conditionalFormatting>
  <conditionalFormatting sqref="X56">
    <cfRule type="dataBar" priority="560">
      <dataBar>
        <cfvo type="min"/>
        <cfvo type="max"/>
        <color rgb="FF008AEF"/>
      </dataBar>
      <extLst>
        <ext xmlns:x14="http://schemas.microsoft.com/office/spreadsheetml/2009/9/main" uri="{B025F937-C7B1-47D3-B67F-A62EFF666E3E}">
          <x14:id>{6517A462-8CB8-43F2-A216-CFE13331C39C}</x14:id>
        </ext>
      </extLst>
    </cfRule>
  </conditionalFormatting>
  <conditionalFormatting sqref="Z56">
    <cfRule type="dataBar" priority="559">
      <dataBar>
        <cfvo type="min"/>
        <cfvo type="max"/>
        <color rgb="FF008AEF"/>
      </dataBar>
      <extLst>
        <ext xmlns:x14="http://schemas.microsoft.com/office/spreadsheetml/2009/9/main" uri="{B025F937-C7B1-47D3-B67F-A62EFF666E3E}">
          <x14:id>{07667130-F3F4-45BA-A55B-34ABE2D28141}</x14:id>
        </ext>
      </extLst>
    </cfRule>
  </conditionalFormatting>
  <conditionalFormatting sqref="AB56">
    <cfRule type="dataBar" priority="558">
      <dataBar>
        <cfvo type="min"/>
        <cfvo type="max"/>
        <color rgb="FF008AEF"/>
      </dataBar>
      <extLst>
        <ext xmlns:x14="http://schemas.microsoft.com/office/spreadsheetml/2009/9/main" uri="{B025F937-C7B1-47D3-B67F-A62EFF666E3E}">
          <x14:id>{080213C6-49DE-4FF4-87DA-DA0F29D03767}</x14:id>
        </ext>
      </extLst>
    </cfRule>
  </conditionalFormatting>
  <conditionalFormatting sqref="AG56">
    <cfRule type="dataBar" priority="557">
      <dataBar>
        <cfvo type="min"/>
        <cfvo type="max"/>
        <color rgb="FF008AEF"/>
      </dataBar>
      <extLst>
        <ext xmlns:x14="http://schemas.microsoft.com/office/spreadsheetml/2009/9/main" uri="{B025F937-C7B1-47D3-B67F-A62EFF666E3E}">
          <x14:id>{757988CA-0FD7-4E8E-974A-EC02DA2A96A5}</x14:id>
        </ext>
      </extLst>
    </cfRule>
  </conditionalFormatting>
  <conditionalFormatting sqref="AI56">
    <cfRule type="dataBar" priority="556">
      <dataBar>
        <cfvo type="min"/>
        <cfvo type="max"/>
        <color rgb="FF008AEF"/>
      </dataBar>
      <extLst>
        <ext xmlns:x14="http://schemas.microsoft.com/office/spreadsheetml/2009/9/main" uri="{B025F937-C7B1-47D3-B67F-A62EFF666E3E}">
          <x14:id>{68A7C368-A3D9-44F2-A3D8-7F699CFB9988}</x14:id>
        </ext>
      </extLst>
    </cfRule>
  </conditionalFormatting>
  <conditionalFormatting sqref="AK56">
    <cfRule type="dataBar" priority="555">
      <dataBar>
        <cfvo type="min"/>
        <cfvo type="max"/>
        <color rgb="FF008AEF"/>
      </dataBar>
      <extLst>
        <ext xmlns:x14="http://schemas.microsoft.com/office/spreadsheetml/2009/9/main" uri="{B025F937-C7B1-47D3-B67F-A62EFF666E3E}">
          <x14:id>{4887609B-7831-4D73-8943-3D2A81F35628}</x14:id>
        </ext>
      </extLst>
    </cfRule>
  </conditionalFormatting>
  <conditionalFormatting sqref="AL60 U60 AA60 Y60 W60 AJ60 AH60 AC60:AD60 AF60">
    <cfRule type="dataBar" priority="530">
      <dataBar>
        <cfvo type="min"/>
        <cfvo type="max"/>
        <color rgb="FF008AEF"/>
      </dataBar>
      <extLst>
        <ext xmlns:x14="http://schemas.microsoft.com/office/spreadsheetml/2009/9/main" uri="{B025F937-C7B1-47D3-B67F-A62EFF666E3E}">
          <x14:id>{192FDB57-C0D9-47DB-8674-435EB4C938A5}</x14:id>
        </ext>
      </extLst>
    </cfRule>
  </conditionalFormatting>
  <conditionalFormatting sqref="X60">
    <cfRule type="dataBar" priority="528">
      <dataBar>
        <cfvo type="min"/>
        <cfvo type="max"/>
        <color rgb="FF008AEF"/>
      </dataBar>
      <extLst>
        <ext xmlns:x14="http://schemas.microsoft.com/office/spreadsheetml/2009/9/main" uri="{B025F937-C7B1-47D3-B67F-A62EFF666E3E}">
          <x14:id>{6B3A06A1-7183-4B2D-A590-0D397600BE6C}</x14:id>
        </ext>
      </extLst>
    </cfRule>
  </conditionalFormatting>
  <conditionalFormatting sqref="Z60">
    <cfRule type="dataBar" priority="527">
      <dataBar>
        <cfvo type="min"/>
        <cfvo type="max"/>
        <color rgb="FF008AEF"/>
      </dataBar>
      <extLst>
        <ext xmlns:x14="http://schemas.microsoft.com/office/spreadsheetml/2009/9/main" uri="{B025F937-C7B1-47D3-B67F-A62EFF666E3E}">
          <x14:id>{18C658AD-D060-422E-904E-A3EF39957381}</x14:id>
        </ext>
      </extLst>
    </cfRule>
  </conditionalFormatting>
  <conditionalFormatting sqref="AB60">
    <cfRule type="dataBar" priority="526">
      <dataBar>
        <cfvo type="min"/>
        <cfvo type="max"/>
        <color rgb="FF008AEF"/>
      </dataBar>
      <extLst>
        <ext xmlns:x14="http://schemas.microsoft.com/office/spreadsheetml/2009/9/main" uri="{B025F937-C7B1-47D3-B67F-A62EFF666E3E}">
          <x14:id>{75745E8D-781B-4FF8-807C-5678979C0C37}</x14:id>
        </ext>
      </extLst>
    </cfRule>
  </conditionalFormatting>
  <conditionalFormatting sqref="AG60">
    <cfRule type="dataBar" priority="525">
      <dataBar>
        <cfvo type="min"/>
        <cfvo type="max"/>
        <color rgb="FF008AEF"/>
      </dataBar>
      <extLst>
        <ext xmlns:x14="http://schemas.microsoft.com/office/spreadsheetml/2009/9/main" uri="{B025F937-C7B1-47D3-B67F-A62EFF666E3E}">
          <x14:id>{2FECEEA0-F8C6-4BC5-8BD0-25391BF785AC}</x14:id>
        </ext>
      </extLst>
    </cfRule>
  </conditionalFormatting>
  <conditionalFormatting sqref="AI60">
    <cfRule type="dataBar" priority="524">
      <dataBar>
        <cfvo type="min"/>
        <cfvo type="max"/>
        <color rgb="FF008AEF"/>
      </dataBar>
      <extLst>
        <ext xmlns:x14="http://schemas.microsoft.com/office/spreadsheetml/2009/9/main" uri="{B025F937-C7B1-47D3-B67F-A62EFF666E3E}">
          <x14:id>{17540846-21CA-49BE-84F8-AC01369F2110}</x14:id>
        </ext>
      </extLst>
    </cfRule>
  </conditionalFormatting>
  <conditionalFormatting sqref="AK60">
    <cfRule type="dataBar" priority="523">
      <dataBar>
        <cfvo type="min"/>
        <cfvo type="max"/>
        <color rgb="FF008AEF"/>
      </dataBar>
      <extLst>
        <ext xmlns:x14="http://schemas.microsoft.com/office/spreadsheetml/2009/9/main" uri="{B025F937-C7B1-47D3-B67F-A62EFF666E3E}">
          <x14:id>{B1F541A2-BC09-4DCA-9171-D70E8E1A887D}</x14:id>
        </ext>
      </extLst>
    </cfRule>
  </conditionalFormatting>
  <conditionalFormatting sqref="AA85 AL85 Y85 W85 AJ85 AH85 AC85:AD85 AF85">
    <cfRule type="dataBar" priority="514">
      <dataBar>
        <cfvo type="min"/>
        <cfvo type="max"/>
        <color rgb="FF008AEF"/>
      </dataBar>
      <extLst>
        <ext xmlns:x14="http://schemas.microsoft.com/office/spreadsheetml/2009/9/main" uri="{B025F937-C7B1-47D3-B67F-A62EFF666E3E}">
          <x14:id>{B68A1412-1C6A-44B2-BF7D-56DD3AE050B1}</x14:id>
        </ext>
      </extLst>
    </cfRule>
  </conditionalFormatting>
  <conditionalFormatting sqref="AA86 AL86 Y86 W86 AJ86 AH86 AC86:AD86 AF86">
    <cfRule type="dataBar" priority="506">
      <dataBar>
        <cfvo type="min"/>
        <cfvo type="max"/>
        <color rgb="FF008AEF"/>
      </dataBar>
      <extLst>
        <ext xmlns:x14="http://schemas.microsoft.com/office/spreadsheetml/2009/9/main" uri="{B025F937-C7B1-47D3-B67F-A62EFF666E3E}">
          <x14:id>{2B5F4E45-BB82-4C78-BD3C-29BF20BBFC14}</x14:id>
        </ext>
      </extLst>
    </cfRule>
  </conditionalFormatting>
  <conditionalFormatting sqref="X85">
    <cfRule type="dataBar" priority="496">
      <dataBar>
        <cfvo type="min"/>
        <cfvo type="max"/>
        <color rgb="FF008AEF"/>
      </dataBar>
      <extLst>
        <ext xmlns:x14="http://schemas.microsoft.com/office/spreadsheetml/2009/9/main" uri="{B025F937-C7B1-47D3-B67F-A62EFF666E3E}">
          <x14:id>{43152E06-2AAD-4A53-92D9-567E08C69D4A}</x14:id>
        </ext>
      </extLst>
    </cfRule>
  </conditionalFormatting>
  <conditionalFormatting sqref="Z85">
    <cfRule type="dataBar" priority="495">
      <dataBar>
        <cfvo type="min"/>
        <cfvo type="max"/>
        <color rgb="FF008AEF"/>
      </dataBar>
      <extLst>
        <ext xmlns:x14="http://schemas.microsoft.com/office/spreadsheetml/2009/9/main" uri="{B025F937-C7B1-47D3-B67F-A62EFF666E3E}">
          <x14:id>{3338A7F1-9E30-405B-BEB9-9D05E84C4563}</x14:id>
        </ext>
      </extLst>
    </cfRule>
  </conditionalFormatting>
  <conditionalFormatting sqref="AB85">
    <cfRule type="dataBar" priority="494">
      <dataBar>
        <cfvo type="min"/>
        <cfvo type="max"/>
        <color rgb="FF008AEF"/>
      </dataBar>
      <extLst>
        <ext xmlns:x14="http://schemas.microsoft.com/office/spreadsheetml/2009/9/main" uri="{B025F937-C7B1-47D3-B67F-A62EFF666E3E}">
          <x14:id>{B165A8C9-A839-44E7-A130-3E83313ADB4B}</x14:id>
        </ext>
      </extLst>
    </cfRule>
  </conditionalFormatting>
  <conditionalFormatting sqref="AG85">
    <cfRule type="dataBar" priority="493">
      <dataBar>
        <cfvo type="min"/>
        <cfvo type="max"/>
        <color rgb="FF008AEF"/>
      </dataBar>
      <extLst>
        <ext xmlns:x14="http://schemas.microsoft.com/office/spreadsheetml/2009/9/main" uri="{B025F937-C7B1-47D3-B67F-A62EFF666E3E}">
          <x14:id>{FE4F38DE-3BD6-4876-A4B8-2F73E98A6B15}</x14:id>
        </ext>
      </extLst>
    </cfRule>
  </conditionalFormatting>
  <conditionalFormatting sqref="AI85">
    <cfRule type="dataBar" priority="492">
      <dataBar>
        <cfvo type="min"/>
        <cfvo type="max"/>
        <color rgb="FF008AEF"/>
      </dataBar>
      <extLst>
        <ext xmlns:x14="http://schemas.microsoft.com/office/spreadsheetml/2009/9/main" uri="{B025F937-C7B1-47D3-B67F-A62EFF666E3E}">
          <x14:id>{583D58BC-7714-460F-ACE2-18E89C0323E1}</x14:id>
        </ext>
      </extLst>
    </cfRule>
  </conditionalFormatting>
  <conditionalFormatting sqref="AK85">
    <cfRule type="dataBar" priority="491">
      <dataBar>
        <cfvo type="min"/>
        <cfvo type="max"/>
        <color rgb="FF008AEF"/>
      </dataBar>
      <extLst>
        <ext xmlns:x14="http://schemas.microsoft.com/office/spreadsheetml/2009/9/main" uri="{B025F937-C7B1-47D3-B67F-A62EFF666E3E}">
          <x14:id>{778BCA4E-C96E-4D03-BDB6-51BF00D2D30B}</x14:id>
        </ext>
      </extLst>
    </cfRule>
  </conditionalFormatting>
  <conditionalFormatting sqref="X86">
    <cfRule type="dataBar" priority="488">
      <dataBar>
        <cfvo type="min"/>
        <cfvo type="max"/>
        <color rgb="FF008AEF"/>
      </dataBar>
      <extLst>
        <ext xmlns:x14="http://schemas.microsoft.com/office/spreadsheetml/2009/9/main" uri="{B025F937-C7B1-47D3-B67F-A62EFF666E3E}">
          <x14:id>{2B06B3E8-E1F6-4F0B-91BC-D2EC9C3A898B}</x14:id>
        </ext>
      </extLst>
    </cfRule>
  </conditionalFormatting>
  <conditionalFormatting sqref="Z86">
    <cfRule type="dataBar" priority="487">
      <dataBar>
        <cfvo type="min"/>
        <cfvo type="max"/>
        <color rgb="FF008AEF"/>
      </dataBar>
      <extLst>
        <ext xmlns:x14="http://schemas.microsoft.com/office/spreadsheetml/2009/9/main" uri="{B025F937-C7B1-47D3-B67F-A62EFF666E3E}">
          <x14:id>{636002AE-1EFC-42BA-A83E-386B34F7D602}</x14:id>
        </ext>
      </extLst>
    </cfRule>
  </conditionalFormatting>
  <conditionalFormatting sqref="AB86">
    <cfRule type="dataBar" priority="486">
      <dataBar>
        <cfvo type="min"/>
        <cfvo type="max"/>
        <color rgb="FF008AEF"/>
      </dataBar>
      <extLst>
        <ext xmlns:x14="http://schemas.microsoft.com/office/spreadsheetml/2009/9/main" uri="{B025F937-C7B1-47D3-B67F-A62EFF666E3E}">
          <x14:id>{1EE225BA-262B-40FB-A4B8-E6D812CA06FA}</x14:id>
        </ext>
      </extLst>
    </cfRule>
  </conditionalFormatting>
  <conditionalFormatting sqref="AG86">
    <cfRule type="dataBar" priority="485">
      <dataBar>
        <cfvo type="min"/>
        <cfvo type="max"/>
        <color rgb="FF008AEF"/>
      </dataBar>
      <extLst>
        <ext xmlns:x14="http://schemas.microsoft.com/office/spreadsheetml/2009/9/main" uri="{B025F937-C7B1-47D3-B67F-A62EFF666E3E}">
          <x14:id>{6DFA0396-5FA8-4420-83FE-D44D129ADC26}</x14:id>
        </ext>
      </extLst>
    </cfRule>
  </conditionalFormatting>
  <conditionalFormatting sqref="AI86">
    <cfRule type="dataBar" priority="484">
      <dataBar>
        <cfvo type="min"/>
        <cfvo type="max"/>
        <color rgb="FF008AEF"/>
      </dataBar>
      <extLst>
        <ext xmlns:x14="http://schemas.microsoft.com/office/spreadsheetml/2009/9/main" uri="{B025F937-C7B1-47D3-B67F-A62EFF666E3E}">
          <x14:id>{A149A640-317B-4AA6-83DB-ECDDFE5665A8}</x14:id>
        </ext>
      </extLst>
    </cfRule>
  </conditionalFormatting>
  <conditionalFormatting sqref="AK86">
    <cfRule type="dataBar" priority="483">
      <dataBar>
        <cfvo type="min"/>
        <cfvo type="max"/>
        <color rgb="FF008AEF"/>
      </dataBar>
      <extLst>
        <ext xmlns:x14="http://schemas.microsoft.com/office/spreadsheetml/2009/9/main" uri="{B025F937-C7B1-47D3-B67F-A62EFF666E3E}">
          <x14:id>{982FECCC-19C1-4E57-A05E-A9B9DCBDE03D}</x14:id>
        </ext>
      </extLst>
    </cfRule>
  </conditionalFormatting>
  <conditionalFormatting sqref="U94 AL94 AA94 Y94 W94 AJ94 AH94 AC94:AF94">
    <cfRule type="dataBar" priority="482">
      <dataBar>
        <cfvo type="min"/>
        <cfvo type="max"/>
        <color rgb="FF008AEF"/>
      </dataBar>
      <extLst>
        <ext xmlns:x14="http://schemas.microsoft.com/office/spreadsheetml/2009/9/main" uri="{B025F937-C7B1-47D3-B67F-A62EFF666E3E}">
          <x14:id>{6977FFD1-4CE2-464E-8DB7-1B08C1CB4786}</x14:id>
        </ext>
      </extLst>
    </cfRule>
  </conditionalFormatting>
  <conditionalFormatting sqref="X94">
    <cfRule type="dataBar" priority="480">
      <dataBar>
        <cfvo type="min"/>
        <cfvo type="max"/>
        <color rgb="FF008AEF"/>
      </dataBar>
      <extLst>
        <ext xmlns:x14="http://schemas.microsoft.com/office/spreadsheetml/2009/9/main" uri="{B025F937-C7B1-47D3-B67F-A62EFF666E3E}">
          <x14:id>{19909AD4-0384-4CC5-87BD-AA98D96D34A2}</x14:id>
        </ext>
      </extLst>
    </cfRule>
  </conditionalFormatting>
  <conditionalFormatting sqref="Z94">
    <cfRule type="dataBar" priority="479">
      <dataBar>
        <cfvo type="min"/>
        <cfvo type="max"/>
        <color rgb="FF008AEF"/>
      </dataBar>
      <extLst>
        <ext xmlns:x14="http://schemas.microsoft.com/office/spreadsheetml/2009/9/main" uri="{B025F937-C7B1-47D3-B67F-A62EFF666E3E}">
          <x14:id>{B8564D3C-C9E0-4D50-B7E5-B07AD86466C5}</x14:id>
        </ext>
      </extLst>
    </cfRule>
  </conditionalFormatting>
  <conditionalFormatting sqref="AB94">
    <cfRule type="dataBar" priority="478">
      <dataBar>
        <cfvo type="min"/>
        <cfvo type="max"/>
        <color rgb="FF008AEF"/>
      </dataBar>
      <extLst>
        <ext xmlns:x14="http://schemas.microsoft.com/office/spreadsheetml/2009/9/main" uri="{B025F937-C7B1-47D3-B67F-A62EFF666E3E}">
          <x14:id>{C3D711C6-4002-45A0-807E-F84E4983A6E4}</x14:id>
        </ext>
      </extLst>
    </cfRule>
  </conditionalFormatting>
  <conditionalFormatting sqref="AG94">
    <cfRule type="dataBar" priority="477">
      <dataBar>
        <cfvo type="min"/>
        <cfvo type="max"/>
        <color rgb="FF008AEF"/>
      </dataBar>
      <extLst>
        <ext xmlns:x14="http://schemas.microsoft.com/office/spreadsheetml/2009/9/main" uri="{B025F937-C7B1-47D3-B67F-A62EFF666E3E}">
          <x14:id>{28E1B23B-6498-40EA-AFCF-DC1776069844}</x14:id>
        </ext>
      </extLst>
    </cfRule>
  </conditionalFormatting>
  <conditionalFormatting sqref="AI94">
    <cfRule type="dataBar" priority="476">
      <dataBar>
        <cfvo type="min"/>
        <cfvo type="max"/>
        <color rgb="FF008AEF"/>
      </dataBar>
      <extLst>
        <ext xmlns:x14="http://schemas.microsoft.com/office/spreadsheetml/2009/9/main" uri="{B025F937-C7B1-47D3-B67F-A62EFF666E3E}">
          <x14:id>{69F1A5E0-EF75-45E5-84E7-6B4F9782B1BF}</x14:id>
        </ext>
      </extLst>
    </cfRule>
  </conditionalFormatting>
  <conditionalFormatting sqref="AK94">
    <cfRule type="dataBar" priority="475">
      <dataBar>
        <cfvo type="min"/>
        <cfvo type="max"/>
        <color rgb="FF008AEF"/>
      </dataBar>
      <extLst>
        <ext xmlns:x14="http://schemas.microsoft.com/office/spreadsheetml/2009/9/main" uri="{B025F937-C7B1-47D3-B67F-A62EFF666E3E}">
          <x14:id>{E16B4828-1B60-4F29-AD25-D2E08D3B99E0}</x14:id>
        </ext>
      </extLst>
    </cfRule>
  </conditionalFormatting>
  <conditionalFormatting sqref="U98 AL98 AA98 Y98 W98 AJ98 AH98 AC98:AF98">
    <cfRule type="dataBar" priority="474">
      <dataBar>
        <cfvo type="min"/>
        <cfvo type="max"/>
        <color rgb="FF008AEF"/>
      </dataBar>
      <extLst>
        <ext xmlns:x14="http://schemas.microsoft.com/office/spreadsheetml/2009/9/main" uri="{B025F937-C7B1-47D3-B67F-A62EFF666E3E}">
          <x14:id>{DABC35C7-E470-4EBC-AE58-AA570334942D}</x14:id>
        </ext>
      </extLst>
    </cfRule>
  </conditionalFormatting>
  <conditionalFormatting sqref="X98">
    <cfRule type="dataBar" priority="472">
      <dataBar>
        <cfvo type="min"/>
        <cfvo type="max"/>
        <color rgb="FF008AEF"/>
      </dataBar>
      <extLst>
        <ext xmlns:x14="http://schemas.microsoft.com/office/spreadsheetml/2009/9/main" uri="{B025F937-C7B1-47D3-B67F-A62EFF666E3E}">
          <x14:id>{6AA81E36-CDEF-4563-BF58-A660D1371259}</x14:id>
        </ext>
      </extLst>
    </cfRule>
  </conditionalFormatting>
  <conditionalFormatting sqref="Z98">
    <cfRule type="dataBar" priority="471">
      <dataBar>
        <cfvo type="min"/>
        <cfvo type="max"/>
        <color rgb="FF008AEF"/>
      </dataBar>
      <extLst>
        <ext xmlns:x14="http://schemas.microsoft.com/office/spreadsheetml/2009/9/main" uri="{B025F937-C7B1-47D3-B67F-A62EFF666E3E}">
          <x14:id>{012CFCAC-ADD5-4ABC-A08C-AF4799FF1BBF}</x14:id>
        </ext>
      </extLst>
    </cfRule>
  </conditionalFormatting>
  <conditionalFormatting sqref="AB98">
    <cfRule type="dataBar" priority="470">
      <dataBar>
        <cfvo type="min"/>
        <cfvo type="max"/>
        <color rgb="FF008AEF"/>
      </dataBar>
      <extLst>
        <ext xmlns:x14="http://schemas.microsoft.com/office/spreadsheetml/2009/9/main" uri="{B025F937-C7B1-47D3-B67F-A62EFF666E3E}">
          <x14:id>{05A4D489-9DC8-4BCA-82AC-7498734B7430}</x14:id>
        </ext>
      </extLst>
    </cfRule>
  </conditionalFormatting>
  <conditionalFormatting sqref="AG98">
    <cfRule type="dataBar" priority="469">
      <dataBar>
        <cfvo type="min"/>
        <cfvo type="max"/>
        <color rgb="FF008AEF"/>
      </dataBar>
      <extLst>
        <ext xmlns:x14="http://schemas.microsoft.com/office/spreadsheetml/2009/9/main" uri="{B025F937-C7B1-47D3-B67F-A62EFF666E3E}">
          <x14:id>{A9406406-AEB3-43AC-A074-63C554189600}</x14:id>
        </ext>
      </extLst>
    </cfRule>
  </conditionalFormatting>
  <conditionalFormatting sqref="AI98">
    <cfRule type="dataBar" priority="468">
      <dataBar>
        <cfvo type="min"/>
        <cfvo type="max"/>
        <color rgb="FF008AEF"/>
      </dataBar>
      <extLst>
        <ext xmlns:x14="http://schemas.microsoft.com/office/spreadsheetml/2009/9/main" uri="{B025F937-C7B1-47D3-B67F-A62EFF666E3E}">
          <x14:id>{3E8CDEE0-C3BD-4F9B-8C29-251636C65761}</x14:id>
        </ext>
      </extLst>
    </cfRule>
  </conditionalFormatting>
  <conditionalFormatting sqref="AK98">
    <cfRule type="dataBar" priority="467">
      <dataBar>
        <cfvo type="min"/>
        <cfvo type="max"/>
        <color rgb="FF008AEF"/>
      </dataBar>
      <extLst>
        <ext xmlns:x14="http://schemas.microsoft.com/office/spreadsheetml/2009/9/main" uri="{B025F937-C7B1-47D3-B67F-A62EFF666E3E}">
          <x14:id>{BCEA5F73-2DFC-4BFD-B1EA-54118C14DAB7}</x14:id>
        </ext>
      </extLst>
    </cfRule>
  </conditionalFormatting>
  <conditionalFormatting sqref="U106 AL106 AA106 Y106 W106 AJ106 AH106 AC106:AD106 AF106">
    <cfRule type="dataBar" priority="466">
      <dataBar>
        <cfvo type="min"/>
        <cfvo type="max"/>
        <color rgb="FF008AEF"/>
      </dataBar>
      <extLst>
        <ext xmlns:x14="http://schemas.microsoft.com/office/spreadsheetml/2009/9/main" uri="{B025F937-C7B1-47D3-B67F-A62EFF666E3E}">
          <x14:id>{3245F4B6-404E-4374-A106-B3666B232F5B}</x14:id>
        </ext>
      </extLst>
    </cfRule>
  </conditionalFormatting>
  <conditionalFormatting sqref="X106">
    <cfRule type="dataBar" priority="464">
      <dataBar>
        <cfvo type="min"/>
        <cfvo type="max"/>
        <color rgb="FF008AEF"/>
      </dataBar>
      <extLst>
        <ext xmlns:x14="http://schemas.microsoft.com/office/spreadsheetml/2009/9/main" uri="{B025F937-C7B1-47D3-B67F-A62EFF666E3E}">
          <x14:id>{B623FF7D-C587-4CBD-AD5F-C58A73553B6B}</x14:id>
        </ext>
      </extLst>
    </cfRule>
  </conditionalFormatting>
  <conditionalFormatting sqref="Z106">
    <cfRule type="dataBar" priority="463">
      <dataBar>
        <cfvo type="min"/>
        <cfvo type="max"/>
        <color rgb="FF008AEF"/>
      </dataBar>
      <extLst>
        <ext xmlns:x14="http://schemas.microsoft.com/office/spreadsheetml/2009/9/main" uri="{B025F937-C7B1-47D3-B67F-A62EFF666E3E}">
          <x14:id>{B7F403A0-0E2B-4F60-B846-25C064F3C9F6}</x14:id>
        </ext>
      </extLst>
    </cfRule>
  </conditionalFormatting>
  <conditionalFormatting sqref="AB106">
    <cfRule type="dataBar" priority="462">
      <dataBar>
        <cfvo type="min"/>
        <cfvo type="max"/>
        <color rgb="FF008AEF"/>
      </dataBar>
      <extLst>
        <ext xmlns:x14="http://schemas.microsoft.com/office/spreadsheetml/2009/9/main" uri="{B025F937-C7B1-47D3-B67F-A62EFF666E3E}">
          <x14:id>{1C95F699-3DEE-4B79-B86F-2AE9446F39BA}</x14:id>
        </ext>
      </extLst>
    </cfRule>
  </conditionalFormatting>
  <conditionalFormatting sqref="AG106">
    <cfRule type="dataBar" priority="461">
      <dataBar>
        <cfvo type="min"/>
        <cfvo type="max"/>
        <color rgb="FF008AEF"/>
      </dataBar>
      <extLst>
        <ext xmlns:x14="http://schemas.microsoft.com/office/spreadsheetml/2009/9/main" uri="{B025F937-C7B1-47D3-B67F-A62EFF666E3E}">
          <x14:id>{87B40F46-A847-4849-A71E-0F0A84F6438F}</x14:id>
        </ext>
      </extLst>
    </cfRule>
  </conditionalFormatting>
  <conditionalFormatting sqref="AI106">
    <cfRule type="dataBar" priority="460">
      <dataBar>
        <cfvo type="min"/>
        <cfvo type="max"/>
        <color rgb="FF008AEF"/>
      </dataBar>
      <extLst>
        <ext xmlns:x14="http://schemas.microsoft.com/office/spreadsheetml/2009/9/main" uri="{B025F937-C7B1-47D3-B67F-A62EFF666E3E}">
          <x14:id>{B52DEAA8-6062-4714-A0DA-C2D1719CCE9F}</x14:id>
        </ext>
      </extLst>
    </cfRule>
  </conditionalFormatting>
  <conditionalFormatting sqref="AK106">
    <cfRule type="dataBar" priority="459">
      <dataBar>
        <cfvo type="min"/>
        <cfvo type="max"/>
        <color rgb="FF008AEF"/>
      </dataBar>
      <extLst>
        <ext xmlns:x14="http://schemas.microsoft.com/office/spreadsheetml/2009/9/main" uri="{B025F937-C7B1-47D3-B67F-A62EFF666E3E}">
          <x14:id>{7EDE8847-4647-4C64-8D4F-75AACE66E693}</x14:id>
        </ext>
      </extLst>
    </cfRule>
  </conditionalFormatting>
  <conditionalFormatting sqref="U109 AL109 AA109 Y109 W109 AJ109 AH109 AC109:AD109 AF109">
    <cfRule type="dataBar" priority="458">
      <dataBar>
        <cfvo type="min"/>
        <cfvo type="max"/>
        <color rgb="FF008AEF"/>
      </dataBar>
      <extLst>
        <ext xmlns:x14="http://schemas.microsoft.com/office/spreadsheetml/2009/9/main" uri="{B025F937-C7B1-47D3-B67F-A62EFF666E3E}">
          <x14:id>{50597AD7-0DBC-4108-B244-7D4FAFB5A853}</x14:id>
        </ext>
      </extLst>
    </cfRule>
  </conditionalFormatting>
  <conditionalFormatting sqref="X109">
    <cfRule type="dataBar" priority="456">
      <dataBar>
        <cfvo type="min"/>
        <cfvo type="max"/>
        <color rgb="FF008AEF"/>
      </dataBar>
      <extLst>
        <ext xmlns:x14="http://schemas.microsoft.com/office/spreadsheetml/2009/9/main" uri="{B025F937-C7B1-47D3-B67F-A62EFF666E3E}">
          <x14:id>{D2A87753-7723-449B-B711-D61A2188692B}</x14:id>
        </ext>
      </extLst>
    </cfRule>
  </conditionalFormatting>
  <conditionalFormatting sqref="Z109">
    <cfRule type="dataBar" priority="455">
      <dataBar>
        <cfvo type="min"/>
        <cfvo type="max"/>
        <color rgb="FF008AEF"/>
      </dataBar>
      <extLst>
        <ext xmlns:x14="http://schemas.microsoft.com/office/spreadsheetml/2009/9/main" uri="{B025F937-C7B1-47D3-B67F-A62EFF666E3E}">
          <x14:id>{EEC95220-CD1E-4021-9786-0FE1F9F7E4AE}</x14:id>
        </ext>
      </extLst>
    </cfRule>
  </conditionalFormatting>
  <conditionalFormatting sqref="AB109">
    <cfRule type="dataBar" priority="454">
      <dataBar>
        <cfvo type="min"/>
        <cfvo type="max"/>
        <color rgb="FF008AEF"/>
      </dataBar>
      <extLst>
        <ext xmlns:x14="http://schemas.microsoft.com/office/spreadsheetml/2009/9/main" uri="{B025F937-C7B1-47D3-B67F-A62EFF666E3E}">
          <x14:id>{A571F0CA-4C70-4719-B759-72B3F82D423A}</x14:id>
        </ext>
      </extLst>
    </cfRule>
  </conditionalFormatting>
  <conditionalFormatting sqref="AG109">
    <cfRule type="dataBar" priority="453">
      <dataBar>
        <cfvo type="min"/>
        <cfvo type="max"/>
        <color rgb="FF008AEF"/>
      </dataBar>
      <extLst>
        <ext xmlns:x14="http://schemas.microsoft.com/office/spreadsheetml/2009/9/main" uri="{B025F937-C7B1-47D3-B67F-A62EFF666E3E}">
          <x14:id>{60E17A8D-7659-4CBB-AF97-0437EBB91CB3}</x14:id>
        </ext>
      </extLst>
    </cfRule>
  </conditionalFormatting>
  <conditionalFormatting sqref="AI109">
    <cfRule type="dataBar" priority="452">
      <dataBar>
        <cfvo type="min"/>
        <cfvo type="max"/>
        <color rgb="FF008AEF"/>
      </dataBar>
      <extLst>
        <ext xmlns:x14="http://schemas.microsoft.com/office/spreadsheetml/2009/9/main" uri="{B025F937-C7B1-47D3-B67F-A62EFF666E3E}">
          <x14:id>{8008E01E-B1BF-42AF-B6B8-CF6CF6E2EC8C}</x14:id>
        </ext>
      </extLst>
    </cfRule>
  </conditionalFormatting>
  <conditionalFormatting sqref="AK109">
    <cfRule type="dataBar" priority="451">
      <dataBar>
        <cfvo type="min"/>
        <cfvo type="max"/>
        <color rgb="FF008AEF"/>
      </dataBar>
      <extLst>
        <ext xmlns:x14="http://schemas.microsoft.com/office/spreadsheetml/2009/9/main" uri="{B025F937-C7B1-47D3-B67F-A62EFF666E3E}">
          <x14:id>{64720661-88AB-4136-9B96-1C0C9DBDB7DF}</x14:id>
        </ext>
      </extLst>
    </cfRule>
  </conditionalFormatting>
  <conditionalFormatting sqref="AL112 U112 AA112 Y112 W112 AJ112 AH112 AC112:AD112 AF112">
    <cfRule type="dataBar" priority="442">
      <dataBar>
        <cfvo type="min"/>
        <cfvo type="max"/>
        <color rgb="FF008AEF"/>
      </dataBar>
      <extLst>
        <ext xmlns:x14="http://schemas.microsoft.com/office/spreadsheetml/2009/9/main" uri="{B025F937-C7B1-47D3-B67F-A62EFF666E3E}">
          <x14:id>{4C7111D7-A870-46E8-8B89-C675F1582A79}</x14:id>
        </ext>
      </extLst>
    </cfRule>
  </conditionalFormatting>
  <conditionalFormatting sqref="X112">
    <cfRule type="dataBar" priority="440">
      <dataBar>
        <cfvo type="min"/>
        <cfvo type="max"/>
        <color rgb="FF008AEF"/>
      </dataBar>
      <extLst>
        <ext xmlns:x14="http://schemas.microsoft.com/office/spreadsheetml/2009/9/main" uri="{B025F937-C7B1-47D3-B67F-A62EFF666E3E}">
          <x14:id>{EB10A535-5813-46DB-B975-F34CB93C3BD5}</x14:id>
        </ext>
      </extLst>
    </cfRule>
  </conditionalFormatting>
  <conditionalFormatting sqref="Z112">
    <cfRule type="dataBar" priority="439">
      <dataBar>
        <cfvo type="min"/>
        <cfvo type="max"/>
        <color rgb="FF008AEF"/>
      </dataBar>
      <extLst>
        <ext xmlns:x14="http://schemas.microsoft.com/office/spreadsheetml/2009/9/main" uri="{B025F937-C7B1-47D3-B67F-A62EFF666E3E}">
          <x14:id>{42A46EEF-4F76-449B-BE59-85973EF65825}</x14:id>
        </ext>
      </extLst>
    </cfRule>
  </conditionalFormatting>
  <conditionalFormatting sqref="AB112">
    <cfRule type="dataBar" priority="438">
      <dataBar>
        <cfvo type="min"/>
        <cfvo type="max"/>
        <color rgb="FF008AEF"/>
      </dataBar>
      <extLst>
        <ext xmlns:x14="http://schemas.microsoft.com/office/spreadsheetml/2009/9/main" uri="{B025F937-C7B1-47D3-B67F-A62EFF666E3E}">
          <x14:id>{C99F6137-9375-4C8C-815A-82B6F8AB114D}</x14:id>
        </ext>
      </extLst>
    </cfRule>
  </conditionalFormatting>
  <conditionalFormatting sqref="AG112">
    <cfRule type="dataBar" priority="437">
      <dataBar>
        <cfvo type="min"/>
        <cfvo type="max"/>
        <color rgb="FF008AEF"/>
      </dataBar>
      <extLst>
        <ext xmlns:x14="http://schemas.microsoft.com/office/spreadsheetml/2009/9/main" uri="{B025F937-C7B1-47D3-B67F-A62EFF666E3E}">
          <x14:id>{C2C0B7B0-7D77-408A-AFDF-2A1F582831EA}</x14:id>
        </ext>
      </extLst>
    </cfRule>
  </conditionalFormatting>
  <conditionalFormatting sqref="AI112">
    <cfRule type="dataBar" priority="436">
      <dataBar>
        <cfvo type="min"/>
        <cfvo type="max"/>
        <color rgb="FF008AEF"/>
      </dataBar>
      <extLst>
        <ext xmlns:x14="http://schemas.microsoft.com/office/spreadsheetml/2009/9/main" uri="{B025F937-C7B1-47D3-B67F-A62EFF666E3E}">
          <x14:id>{70627C7B-1CCF-4E57-9452-54580D0981DB}</x14:id>
        </ext>
      </extLst>
    </cfRule>
  </conditionalFormatting>
  <conditionalFormatting sqref="AK112">
    <cfRule type="dataBar" priority="435">
      <dataBar>
        <cfvo type="min"/>
        <cfvo type="max"/>
        <color rgb="FF008AEF"/>
      </dataBar>
      <extLst>
        <ext xmlns:x14="http://schemas.microsoft.com/office/spreadsheetml/2009/9/main" uri="{B025F937-C7B1-47D3-B67F-A62EFF666E3E}">
          <x14:id>{41EF2A2B-299B-4853-B044-3A1D6CD436CF}</x14:id>
        </ext>
      </extLst>
    </cfRule>
  </conditionalFormatting>
  <conditionalFormatting sqref="U113 AL113 AA113 Y113 W113 AJ113 AH113 AC113:AD113 AF113">
    <cfRule type="dataBar" priority="434">
      <dataBar>
        <cfvo type="min"/>
        <cfvo type="max"/>
        <color rgb="FF008AEF"/>
      </dataBar>
      <extLst>
        <ext xmlns:x14="http://schemas.microsoft.com/office/spreadsheetml/2009/9/main" uri="{B025F937-C7B1-47D3-B67F-A62EFF666E3E}">
          <x14:id>{3B263BD7-8AAE-489D-B7C6-CD34E7E80CC8}</x14:id>
        </ext>
      </extLst>
    </cfRule>
  </conditionalFormatting>
  <conditionalFormatting sqref="X113">
    <cfRule type="dataBar" priority="432">
      <dataBar>
        <cfvo type="min"/>
        <cfvo type="max"/>
        <color rgb="FF008AEF"/>
      </dataBar>
      <extLst>
        <ext xmlns:x14="http://schemas.microsoft.com/office/spreadsheetml/2009/9/main" uri="{B025F937-C7B1-47D3-B67F-A62EFF666E3E}">
          <x14:id>{39875B0B-2210-4C50-A04C-197B98E91912}</x14:id>
        </ext>
      </extLst>
    </cfRule>
  </conditionalFormatting>
  <conditionalFormatting sqref="Z113">
    <cfRule type="dataBar" priority="431">
      <dataBar>
        <cfvo type="min"/>
        <cfvo type="max"/>
        <color rgb="FF008AEF"/>
      </dataBar>
      <extLst>
        <ext xmlns:x14="http://schemas.microsoft.com/office/spreadsheetml/2009/9/main" uri="{B025F937-C7B1-47D3-B67F-A62EFF666E3E}">
          <x14:id>{B5CE63F9-E489-49F4-80F1-C333A2661019}</x14:id>
        </ext>
      </extLst>
    </cfRule>
  </conditionalFormatting>
  <conditionalFormatting sqref="AB113">
    <cfRule type="dataBar" priority="430">
      <dataBar>
        <cfvo type="min"/>
        <cfvo type="max"/>
        <color rgb="FF008AEF"/>
      </dataBar>
      <extLst>
        <ext xmlns:x14="http://schemas.microsoft.com/office/spreadsheetml/2009/9/main" uri="{B025F937-C7B1-47D3-B67F-A62EFF666E3E}">
          <x14:id>{2060D33E-BFEE-41BB-B7A4-72EF708FDAE8}</x14:id>
        </ext>
      </extLst>
    </cfRule>
  </conditionalFormatting>
  <conditionalFormatting sqref="AG113">
    <cfRule type="dataBar" priority="429">
      <dataBar>
        <cfvo type="min"/>
        <cfvo type="max"/>
        <color rgb="FF008AEF"/>
      </dataBar>
      <extLst>
        <ext xmlns:x14="http://schemas.microsoft.com/office/spreadsheetml/2009/9/main" uri="{B025F937-C7B1-47D3-B67F-A62EFF666E3E}">
          <x14:id>{11EC275F-9333-4823-843F-01525884C377}</x14:id>
        </ext>
      </extLst>
    </cfRule>
  </conditionalFormatting>
  <conditionalFormatting sqref="AI113">
    <cfRule type="dataBar" priority="428">
      <dataBar>
        <cfvo type="min"/>
        <cfvo type="max"/>
        <color rgb="FF008AEF"/>
      </dataBar>
      <extLst>
        <ext xmlns:x14="http://schemas.microsoft.com/office/spreadsheetml/2009/9/main" uri="{B025F937-C7B1-47D3-B67F-A62EFF666E3E}">
          <x14:id>{15DFEE8E-DE9C-4972-84E6-BC6E2662CD12}</x14:id>
        </ext>
      </extLst>
    </cfRule>
  </conditionalFormatting>
  <conditionalFormatting sqref="AK113">
    <cfRule type="dataBar" priority="427">
      <dataBar>
        <cfvo type="min"/>
        <cfvo type="max"/>
        <color rgb="FF008AEF"/>
      </dataBar>
      <extLst>
        <ext xmlns:x14="http://schemas.microsoft.com/office/spreadsheetml/2009/9/main" uri="{B025F937-C7B1-47D3-B67F-A62EFF666E3E}">
          <x14:id>{4D949109-1FEB-4663-A444-B826B7EBDEEC}</x14:id>
        </ext>
      </extLst>
    </cfRule>
  </conditionalFormatting>
  <conditionalFormatting sqref="AA115 AL115 Y115 W115 AJ115 AH115 AC115:AD115 AF115">
    <cfRule type="dataBar" priority="426">
      <dataBar>
        <cfvo type="min"/>
        <cfvo type="max"/>
        <color rgb="FF008AEF"/>
      </dataBar>
      <extLst>
        <ext xmlns:x14="http://schemas.microsoft.com/office/spreadsheetml/2009/9/main" uri="{B025F937-C7B1-47D3-B67F-A62EFF666E3E}">
          <x14:id>{3C8FC9F8-EDDD-4F77-8AFB-876CDD54663D}</x14:id>
        </ext>
      </extLst>
    </cfRule>
  </conditionalFormatting>
  <conditionalFormatting sqref="Y116 AL116 AA116 W116 AJ116 AH116 AC116:AD116 AF116">
    <cfRule type="dataBar" priority="418">
      <dataBar>
        <cfvo type="min"/>
        <cfvo type="max"/>
        <color rgb="FF008AEF"/>
      </dataBar>
      <extLst>
        <ext xmlns:x14="http://schemas.microsoft.com/office/spreadsheetml/2009/9/main" uri="{B025F937-C7B1-47D3-B67F-A62EFF666E3E}">
          <x14:id>{95959565-51B0-433E-BAE6-A8D9621001BF}</x14:id>
        </ext>
      </extLst>
    </cfRule>
  </conditionalFormatting>
  <conditionalFormatting sqref="X115">
    <cfRule type="dataBar" priority="408">
      <dataBar>
        <cfvo type="min"/>
        <cfvo type="max"/>
        <color rgb="FF008AEF"/>
      </dataBar>
      <extLst>
        <ext xmlns:x14="http://schemas.microsoft.com/office/spreadsheetml/2009/9/main" uri="{B025F937-C7B1-47D3-B67F-A62EFF666E3E}">
          <x14:id>{50E70900-EEEF-46FF-B4A1-480D639B5D64}</x14:id>
        </ext>
      </extLst>
    </cfRule>
  </conditionalFormatting>
  <conditionalFormatting sqref="Z115">
    <cfRule type="dataBar" priority="407">
      <dataBar>
        <cfvo type="min"/>
        <cfvo type="max"/>
        <color rgb="FF008AEF"/>
      </dataBar>
      <extLst>
        <ext xmlns:x14="http://schemas.microsoft.com/office/spreadsheetml/2009/9/main" uri="{B025F937-C7B1-47D3-B67F-A62EFF666E3E}">
          <x14:id>{BC69FDE0-0449-4707-884E-4228543C1F3F}</x14:id>
        </ext>
      </extLst>
    </cfRule>
  </conditionalFormatting>
  <conditionalFormatting sqref="AB115">
    <cfRule type="dataBar" priority="406">
      <dataBar>
        <cfvo type="min"/>
        <cfvo type="max"/>
        <color rgb="FF008AEF"/>
      </dataBar>
      <extLst>
        <ext xmlns:x14="http://schemas.microsoft.com/office/spreadsheetml/2009/9/main" uri="{B025F937-C7B1-47D3-B67F-A62EFF666E3E}">
          <x14:id>{7F4AB43B-F367-45E4-AD89-B58C2C971CC9}</x14:id>
        </ext>
      </extLst>
    </cfRule>
  </conditionalFormatting>
  <conditionalFormatting sqref="AG115">
    <cfRule type="dataBar" priority="405">
      <dataBar>
        <cfvo type="min"/>
        <cfvo type="max"/>
        <color rgb="FF008AEF"/>
      </dataBar>
      <extLst>
        <ext xmlns:x14="http://schemas.microsoft.com/office/spreadsheetml/2009/9/main" uri="{B025F937-C7B1-47D3-B67F-A62EFF666E3E}">
          <x14:id>{2C44D941-961C-4CE3-9039-8C967422F689}</x14:id>
        </ext>
      </extLst>
    </cfRule>
  </conditionalFormatting>
  <conditionalFormatting sqref="AI115">
    <cfRule type="dataBar" priority="404">
      <dataBar>
        <cfvo type="min"/>
        <cfvo type="max"/>
        <color rgb="FF008AEF"/>
      </dataBar>
      <extLst>
        <ext xmlns:x14="http://schemas.microsoft.com/office/spreadsheetml/2009/9/main" uri="{B025F937-C7B1-47D3-B67F-A62EFF666E3E}">
          <x14:id>{C9879ED4-7F96-4F72-BBA3-45615576B944}</x14:id>
        </ext>
      </extLst>
    </cfRule>
  </conditionalFormatting>
  <conditionalFormatting sqref="AK115">
    <cfRule type="dataBar" priority="403">
      <dataBar>
        <cfvo type="min"/>
        <cfvo type="max"/>
        <color rgb="FF008AEF"/>
      </dataBar>
      <extLst>
        <ext xmlns:x14="http://schemas.microsoft.com/office/spreadsheetml/2009/9/main" uri="{B025F937-C7B1-47D3-B67F-A62EFF666E3E}">
          <x14:id>{3838D4FC-70BD-48BB-A465-9007FBEEA3E1}</x14:id>
        </ext>
      </extLst>
    </cfRule>
  </conditionalFormatting>
  <conditionalFormatting sqref="X116">
    <cfRule type="dataBar" priority="400">
      <dataBar>
        <cfvo type="min"/>
        <cfvo type="max"/>
        <color rgb="FF008AEF"/>
      </dataBar>
      <extLst>
        <ext xmlns:x14="http://schemas.microsoft.com/office/spreadsheetml/2009/9/main" uri="{B025F937-C7B1-47D3-B67F-A62EFF666E3E}">
          <x14:id>{22C249BE-629F-41CE-AC2C-18C10D81FECA}</x14:id>
        </ext>
      </extLst>
    </cfRule>
  </conditionalFormatting>
  <conditionalFormatting sqref="Z116">
    <cfRule type="dataBar" priority="399">
      <dataBar>
        <cfvo type="min"/>
        <cfvo type="max"/>
        <color rgb="FF008AEF"/>
      </dataBar>
      <extLst>
        <ext xmlns:x14="http://schemas.microsoft.com/office/spreadsheetml/2009/9/main" uri="{B025F937-C7B1-47D3-B67F-A62EFF666E3E}">
          <x14:id>{09CF0B85-BFDE-43D8-AA76-A76694C5E6F6}</x14:id>
        </ext>
      </extLst>
    </cfRule>
  </conditionalFormatting>
  <conditionalFormatting sqref="AB116">
    <cfRule type="dataBar" priority="398">
      <dataBar>
        <cfvo type="min"/>
        <cfvo type="max"/>
        <color rgb="FF008AEF"/>
      </dataBar>
      <extLst>
        <ext xmlns:x14="http://schemas.microsoft.com/office/spreadsheetml/2009/9/main" uri="{B025F937-C7B1-47D3-B67F-A62EFF666E3E}">
          <x14:id>{42722ED5-D9EC-4B60-9659-C297E95F93AF}</x14:id>
        </ext>
      </extLst>
    </cfRule>
  </conditionalFormatting>
  <conditionalFormatting sqref="AG116">
    <cfRule type="dataBar" priority="397">
      <dataBar>
        <cfvo type="min"/>
        <cfvo type="max"/>
        <color rgb="FF008AEF"/>
      </dataBar>
      <extLst>
        <ext xmlns:x14="http://schemas.microsoft.com/office/spreadsheetml/2009/9/main" uri="{B025F937-C7B1-47D3-B67F-A62EFF666E3E}">
          <x14:id>{11120137-FCB6-4AD7-ACD6-62876806843A}</x14:id>
        </ext>
      </extLst>
    </cfRule>
  </conditionalFormatting>
  <conditionalFormatting sqref="AI116">
    <cfRule type="dataBar" priority="396">
      <dataBar>
        <cfvo type="min"/>
        <cfvo type="max"/>
        <color rgb="FF008AEF"/>
      </dataBar>
      <extLst>
        <ext xmlns:x14="http://schemas.microsoft.com/office/spreadsheetml/2009/9/main" uri="{B025F937-C7B1-47D3-B67F-A62EFF666E3E}">
          <x14:id>{57CBCB2F-0AA0-42E9-9B26-6F5AE0B50420}</x14:id>
        </ext>
      </extLst>
    </cfRule>
  </conditionalFormatting>
  <conditionalFormatting sqref="AK116">
    <cfRule type="dataBar" priority="395">
      <dataBar>
        <cfvo type="min"/>
        <cfvo type="max"/>
        <color rgb="FF008AEF"/>
      </dataBar>
      <extLst>
        <ext xmlns:x14="http://schemas.microsoft.com/office/spreadsheetml/2009/9/main" uri="{B025F937-C7B1-47D3-B67F-A62EFF666E3E}">
          <x14:id>{E12F686E-75A4-4CFA-BA37-630D3AF22D1D}</x14:id>
        </ext>
      </extLst>
    </cfRule>
  </conditionalFormatting>
  <conditionalFormatting sqref="AL122 U122 AA122 Y122 W122 AJ122 AH122 AC122:AD122 AF122">
    <cfRule type="dataBar" priority="386">
      <dataBar>
        <cfvo type="min"/>
        <cfvo type="max"/>
        <color rgb="FF008AEF"/>
      </dataBar>
      <extLst>
        <ext xmlns:x14="http://schemas.microsoft.com/office/spreadsheetml/2009/9/main" uri="{B025F937-C7B1-47D3-B67F-A62EFF666E3E}">
          <x14:id>{8AE02EB6-A80C-4002-8A69-894FB817AD00}</x14:id>
        </ext>
      </extLst>
    </cfRule>
  </conditionalFormatting>
  <conditionalFormatting sqref="X122">
    <cfRule type="dataBar" priority="384">
      <dataBar>
        <cfvo type="min"/>
        <cfvo type="max"/>
        <color rgb="FF008AEF"/>
      </dataBar>
      <extLst>
        <ext xmlns:x14="http://schemas.microsoft.com/office/spreadsheetml/2009/9/main" uri="{B025F937-C7B1-47D3-B67F-A62EFF666E3E}">
          <x14:id>{742CE6B9-398B-47FF-BF0E-93A4D9D1AF44}</x14:id>
        </ext>
      </extLst>
    </cfRule>
  </conditionalFormatting>
  <conditionalFormatting sqref="Z122">
    <cfRule type="dataBar" priority="383">
      <dataBar>
        <cfvo type="min"/>
        <cfvo type="max"/>
        <color rgb="FF008AEF"/>
      </dataBar>
      <extLst>
        <ext xmlns:x14="http://schemas.microsoft.com/office/spreadsheetml/2009/9/main" uri="{B025F937-C7B1-47D3-B67F-A62EFF666E3E}">
          <x14:id>{64BAEDF3-E2CF-4566-9121-052F2B82EE71}</x14:id>
        </ext>
      </extLst>
    </cfRule>
  </conditionalFormatting>
  <conditionalFormatting sqref="AB122">
    <cfRule type="dataBar" priority="382">
      <dataBar>
        <cfvo type="min"/>
        <cfvo type="max"/>
        <color rgb="FF008AEF"/>
      </dataBar>
      <extLst>
        <ext xmlns:x14="http://schemas.microsoft.com/office/spreadsheetml/2009/9/main" uri="{B025F937-C7B1-47D3-B67F-A62EFF666E3E}">
          <x14:id>{385EF3DA-8315-4B8A-87E5-C31E4D766E19}</x14:id>
        </ext>
      </extLst>
    </cfRule>
  </conditionalFormatting>
  <conditionalFormatting sqref="AG122">
    <cfRule type="dataBar" priority="381">
      <dataBar>
        <cfvo type="min"/>
        <cfvo type="max"/>
        <color rgb="FF008AEF"/>
      </dataBar>
      <extLst>
        <ext xmlns:x14="http://schemas.microsoft.com/office/spreadsheetml/2009/9/main" uri="{B025F937-C7B1-47D3-B67F-A62EFF666E3E}">
          <x14:id>{17012D81-2BAA-4B0D-B178-8AEA79A1905F}</x14:id>
        </ext>
      </extLst>
    </cfRule>
  </conditionalFormatting>
  <conditionalFormatting sqref="AI122">
    <cfRule type="dataBar" priority="380">
      <dataBar>
        <cfvo type="min"/>
        <cfvo type="max"/>
        <color rgb="FF008AEF"/>
      </dataBar>
      <extLst>
        <ext xmlns:x14="http://schemas.microsoft.com/office/spreadsheetml/2009/9/main" uri="{B025F937-C7B1-47D3-B67F-A62EFF666E3E}">
          <x14:id>{ED339728-9645-4306-9BD4-B9E59C867329}</x14:id>
        </ext>
      </extLst>
    </cfRule>
  </conditionalFormatting>
  <conditionalFormatting sqref="AK122">
    <cfRule type="dataBar" priority="379">
      <dataBar>
        <cfvo type="min"/>
        <cfvo type="max"/>
        <color rgb="FF008AEF"/>
      </dataBar>
      <extLst>
        <ext xmlns:x14="http://schemas.microsoft.com/office/spreadsheetml/2009/9/main" uri="{B025F937-C7B1-47D3-B67F-A62EFF666E3E}">
          <x14:id>{80B0FD22-00AD-47DA-8865-E6EFDD786EC4}</x14:id>
        </ext>
      </extLst>
    </cfRule>
  </conditionalFormatting>
  <conditionalFormatting sqref="U123 AL123 AA123 Y123 W123 AJ123 AH123 AC123:AD123 AF123">
    <cfRule type="dataBar" priority="378">
      <dataBar>
        <cfvo type="min"/>
        <cfvo type="max"/>
        <color rgb="FF008AEF"/>
      </dataBar>
      <extLst>
        <ext xmlns:x14="http://schemas.microsoft.com/office/spreadsheetml/2009/9/main" uri="{B025F937-C7B1-47D3-B67F-A62EFF666E3E}">
          <x14:id>{2472DA81-1A79-4B90-99D9-93ED75139F5D}</x14:id>
        </ext>
      </extLst>
    </cfRule>
  </conditionalFormatting>
  <conditionalFormatting sqref="X123">
    <cfRule type="dataBar" priority="376">
      <dataBar>
        <cfvo type="min"/>
        <cfvo type="max"/>
        <color rgb="FF008AEF"/>
      </dataBar>
      <extLst>
        <ext xmlns:x14="http://schemas.microsoft.com/office/spreadsheetml/2009/9/main" uri="{B025F937-C7B1-47D3-B67F-A62EFF666E3E}">
          <x14:id>{84430EB3-F0A2-41F9-BDD1-B9C097625E59}</x14:id>
        </ext>
      </extLst>
    </cfRule>
  </conditionalFormatting>
  <conditionalFormatting sqref="Z123">
    <cfRule type="dataBar" priority="375">
      <dataBar>
        <cfvo type="min"/>
        <cfvo type="max"/>
        <color rgb="FF008AEF"/>
      </dataBar>
      <extLst>
        <ext xmlns:x14="http://schemas.microsoft.com/office/spreadsheetml/2009/9/main" uri="{B025F937-C7B1-47D3-B67F-A62EFF666E3E}">
          <x14:id>{B0A696A8-41CC-4A08-A8FD-D9BEC670C642}</x14:id>
        </ext>
      </extLst>
    </cfRule>
  </conditionalFormatting>
  <conditionalFormatting sqref="AB123">
    <cfRule type="dataBar" priority="374">
      <dataBar>
        <cfvo type="min"/>
        <cfvo type="max"/>
        <color rgb="FF008AEF"/>
      </dataBar>
      <extLst>
        <ext xmlns:x14="http://schemas.microsoft.com/office/spreadsheetml/2009/9/main" uri="{B025F937-C7B1-47D3-B67F-A62EFF666E3E}">
          <x14:id>{98AAB034-0AC6-4194-947B-662542815E33}</x14:id>
        </ext>
      </extLst>
    </cfRule>
  </conditionalFormatting>
  <conditionalFormatting sqref="AG123">
    <cfRule type="dataBar" priority="373">
      <dataBar>
        <cfvo type="min"/>
        <cfvo type="max"/>
        <color rgb="FF008AEF"/>
      </dataBar>
      <extLst>
        <ext xmlns:x14="http://schemas.microsoft.com/office/spreadsheetml/2009/9/main" uri="{B025F937-C7B1-47D3-B67F-A62EFF666E3E}">
          <x14:id>{352CEA5B-75B0-40F2-A7C3-84579B3C14B7}</x14:id>
        </ext>
      </extLst>
    </cfRule>
  </conditionalFormatting>
  <conditionalFormatting sqref="AI123">
    <cfRule type="dataBar" priority="372">
      <dataBar>
        <cfvo type="min"/>
        <cfvo type="max"/>
        <color rgb="FF008AEF"/>
      </dataBar>
      <extLst>
        <ext xmlns:x14="http://schemas.microsoft.com/office/spreadsheetml/2009/9/main" uri="{B025F937-C7B1-47D3-B67F-A62EFF666E3E}">
          <x14:id>{156A5A74-C747-4E46-94A7-613C28E3879C}</x14:id>
        </ext>
      </extLst>
    </cfRule>
  </conditionalFormatting>
  <conditionalFormatting sqref="AK123">
    <cfRule type="dataBar" priority="371">
      <dataBar>
        <cfvo type="min"/>
        <cfvo type="max"/>
        <color rgb="FF008AEF"/>
      </dataBar>
      <extLst>
        <ext xmlns:x14="http://schemas.microsoft.com/office/spreadsheetml/2009/9/main" uri="{B025F937-C7B1-47D3-B67F-A62EFF666E3E}">
          <x14:id>{4F7D06D7-60E8-4BC8-8B86-0F9296A9BD91}</x14:id>
        </ext>
      </extLst>
    </cfRule>
  </conditionalFormatting>
  <conditionalFormatting sqref="Y130 AL130 AA130 W130 AJ130 AH130 AC130:AD130 AF130">
    <cfRule type="dataBar" priority="354">
      <dataBar>
        <cfvo type="min"/>
        <cfvo type="max"/>
        <color rgb="FF008AEF"/>
      </dataBar>
      <extLst>
        <ext xmlns:x14="http://schemas.microsoft.com/office/spreadsheetml/2009/9/main" uri="{B025F937-C7B1-47D3-B67F-A62EFF666E3E}">
          <x14:id>{997467FF-511D-4D78-BA10-A7851A722857}</x14:id>
        </ext>
      </extLst>
    </cfRule>
  </conditionalFormatting>
  <conditionalFormatting sqref="X130">
    <cfRule type="dataBar" priority="344">
      <dataBar>
        <cfvo type="min"/>
        <cfvo type="max"/>
        <color rgb="FF008AEF"/>
      </dataBar>
      <extLst>
        <ext xmlns:x14="http://schemas.microsoft.com/office/spreadsheetml/2009/9/main" uri="{B025F937-C7B1-47D3-B67F-A62EFF666E3E}">
          <x14:id>{B5DEE9EE-2887-4424-AA28-AEE01E7D5029}</x14:id>
        </ext>
      </extLst>
    </cfRule>
  </conditionalFormatting>
  <conditionalFormatting sqref="Z130">
    <cfRule type="dataBar" priority="343">
      <dataBar>
        <cfvo type="min"/>
        <cfvo type="max"/>
        <color rgb="FF008AEF"/>
      </dataBar>
      <extLst>
        <ext xmlns:x14="http://schemas.microsoft.com/office/spreadsheetml/2009/9/main" uri="{B025F937-C7B1-47D3-B67F-A62EFF666E3E}">
          <x14:id>{9923ACD8-91A9-4092-A3CF-630A1961F9DE}</x14:id>
        </ext>
      </extLst>
    </cfRule>
  </conditionalFormatting>
  <conditionalFormatting sqref="AB130">
    <cfRule type="dataBar" priority="342">
      <dataBar>
        <cfvo type="min"/>
        <cfvo type="max"/>
        <color rgb="FF008AEF"/>
      </dataBar>
      <extLst>
        <ext xmlns:x14="http://schemas.microsoft.com/office/spreadsheetml/2009/9/main" uri="{B025F937-C7B1-47D3-B67F-A62EFF666E3E}">
          <x14:id>{629E6FB2-D8C2-41E0-8E63-99E4990F9613}</x14:id>
        </ext>
      </extLst>
    </cfRule>
  </conditionalFormatting>
  <conditionalFormatting sqref="AG130">
    <cfRule type="dataBar" priority="341">
      <dataBar>
        <cfvo type="min"/>
        <cfvo type="max"/>
        <color rgb="FF008AEF"/>
      </dataBar>
      <extLst>
        <ext xmlns:x14="http://schemas.microsoft.com/office/spreadsheetml/2009/9/main" uri="{B025F937-C7B1-47D3-B67F-A62EFF666E3E}">
          <x14:id>{66AF5968-79D1-485B-AC78-ECD426B53DA8}</x14:id>
        </ext>
      </extLst>
    </cfRule>
  </conditionalFormatting>
  <conditionalFormatting sqref="AI130">
    <cfRule type="dataBar" priority="340">
      <dataBar>
        <cfvo type="min"/>
        <cfvo type="max"/>
        <color rgb="FF008AEF"/>
      </dataBar>
      <extLst>
        <ext xmlns:x14="http://schemas.microsoft.com/office/spreadsheetml/2009/9/main" uri="{B025F937-C7B1-47D3-B67F-A62EFF666E3E}">
          <x14:id>{3F64FF3C-A4E2-45D9-A6C4-D4A329F5172D}</x14:id>
        </ext>
      </extLst>
    </cfRule>
  </conditionalFormatting>
  <conditionalFormatting sqref="AK130">
    <cfRule type="dataBar" priority="339">
      <dataBar>
        <cfvo type="min"/>
        <cfvo type="max"/>
        <color rgb="FF008AEF"/>
      </dataBar>
      <extLst>
        <ext xmlns:x14="http://schemas.microsoft.com/office/spreadsheetml/2009/9/main" uri="{B025F937-C7B1-47D3-B67F-A62EFF666E3E}">
          <x14:id>{CEF7C200-A91E-4981-870F-D99C75C934EA}</x14:id>
        </ext>
      </extLst>
    </cfRule>
  </conditionalFormatting>
  <conditionalFormatting sqref="U131 AL131 AA131 Y131 W131 AJ131 AH131 AC131:AD131 AF131">
    <cfRule type="dataBar" priority="338">
      <dataBar>
        <cfvo type="min"/>
        <cfvo type="max"/>
        <color rgb="FF008AEF"/>
      </dataBar>
      <extLst>
        <ext xmlns:x14="http://schemas.microsoft.com/office/spreadsheetml/2009/9/main" uri="{B025F937-C7B1-47D3-B67F-A62EFF666E3E}">
          <x14:id>{FD520086-57CF-404C-A57A-3E958FCB4815}</x14:id>
        </ext>
      </extLst>
    </cfRule>
  </conditionalFormatting>
  <conditionalFormatting sqref="X131">
    <cfRule type="dataBar" priority="336">
      <dataBar>
        <cfvo type="min"/>
        <cfvo type="max"/>
        <color rgb="FF008AEF"/>
      </dataBar>
      <extLst>
        <ext xmlns:x14="http://schemas.microsoft.com/office/spreadsheetml/2009/9/main" uri="{B025F937-C7B1-47D3-B67F-A62EFF666E3E}">
          <x14:id>{9BF15029-6B2E-498E-AB68-3A527BD99016}</x14:id>
        </ext>
      </extLst>
    </cfRule>
  </conditionalFormatting>
  <conditionalFormatting sqref="Z131">
    <cfRule type="dataBar" priority="335">
      <dataBar>
        <cfvo type="min"/>
        <cfvo type="max"/>
        <color rgb="FF008AEF"/>
      </dataBar>
      <extLst>
        <ext xmlns:x14="http://schemas.microsoft.com/office/spreadsheetml/2009/9/main" uri="{B025F937-C7B1-47D3-B67F-A62EFF666E3E}">
          <x14:id>{857BD7F8-0AAF-49D2-B7E5-E8E05F421561}</x14:id>
        </ext>
      </extLst>
    </cfRule>
  </conditionalFormatting>
  <conditionalFormatting sqref="AB131">
    <cfRule type="dataBar" priority="334">
      <dataBar>
        <cfvo type="min"/>
        <cfvo type="max"/>
        <color rgb="FF008AEF"/>
      </dataBar>
      <extLst>
        <ext xmlns:x14="http://schemas.microsoft.com/office/spreadsheetml/2009/9/main" uri="{B025F937-C7B1-47D3-B67F-A62EFF666E3E}">
          <x14:id>{B6637D3A-89C2-4243-AA33-459B4D1B9BF1}</x14:id>
        </ext>
      </extLst>
    </cfRule>
  </conditionalFormatting>
  <conditionalFormatting sqref="AG131">
    <cfRule type="dataBar" priority="333">
      <dataBar>
        <cfvo type="min"/>
        <cfvo type="max"/>
        <color rgb="FF008AEF"/>
      </dataBar>
      <extLst>
        <ext xmlns:x14="http://schemas.microsoft.com/office/spreadsheetml/2009/9/main" uri="{B025F937-C7B1-47D3-B67F-A62EFF666E3E}">
          <x14:id>{147939FF-C6C0-4C7E-9C22-47D6C18E5497}</x14:id>
        </ext>
      </extLst>
    </cfRule>
  </conditionalFormatting>
  <conditionalFormatting sqref="AI131">
    <cfRule type="dataBar" priority="332">
      <dataBar>
        <cfvo type="min"/>
        <cfvo type="max"/>
        <color rgb="FF008AEF"/>
      </dataBar>
      <extLst>
        <ext xmlns:x14="http://schemas.microsoft.com/office/spreadsheetml/2009/9/main" uri="{B025F937-C7B1-47D3-B67F-A62EFF666E3E}">
          <x14:id>{77536F1F-ED42-4ECB-B2AA-6F58A282B5F8}</x14:id>
        </ext>
      </extLst>
    </cfRule>
  </conditionalFormatting>
  <conditionalFormatting sqref="AK131">
    <cfRule type="dataBar" priority="331">
      <dataBar>
        <cfvo type="min"/>
        <cfvo type="max"/>
        <color rgb="FF008AEF"/>
      </dataBar>
      <extLst>
        <ext xmlns:x14="http://schemas.microsoft.com/office/spreadsheetml/2009/9/main" uri="{B025F937-C7B1-47D3-B67F-A62EFF666E3E}">
          <x14:id>{E702729E-3FF5-4845-BD83-08450716DE6A}</x14:id>
        </ext>
      </extLst>
    </cfRule>
  </conditionalFormatting>
  <conditionalFormatting sqref="AL138 U138 AA138 Y138 W138 AJ138 AH138 AC138:AD138 AF138">
    <cfRule type="dataBar" priority="330">
      <dataBar>
        <cfvo type="min"/>
        <cfvo type="max"/>
        <color rgb="FF008AEF"/>
      </dataBar>
      <extLst>
        <ext xmlns:x14="http://schemas.microsoft.com/office/spreadsheetml/2009/9/main" uri="{B025F937-C7B1-47D3-B67F-A62EFF666E3E}">
          <x14:id>{6F8D0767-FB80-4027-BAC1-B5DE070AB538}</x14:id>
        </ext>
      </extLst>
    </cfRule>
  </conditionalFormatting>
  <conditionalFormatting sqref="X138">
    <cfRule type="dataBar" priority="328">
      <dataBar>
        <cfvo type="min"/>
        <cfvo type="max"/>
        <color rgb="FF008AEF"/>
      </dataBar>
      <extLst>
        <ext xmlns:x14="http://schemas.microsoft.com/office/spreadsheetml/2009/9/main" uri="{B025F937-C7B1-47D3-B67F-A62EFF666E3E}">
          <x14:id>{E4CC4994-A1A3-4062-94BC-A219FA639EF8}</x14:id>
        </ext>
      </extLst>
    </cfRule>
  </conditionalFormatting>
  <conditionalFormatting sqref="Z138">
    <cfRule type="dataBar" priority="327">
      <dataBar>
        <cfvo type="min"/>
        <cfvo type="max"/>
        <color rgb="FF008AEF"/>
      </dataBar>
      <extLst>
        <ext xmlns:x14="http://schemas.microsoft.com/office/spreadsheetml/2009/9/main" uri="{B025F937-C7B1-47D3-B67F-A62EFF666E3E}">
          <x14:id>{D0E1FC4E-37D8-4768-AF84-53999903E7F0}</x14:id>
        </ext>
      </extLst>
    </cfRule>
  </conditionalFormatting>
  <conditionalFormatting sqref="AB138">
    <cfRule type="dataBar" priority="326">
      <dataBar>
        <cfvo type="min"/>
        <cfvo type="max"/>
        <color rgb="FF008AEF"/>
      </dataBar>
      <extLst>
        <ext xmlns:x14="http://schemas.microsoft.com/office/spreadsheetml/2009/9/main" uri="{B025F937-C7B1-47D3-B67F-A62EFF666E3E}">
          <x14:id>{FC6CBD15-08B8-40F0-8E24-FA3D938346C6}</x14:id>
        </ext>
      </extLst>
    </cfRule>
  </conditionalFormatting>
  <conditionalFormatting sqref="AG138">
    <cfRule type="dataBar" priority="325">
      <dataBar>
        <cfvo type="min"/>
        <cfvo type="max"/>
        <color rgb="FF008AEF"/>
      </dataBar>
      <extLst>
        <ext xmlns:x14="http://schemas.microsoft.com/office/spreadsheetml/2009/9/main" uri="{B025F937-C7B1-47D3-B67F-A62EFF666E3E}">
          <x14:id>{C661999A-2F65-4122-860A-D7F626D20582}</x14:id>
        </ext>
      </extLst>
    </cfRule>
  </conditionalFormatting>
  <conditionalFormatting sqref="AI138">
    <cfRule type="dataBar" priority="324">
      <dataBar>
        <cfvo type="min"/>
        <cfvo type="max"/>
        <color rgb="FF008AEF"/>
      </dataBar>
      <extLst>
        <ext xmlns:x14="http://schemas.microsoft.com/office/spreadsheetml/2009/9/main" uri="{B025F937-C7B1-47D3-B67F-A62EFF666E3E}">
          <x14:id>{A050EE6D-EA63-46AB-B0B1-E1126E58E219}</x14:id>
        </ext>
      </extLst>
    </cfRule>
  </conditionalFormatting>
  <conditionalFormatting sqref="AK138">
    <cfRule type="dataBar" priority="323">
      <dataBar>
        <cfvo type="min"/>
        <cfvo type="max"/>
        <color rgb="FF008AEF"/>
      </dataBar>
      <extLst>
        <ext xmlns:x14="http://schemas.microsoft.com/office/spreadsheetml/2009/9/main" uri="{B025F937-C7B1-47D3-B67F-A62EFF666E3E}">
          <x14:id>{05C33EF5-AAEF-40B6-B921-89FD60266C4F}</x14:id>
        </ext>
      </extLst>
    </cfRule>
  </conditionalFormatting>
  <conditionalFormatting sqref="AL139 U139 AA139 Y139 W139 AJ139 AH139 AC139:AD139 AF139">
    <cfRule type="dataBar" priority="322">
      <dataBar>
        <cfvo type="min"/>
        <cfvo type="max"/>
        <color rgb="FF008AEF"/>
      </dataBar>
      <extLst>
        <ext xmlns:x14="http://schemas.microsoft.com/office/spreadsheetml/2009/9/main" uri="{B025F937-C7B1-47D3-B67F-A62EFF666E3E}">
          <x14:id>{02B300E9-826C-4FD1-9DBF-3A91D6B095EA}</x14:id>
        </ext>
      </extLst>
    </cfRule>
  </conditionalFormatting>
  <conditionalFormatting sqref="X139">
    <cfRule type="dataBar" priority="320">
      <dataBar>
        <cfvo type="min"/>
        <cfvo type="max"/>
        <color rgb="FF008AEF"/>
      </dataBar>
      <extLst>
        <ext xmlns:x14="http://schemas.microsoft.com/office/spreadsheetml/2009/9/main" uri="{B025F937-C7B1-47D3-B67F-A62EFF666E3E}">
          <x14:id>{6678E124-0EBF-48C9-BBB0-9BACD9BC3425}</x14:id>
        </ext>
      </extLst>
    </cfRule>
  </conditionalFormatting>
  <conditionalFormatting sqref="Z139">
    <cfRule type="dataBar" priority="319">
      <dataBar>
        <cfvo type="min"/>
        <cfvo type="max"/>
        <color rgb="FF008AEF"/>
      </dataBar>
      <extLst>
        <ext xmlns:x14="http://schemas.microsoft.com/office/spreadsheetml/2009/9/main" uri="{B025F937-C7B1-47D3-B67F-A62EFF666E3E}">
          <x14:id>{82430FD6-84E9-4321-B2B7-19EF4671E43A}</x14:id>
        </ext>
      </extLst>
    </cfRule>
  </conditionalFormatting>
  <conditionalFormatting sqref="AB139">
    <cfRule type="dataBar" priority="318">
      <dataBar>
        <cfvo type="min"/>
        <cfvo type="max"/>
        <color rgb="FF008AEF"/>
      </dataBar>
      <extLst>
        <ext xmlns:x14="http://schemas.microsoft.com/office/spreadsheetml/2009/9/main" uri="{B025F937-C7B1-47D3-B67F-A62EFF666E3E}">
          <x14:id>{6822A5B7-E12D-4152-9F2B-09D9252B5441}</x14:id>
        </ext>
      </extLst>
    </cfRule>
  </conditionalFormatting>
  <conditionalFormatting sqref="AG139">
    <cfRule type="dataBar" priority="317">
      <dataBar>
        <cfvo type="min"/>
        <cfvo type="max"/>
        <color rgb="FF008AEF"/>
      </dataBar>
      <extLst>
        <ext xmlns:x14="http://schemas.microsoft.com/office/spreadsheetml/2009/9/main" uri="{B025F937-C7B1-47D3-B67F-A62EFF666E3E}">
          <x14:id>{C5C289BD-5F41-4075-BB57-9B2971B59561}</x14:id>
        </ext>
      </extLst>
    </cfRule>
  </conditionalFormatting>
  <conditionalFormatting sqref="AI139">
    <cfRule type="dataBar" priority="316">
      <dataBar>
        <cfvo type="min"/>
        <cfvo type="max"/>
        <color rgb="FF008AEF"/>
      </dataBar>
      <extLst>
        <ext xmlns:x14="http://schemas.microsoft.com/office/spreadsheetml/2009/9/main" uri="{B025F937-C7B1-47D3-B67F-A62EFF666E3E}">
          <x14:id>{3D8F0E84-EF17-461E-8DAE-0789100ED84B}</x14:id>
        </ext>
      </extLst>
    </cfRule>
  </conditionalFormatting>
  <conditionalFormatting sqref="AK139">
    <cfRule type="dataBar" priority="315">
      <dataBar>
        <cfvo type="min"/>
        <cfvo type="max"/>
        <color rgb="FF008AEF"/>
      </dataBar>
      <extLst>
        <ext xmlns:x14="http://schemas.microsoft.com/office/spreadsheetml/2009/9/main" uri="{B025F937-C7B1-47D3-B67F-A62EFF666E3E}">
          <x14:id>{5AC8303E-4B7E-4176-95FA-181A9E0BB841}</x14:id>
        </ext>
      </extLst>
    </cfRule>
  </conditionalFormatting>
  <conditionalFormatting sqref="AA141 AL141 Y141 W141 AJ141 AH141 AC141:AD141 AF141">
    <cfRule type="dataBar" priority="314">
      <dataBar>
        <cfvo type="min"/>
        <cfvo type="max"/>
        <color rgb="FF008AEF"/>
      </dataBar>
      <extLst>
        <ext xmlns:x14="http://schemas.microsoft.com/office/spreadsheetml/2009/9/main" uri="{B025F937-C7B1-47D3-B67F-A62EFF666E3E}">
          <x14:id>{40C5F270-350E-4E9D-AB50-8EBE6F5EA3C8}</x14:id>
        </ext>
      </extLst>
    </cfRule>
  </conditionalFormatting>
  <conditionalFormatting sqref="AA142 AL142 Y142 W142 AJ142 AH142 AC142:AD142 AF142">
    <cfRule type="dataBar" priority="306">
      <dataBar>
        <cfvo type="min"/>
        <cfvo type="max"/>
        <color rgb="FF008AEF"/>
      </dataBar>
      <extLst>
        <ext xmlns:x14="http://schemas.microsoft.com/office/spreadsheetml/2009/9/main" uri="{B025F937-C7B1-47D3-B67F-A62EFF666E3E}">
          <x14:id>{2D3F7787-CB54-4F04-A4FD-FB658C99731A}</x14:id>
        </ext>
      </extLst>
    </cfRule>
  </conditionalFormatting>
  <conditionalFormatting sqref="X141">
    <cfRule type="dataBar" priority="288">
      <dataBar>
        <cfvo type="min"/>
        <cfvo type="max"/>
        <color rgb="FF008AEF"/>
      </dataBar>
      <extLst>
        <ext xmlns:x14="http://schemas.microsoft.com/office/spreadsheetml/2009/9/main" uri="{B025F937-C7B1-47D3-B67F-A62EFF666E3E}">
          <x14:id>{EEAAA449-E072-48C2-80CE-1866C66D903A}</x14:id>
        </ext>
      </extLst>
    </cfRule>
  </conditionalFormatting>
  <conditionalFormatting sqref="Z141">
    <cfRule type="dataBar" priority="287">
      <dataBar>
        <cfvo type="min"/>
        <cfvo type="max"/>
        <color rgb="FF008AEF"/>
      </dataBar>
      <extLst>
        <ext xmlns:x14="http://schemas.microsoft.com/office/spreadsheetml/2009/9/main" uri="{B025F937-C7B1-47D3-B67F-A62EFF666E3E}">
          <x14:id>{66959C27-87C9-4481-A24F-F805E8307B94}</x14:id>
        </ext>
      </extLst>
    </cfRule>
  </conditionalFormatting>
  <conditionalFormatting sqref="AB141">
    <cfRule type="dataBar" priority="286">
      <dataBar>
        <cfvo type="min"/>
        <cfvo type="max"/>
        <color rgb="FF008AEF"/>
      </dataBar>
      <extLst>
        <ext xmlns:x14="http://schemas.microsoft.com/office/spreadsheetml/2009/9/main" uri="{B025F937-C7B1-47D3-B67F-A62EFF666E3E}">
          <x14:id>{9E5239CE-2FCA-4074-8E44-ECB41F6EE9AD}</x14:id>
        </ext>
      </extLst>
    </cfRule>
  </conditionalFormatting>
  <conditionalFormatting sqref="AG141">
    <cfRule type="dataBar" priority="285">
      <dataBar>
        <cfvo type="min"/>
        <cfvo type="max"/>
        <color rgb="FF008AEF"/>
      </dataBar>
      <extLst>
        <ext xmlns:x14="http://schemas.microsoft.com/office/spreadsheetml/2009/9/main" uri="{B025F937-C7B1-47D3-B67F-A62EFF666E3E}">
          <x14:id>{E41476C5-4D9B-41FA-AF03-5DD1579F5CE8}</x14:id>
        </ext>
      </extLst>
    </cfRule>
  </conditionalFormatting>
  <conditionalFormatting sqref="AI141">
    <cfRule type="dataBar" priority="284">
      <dataBar>
        <cfvo type="min"/>
        <cfvo type="max"/>
        <color rgb="FF008AEF"/>
      </dataBar>
      <extLst>
        <ext xmlns:x14="http://schemas.microsoft.com/office/spreadsheetml/2009/9/main" uri="{B025F937-C7B1-47D3-B67F-A62EFF666E3E}">
          <x14:id>{38997935-3107-420E-8AB2-B8B1D2E2FB20}</x14:id>
        </ext>
      </extLst>
    </cfRule>
  </conditionalFormatting>
  <conditionalFormatting sqref="AK141">
    <cfRule type="dataBar" priority="283">
      <dataBar>
        <cfvo type="min"/>
        <cfvo type="max"/>
        <color rgb="FF008AEF"/>
      </dataBar>
      <extLst>
        <ext xmlns:x14="http://schemas.microsoft.com/office/spreadsheetml/2009/9/main" uri="{B025F937-C7B1-47D3-B67F-A62EFF666E3E}">
          <x14:id>{094CCC02-A0FF-4543-B8B9-19E5BD0A4455}</x14:id>
        </ext>
      </extLst>
    </cfRule>
  </conditionalFormatting>
  <conditionalFormatting sqref="X142">
    <cfRule type="dataBar" priority="280">
      <dataBar>
        <cfvo type="min"/>
        <cfvo type="max"/>
        <color rgb="FF008AEF"/>
      </dataBar>
      <extLst>
        <ext xmlns:x14="http://schemas.microsoft.com/office/spreadsheetml/2009/9/main" uri="{B025F937-C7B1-47D3-B67F-A62EFF666E3E}">
          <x14:id>{84010A9C-8F4E-4B06-8D0E-61835F92F820}</x14:id>
        </ext>
      </extLst>
    </cfRule>
  </conditionalFormatting>
  <conditionalFormatting sqref="Z142">
    <cfRule type="dataBar" priority="279">
      <dataBar>
        <cfvo type="min"/>
        <cfvo type="max"/>
        <color rgb="FF008AEF"/>
      </dataBar>
      <extLst>
        <ext xmlns:x14="http://schemas.microsoft.com/office/spreadsheetml/2009/9/main" uri="{B025F937-C7B1-47D3-B67F-A62EFF666E3E}">
          <x14:id>{BE9E030F-A0B3-4071-9ABD-9CB7CE461BD5}</x14:id>
        </ext>
      </extLst>
    </cfRule>
  </conditionalFormatting>
  <conditionalFormatting sqref="AB142">
    <cfRule type="dataBar" priority="278">
      <dataBar>
        <cfvo type="min"/>
        <cfvo type="max"/>
        <color rgb="FF008AEF"/>
      </dataBar>
      <extLst>
        <ext xmlns:x14="http://schemas.microsoft.com/office/spreadsheetml/2009/9/main" uri="{B025F937-C7B1-47D3-B67F-A62EFF666E3E}">
          <x14:id>{E1303023-8F26-4DA1-9DD5-68CEB9FD5E9B}</x14:id>
        </ext>
      </extLst>
    </cfRule>
  </conditionalFormatting>
  <conditionalFormatting sqref="AG142">
    <cfRule type="dataBar" priority="277">
      <dataBar>
        <cfvo type="min"/>
        <cfvo type="max"/>
        <color rgb="FF008AEF"/>
      </dataBar>
      <extLst>
        <ext xmlns:x14="http://schemas.microsoft.com/office/spreadsheetml/2009/9/main" uri="{B025F937-C7B1-47D3-B67F-A62EFF666E3E}">
          <x14:id>{A6F2C8E7-E4F9-40A3-8123-0813AE60C4AC}</x14:id>
        </ext>
      </extLst>
    </cfRule>
  </conditionalFormatting>
  <conditionalFormatting sqref="AI142">
    <cfRule type="dataBar" priority="276">
      <dataBar>
        <cfvo type="min"/>
        <cfvo type="max"/>
        <color rgb="FF008AEF"/>
      </dataBar>
      <extLst>
        <ext xmlns:x14="http://schemas.microsoft.com/office/spreadsheetml/2009/9/main" uri="{B025F937-C7B1-47D3-B67F-A62EFF666E3E}">
          <x14:id>{9D3DB648-C4BF-440B-A8AA-885BE550496C}</x14:id>
        </ext>
      </extLst>
    </cfRule>
  </conditionalFormatting>
  <conditionalFormatting sqref="AK142">
    <cfRule type="dataBar" priority="275">
      <dataBar>
        <cfvo type="min"/>
        <cfvo type="max"/>
        <color rgb="FF008AEF"/>
      </dataBar>
      <extLst>
        <ext xmlns:x14="http://schemas.microsoft.com/office/spreadsheetml/2009/9/main" uri="{B025F937-C7B1-47D3-B67F-A62EFF666E3E}">
          <x14:id>{E94831E6-2962-4880-A5EC-24DF91453A44}</x14:id>
        </ext>
      </extLst>
    </cfRule>
  </conditionalFormatting>
  <conditionalFormatting sqref="AU48:AY48">
    <cfRule type="expression" dxfId="58" priority="271">
      <formula>$M$48&lt;&gt;#REF!</formula>
    </cfRule>
    <cfRule type="expression" dxfId="57" priority="272">
      <formula>$M$48=#REF!</formula>
    </cfRule>
  </conditionalFormatting>
  <conditionalFormatting sqref="AO55:AS55">
    <cfRule type="expression" dxfId="56" priority="263">
      <formula>$M$55&lt;&gt;#REF!</formula>
    </cfRule>
    <cfRule type="expression" dxfId="55" priority="264">
      <formula>$M$55=#REF!</formula>
    </cfRule>
  </conditionalFormatting>
  <conditionalFormatting sqref="AO66:AS66">
    <cfRule type="expression" dxfId="54" priority="255">
      <formula>$M$55&lt;&gt;#REF!</formula>
    </cfRule>
    <cfRule type="expression" dxfId="53" priority="256">
      <formula>$M$55=#REF!</formula>
    </cfRule>
  </conditionalFormatting>
  <conditionalFormatting sqref="AU55:AY55">
    <cfRule type="expression" dxfId="52" priority="245">
      <formula>$M$55&lt;&gt;#REF!</formula>
    </cfRule>
    <cfRule type="expression" dxfId="51" priority="246">
      <formula>$M$55=#REF!</formula>
    </cfRule>
  </conditionalFormatting>
  <conditionalFormatting sqref="AA76 Y76 W76 AC76">
    <cfRule type="dataBar" priority="236">
      <dataBar>
        <cfvo type="min"/>
        <cfvo type="max"/>
        <color rgb="FF008AEF"/>
      </dataBar>
      <extLst>
        <ext xmlns:x14="http://schemas.microsoft.com/office/spreadsheetml/2009/9/main" uri="{B025F937-C7B1-47D3-B67F-A62EFF666E3E}">
          <x14:id>{44B68644-4CF4-41BA-A656-D972A27BB472}</x14:id>
        </ext>
      </extLst>
    </cfRule>
  </conditionalFormatting>
  <conditionalFormatting sqref="X76">
    <cfRule type="dataBar" priority="235">
      <dataBar>
        <cfvo type="min"/>
        <cfvo type="max"/>
        <color rgb="FF008AEF"/>
      </dataBar>
      <extLst>
        <ext xmlns:x14="http://schemas.microsoft.com/office/spreadsheetml/2009/9/main" uri="{B025F937-C7B1-47D3-B67F-A62EFF666E3E}">
          <x14:id>{0C37CD38-BE75-4E8D-987E-CB5DC790730E}</x14:id>
        </ext>
      </extLst>
    </cfRule>
  </conditionalFormatting>
  <conditionalFormatting sqref="Z76">
    <cfRule type="dataBar" priority="234">
      <dataBar>
        <cfvo type="min"/>
        <cfvo type="max"/>
        <color rgb="FF008AEF"/>
      </dataBar>
      <extLst>
        <ext xmlns:x14="http://schemas.microsoft.com/office/spreadsheetml/2009/9/main" uri="{B025F937-C7B1-47D3-B67F-A62EFF666E3E}">
          <x14:id>{D90A1884-26BC-4040-B87B-A3948A86F9CC}</x14:id>
        </ext>
      </extLst>
    </cfRule>
  </conditionalFormatting>
  <conditionalFormatting sqref="AB76">
    <cfRule type="dataBar" priority="233">
      <dataBar>
        <cfvo type="min"/>
        <cfvo type="max"/>
        <color rgb="FF008AEF"/>
      </dataBar>
      <extLst>
        <ext xmlns:x14="http://schemas.microsoft.com/office/spreadsheetml/2009/9/main" uri="{B025F937-C7B1-47D3-B67F-A62EFF666E3E}">
          <x14:id>{04F7675C-CD1F-4A41-9C03-20DE76C66EDC}</x14:id>
        </ext>
      </extLst>
    </cfRule>
  </conditionalFormatting>
  <conditionalFormatting sqref="AH76 AL76 AJ76 AF76">
    <cfRule type="dataBar" priority="232">
      <dataBar>
        <cfvo type="min"/>
        <cfvo type="max"/>
        <color rgb="FF008AEF"/>
      </dataBar>
      <extLst>
        <ext xmlns:x14="http://schemas.microsoft.com/office/spreadsheetml/2009/9/main" uri="{B025F937-C7B1-47D3-B67F-A62EFF666E3E}">
          <x14:id>{3E4DACA3-2466-4FDD-8143-F311536A804F}</x14:id>
        </ext>
      </extLst>
    </cfRule>
  </conditionalFormatting>
  <conditionalFormatting sqref="AG76">
    <cfRule type="dataBar" priority="231">
      <dataBar>
        <cfvo type="min"/>
        <cfvo type="max"/>
        <color rgb="FF008AEF"/>
      </dataBar>
      <extLst>
        <ext xmlns:x14="http://schemas.microsoft.com/office/spreadsheetml/2009/9/main" uri="{B025F937-C7B1-47D3-B67F-A62EFF666E3E}">
          <x14:id>{59E718C5-8D62-4B99-9744-BB52864586E6}</x14:id>
        </ext>
      </extLst>
    </cfRule>
  </conditionalFormatting>
  <conditionalFormatting sqref="AI76">
    <cfRule type="dataBar" priority="230">
      <dataBar>
        <cfvo type="min"/>
        <cfvo type="max"/>
        <color rgb="FF008AEF"/>
      </dataBar>
      <extLst>
        <ext xmlns:x14="http://schemas.microsoft.com/office/spreadsheetml/2009/9/main" uri="{B025F937-C7B1-47D3-B67F-A62EFF666E3E}">
          <x14:id>{EB639C9D-1F02-4975-8C03-1EB7723B84E9}</x14:id>
        </ext>
      </extLst>
    </cfRule>
  </conditionalFormatting>
  <conditionalFormatting sqref="AK76">
    <cfRule type="dataBar" priority="229">
      <dataBar>
        <cfvo type="min"/>
        <cfvo type="max"/>
        <color rgb="FF008AEF"/>
      </dataBar>
      <extLst>
        <ext xmlns:x14="http://schemas.microsoft.com/office/spreadsheetml/2009/9/main" uri="{B025F937-C7B1-47D3-B67F-A62EFF666E3E}">
          <x14:id>{5C96AB5B-7679-4C37-887B-8AD636C525DF}</x14:id>
        </ext>
      </extLst>
    </cfRule>
  </conditionalFormatting>
  <conditionalFormatting sqref="AV73:AY73">
    <cfRule type="expression" dxfId="50" priority="227">
      <formula>$M$73&lt;&gt;SUM(#REF!)</formula>
    </cfRule>
    <cfRule type="expression" dxfId="49" priority="228">
      <formula>$M$73=SUM(#REF!)</formula>
    </cfRule>
  </conditionalFormatting>
  <conditionalFormatting sqref="AU73">
    <cfRule type="expression" dxfId="48" priority="225">
      <formula>$M$73&lt;&gt;SUM(#REF!)</formula>
    </cfRule>
    <cfRule type="expression" dxfId="47" priority="226">
      <formula>$M$73=SUM(#REF!)</formula>
    </cfRule>
  </conditionalFormatting>
  <conditionalFormatting sqref="AU66:AY66">
    <cfRule type="expression" dxfId="46" priority="223">
      <formula>$M$55&lt;&gt;#REF!</formula>
    </cfRule>
    <cfRule type="expression" dxfId="45" priority="224">
      <formula>$M$55=#REF!</formula>
    </cfRule>
  </conditionalFormatting>
  <conditionalFormatting sqref="AV77:AY77">
    <cfRule type="expression" dxfId="44" priority="221">
      <formula>$M$77&lt;&gt;#REF!</formula>
    </cfRule>
    <cfRule type="expression" dxfId="43" priority="222">
      <formula>$M$77=#REF!</formula>
    </cfRule>
  </conditionalFormatting>
  <conditionalFormatting sqref="AU77">
    <cfRule type="expression" dxfId="42" priority="219">
      <formula>$M$77&lt;&gt;#REF!</formula>
    </cfRule>
    <cfRule type="expression" dxfId="41" priority="220">
      <formula>$M$77=#REF!</formula>
    </cfRule>
  </conditionalFormatting>
  <conditionalFormatting sqref="AO105">
    <cfRule type="expression" dxfId="40" priority="217">
      <formula>$M$55&lt;&gt;#REF!</formula>
    </cfRule>
    <cfRule type="expression" dxfId="39" priority="218">
      <formula>$M$55=#REF!</formula>
    </cfRule>
  </conditionalFormatting>
  <conditionalFormatting sqref="AV85">
    <cfRule type="expression" dxfId="38" priority="215">
      <formula>$M$85&lt;&gt;#REF!</formula>
    </cfRule>
    <cfRule type="expression" dxfId="37" priority="216">
      <formula>$M$85=#REF!</formula>
    </cfRule>
  </conditionalFormatting>
  <conditionalFormatting sqref="AW85">
    <cfRule type="expression" dxfId="36" priority="213">
      <formula>$M$85&lt;&gt;#REF!</formula>
    </cfRule>
    <cfRule type="expression" dxfId="35" priority="214">
      <formula>$M$85=#REF!</formula>
    </cfRule>
  </conditionalFormatting>
  <conditionalFormatting sqref="AX85">
    <cfRule type="expression" dxfId="34" priority="211">
      <formula>$M$85&lt;&gt;#REF!</formula>
    </cfRule>
    <cfRule type="expression" dxfId="33" priority="212">
      <formula>$M$85=#REF!</formula>
    </cfRule>
  </conditionalFormatting>
  <conditionalFormatting sqref="AY85">
    <cfRule type="expression" dxfId="32" priority="209">
      <formula>$M$85&lt;&gt;#REF!</formula>
    </cfRule>
    <cfRule type="expression" dxfId="31" priority="210">
      <formula>$M$85=#REF!</formula>
    </cfRule>
  </conditionalFormatting>
  <conditionalFormatting sqref="AU85">
    <cfRule type="expression" dxfId="30" priority="207">
      <formula>$M$85&lt;&gt;#REF!</formula>
    </cfRule>
    <cfRule type="expression" dxfId="29" priority="208">
      <formula>$M$85=#REF!</formula>
    </cfRule>
  </conditionalFormatting>
  <conditionalFormatting sqref="AP93">
    <cfRule type="expression" dxfId="28" priority="190">
      <formula>$M$85&lt;&gt;#REF!</formula>
    </cfRule>
    <cfRule type="expression" dxfId="27" priority="191">
      <formula>$M$85=#REF!</formula>
    </cfRule>
  </conditionalFormatting>
  <conditionalFormatting sqref="AQ93">
    <cfRule type="expression" dxfId="26" priority="188">
      <formula>$M$85&lt;&gt;#REF!</formula>
    </cfRule>
    <cfRule type="expression" dxfId="25" priority="189">
      <formula>$M$85=#REF!</formula>
    </cfRule>
  </conditionalFormatting>
  <conditionalFormatting sqref="AR93">
    <cfRule type="expression" dxfId="24" priority="186">
      <formula>$M$85&lt;&gt;#REF!</formula>
    </cfRule>
    <cfRule type="expression" dxfId="23" priority="187">
      <formula>$M$85=#REF!</formula>
    </cfRule>
  </conditionalFormatting>
  <conditionalFormatting sqref="AS93">
    <cfRule type="expression" dxfId="22" priority="184">
      <formula>$M$85&lt;&gt;#REF!</formula>
    </cfRule>
    <cfRule type="expression" dxfId="21" priority="185">
      <formula>$M$85=#REF!</formula>
    </cfRule>
  </conditionalFormatting>
  <conditionalFormatting sqref="AO93">
    <cfRule type="expression" dxfId="20" priority="182">
      <formula>$M$85&lt;&gt;#REF!</formula>
    </cfRule>
    <cfRule type="expression" dxfId="19" priority="183">
      <formula>$M$85=#REF!</formula>
    </cfRule>
  </conditionalFormatting>
  <conditionalFormatting sqref="AV93">
    <cfRule type="expression" dxfId="18" priority="180">
      <formula>$M$85&lt;&gt;#REF!</formula>
    </cfRule>
    <cfRule type="expression" dxfId="17" priority="181">
      <formula>$M$85=#REF!</formula>
    </cfRule>
  </conditionalFormatting>
  <conditionalFormatting sqref="AW93">
    <cfRule type="expression" dxfId="16" priority="178">
      <formula>$M$85&lt;&gt;#REF!</formula>
    </cfRule>
    <cfRule type="expression" dxfId="15" priority="179">
      <formula>$M$85=#REF!</formula>
    </cfRule>
  </conditionalFormatting>
  <conditionalFormatting sqref="AX93">
    <cfRule type="expression" dxfId="14" priority="176">
      <formula>$M$85&lt;&gt;#REF!</formula>
    </cfRule>
    <cfRule type="expression" dxfId="13" priority="177">
      <formula>$M$85=#REF!</formula>
    </cfRule>
  </conditionalFormatting>
  <conditionalFormatting sqref="AY93">
    <cfRule type="expression" dxfId="12" priority="174">
      <formula>$M$85&lt;&gt;#REF!</formula>
    </cfRule>
    <cfRule type="expression" dxfId="11" priority="175">
      <formula>$M$85=#REF!</formula>
    </cfRule>
  </conditionalFormatting>
  <conditionalFormatting sqref="AU93">
    <cfRule type="expression" dxfId="10" priority="172">
      <formula>$M$85&lt;&gt;#REF!</formula>
    </cfRule>
    <cfRule type="expression" dxfId="9" priority="173">
      <formula>$M$85=#REF!</formula>
    </cfRule>
  </conditionalFormatting>
  <conditionalFormatting sqref="AV97:AY97">
    <cfRule type="expression" dxfId="8" priority="170">
      <formula>$M$55&lt;&gt;#REF!</formula>
    </cfRule>
    <cfRule type="expression" dxfId="7" priority="171">
      <formula>$M$55=#REF!</formula>
    </cfRule>
  </conditionalFormatting>
  <conditionalFormatting sqref="AU97">
    <cfRule type="expression" dxfId="6" priority="168">
      <formula>$M$55&lt;&gt;#REF!</formula>
    </cfRule>
    <cfRule type="expression" dxfId="5" priority="169">
      <formula>$M$55=#REF!</formula>
    </cfRule>
  </conditionalFormatting>
  <conditionalFormatting sqref="AA39 Y39 AC39 V39:W39">
    <cfRule type="dataBar" priority="167">
      <dataBar>
        <cfvo type="min"/>
        <cfvo type="max"/>
        <color rgb="FF008AEF"/>
      </dataBar>
      <extLst>
        <ext xmlns:x14="http://schemas.microsoft.com/office/spreadsheetml/2009/9/main" uri="{B025F937-C7B1-47D3-B67F-A62EFF666E3E}">
          <x14:id>{91CA5721-B1B9-4AC9-9B67-EED8C2E6827D}</x14:id>
        </ext>
      </extLst>
    </cfRule>
  </conditionalFormatting>
  <conditionalFormatting sqref="X39">
    <cfRule type="dataBar" priority="166">
      <dataBar>
        <cfvo type="min"/>
        <cfvo type="max"/>
        <color rgb="FF008AEF"/>
      </dataBar>
      <extLst>
        <ext xmlns:x14="http://schemas.microsoft.com/office/spreadsheetml/2009/9/main" uri="{B025F937-C7B1-47D3-B67F-A62EFF666E3E}">
          <x14:id>{14B1A98D-F995-47B9-A675-4E2A66763120}</x14:id>
        </ext>
      </extLst>
    </cfRule>
  </conditionalFormatting>
  <conditionalFormatting sqref="Z39">
    <cfRule type="dataBar" priority="165">
      <dataBar>
        <cfvo type="min"/>
        <cfvo type="max"/>
        <color rgb="FF008AEF"/>
      </dataBar>
      <extLst>
        <ext xmlns:x14="http://schemas.microsoft.com/office/spreadsheetml/2009/9/main" uri="{B025F937-C7B1-47D3-B67F-A62EFF666E3E}">
          <x14:id>{4B3475B7-D6F1-4542-A14A-D37093C2E51A}</x14:id>
        </ext>
      </extLst>
    </cfRule>
  </conditionalFormatting>
  <conditionalFormatting sqref="AB39">
    <cfRule type="dataBar" priority="164">
      <dataBar>
        <cfvo type="min"/>
        <cfvo type="max"/>
        <color rgb="FF008AEF"/>
      </dataBar>
      <extLst>
        <ext xmlns:x14="http://schemas.microsoft.com/office/spreadsheetml/2009/9/main" uri="{B025F937-C7B1-47D3-B67F-A62EFF666E3E}">
          <x14:id>{0F4D99C0-25C8-42A7-BB8F-885FD876A6A5}</x14:id>
        </ext>
      </extLst>
    </cfRule>
  </conditionalFormatting>
  <conditionalFormatting sqref="AA40 Y40 AC40 V40:W40">
    <cfRule type="dataBar" priority="163">
      <dataBar>
        <cfvo type="min"/>
        <cfvo type="max"/>
        <color rgb="FF008AEF"/>
      </dataBar>
      <extLst>
        <ext xmlns:x14="http://schemas.microsoft.com/office/spreadsheetml/2009/9/main" uri="{B025F937-C7B1-47D3-B67F-A62EFF666E3E}">
          <x14:id>{D3BFA734-7729-4E9D-9B10-D944B7011C62}</x14:id>
        </ext>
      </extLst>
    </cfRule>
  </conditionalFormatting>
  <conditionalFormatting sqref="X40">
    <cfRule type="dataBar" priority="162">
      <dataBar>
        <cfvo type="min"/>
        <cfvo type="max"/>
        <color rgb="FF008AEF"/>
      </dataBar>
      <extLst>
        <ext xmlns:x14="http://schemas.microsoft.com/office/spreadsheetml/2009/9/main" uri="{B025F937-C7B1-47D3-B67F-A62EFF666E3E}">
          <x14:id>{55D57CA8-79DA-4757-979B-4C8B2C91F156}</x14:id>
        </ext>
      </extLst>
    </cfRule>
  </conditionalFormatting>
  <conditionalFormatting sqref="Z40">
    <cfRule type="dataBar" priority="161">
      <dataBar>
        <cfvo type="min"/>
        <cfvo type="max"/>
        <color rgb="FF008AEF"/>
      </dataBar>
      <extLst>
        <ext xmlns:x14="http://schemas.microsoft.com/office/spreadsheetml/2009/9/main" uri="{B025F937-C7B1-47D3-B67F-A62EFF666E3E}">
          <x14:id>{9E25B9E0-63B2-4FBA-ADEB-CCD34BD76E50}</x14:id>
        </ext>
      </extLst>
    </cfRule>
  </conditionalFormatting>
  <conditionalFormatting sqref="AB40">
    <cfRule type="dataBar" priority="160">
      <dataBar>
        <cfvo type="min"/>
        <cfvo type="max"/>
        <color rgb="FF008AEF"/>
      </dataBar>
      <extLst>
        <ext xmlns:x14="http://schemas.microsoft.com/office/spreadsheetml/2009/9/main" uri="{B025F937-C7B1-47D3-B67F-A62EFF666E3E}">
          <x14:id>{FA740780-8AB2-42C0-B8CF-143B602C6AAC}</x14:id>
        </ext>
      </extLst>
    </cfRule>
  </conditionalFormatting>
  <conditionalFormatting sqref="AJ39 AL39 AH39 AE39:AF39">
    <cfRule type="dataBar" priority="159">
      <dataBar>
        <cfvo type="min"/>
        <cfvo type="max"/>
        <color rgb="FF008AEF"/>
      </dataBar>
      <extLst>
        <ext xmlns:x14="http://schemas.microsoft.com/office/spreadsheetml/2009/9/main" uri="{B025F937-C7B1-47D3-B67F-A62EFF666E3E}">
          <x14:id>{0A4B5523-384B-4DE8-A4BA-9944405CB663}</x14:id>
        </ext>
      </extLst>
    </cfRule>
  </conditionalFormatting>
  <conditionalFormatting sqref="AG39">
    <cfRule type="dataBar" priority="158">
      <dataBar>
        <cfvo type="min"/>
        <cfvo type="max"/>
        <color rgb="FF008AEF"/>
      </dataBar>
      <extLst>
        <ext xmlns:x14="http://schemas.microsoft.com/office/spreadsheetml/2009/9/main" uri="{B025F937-C7B1-47D3-B67F-A62EFF666E3E}">
          <x14:id>{22F4D72A-A575-4F80-A405-26E54708BFBB}</x14:id>
        </ext>
      </extLst>
    </cfRule>
  </conditionalFormatting>
  <conditionalFormatting sqref="AI39">
    <cfRule type="dataBar" priority="157">
      <dataBar>
        <cfvo type="min"/>
        <cfvo type="max"/>
        <color rgb="FF008AEF"/>
      </dataBar>
      <extLst>
        <ext xmlns:x14="http://schemas.microsoft.com/office/spreadsheetml/2009/9/main" uri="{B025F937-C7B1-47D3-B67F-A62EFF666E3E}">
          <x14:id>{70A5FF56-66CA-42FC-B882-0641ADF0EDCE}</x14:id>
        </ext>
      </extLst>
    </cfRule>
  </conditionalFormatting>
  <conditionalFormatting sqref="AK39">
    <cfRule type="dataBar" priority="156">
      <dataBar>
        <cfvo type="min"/>
        <cfvo type="max"/>
        <color rgb="FF008AEF"/>
      </dataBar>
      <extLst>
        <ext xmlns:x14="http://schemas.microsoft.com/office/spreadsheetml/2009/9/main" uri="{B025F937-C7B1-47D3-B67F-A62EFF666E3E}">
          <x14:id>{84A1EBD0-E029-44CC-90FF-5D1266DACD2F}</x14:id>
        </ext>
      </extLst>
    </cfRule>
  </conditionalFormatting>
  <conditionalFormatting sqref="AJ40 AL40 AH40 AE40:AF40">
    <cfRule type="dataBar" priority="155">
      <dataBar>
        <cfvo type="min"/>
        <cfvo type="max"/>
        <color rgb="FF008AEF"/>
      </dataBar>
      <extLst>
        <ext xmlns:x14="http://schemas.microsoft.com/office/spreadsheetml/2009/9/main" uri="{B025F937-C7B1-47D3-B67F-A62EFF666E3E}">
          <x14:id>{F07461E7-FF18-4C71-8E16-01429CEB12CA}</x14:id>
        </ext>
      </extLst>
    </cfRule>
  </conditionalFormatting>
  <conditionalFormatting sqref="AG40">
    <cfRule type="dataBar" priority="154">
      <dataBar>
        <cfvo type="min"/>
        <cfvo type="max"/>
        <color rgb="FF008AEF"/>
      </dataBar>
      <extLst>
        <ext xmlns:x14="http://schemas.microsoft.com/office/spreadsheetml/2009/9/main" uri="{B025F937-C7B1-47D3-B67F-A62EFF666E3E}">
          <x14:id>{6BE0C751-65F6-4AAB-9827-A33A7AC9F709}</x14:id>
        </ext>
      </extLst>
    </cfRule>
  </conditionalFormatting>
  <conditionalFormatting sqref="AI40">
    <cfRule type="dataBar" priority="153">
      <dataBar>
        <cfvo type="min"/>
        <cfvo type="max"/>
        <color rgb="FF008AEF"/>
      </dataBar>
      <extLst>
        <ext xmlns:x14="http://schemas.microsoft.com/office/spreadsheetml/2009/9/main" uri="{B025F937-C7B1-47D3-B67F-A62EFF666E3E}">
          <x14:id>{0637ED96-1E12-4D84-922E-9546F2D4FCA4}</x14:id>
        </ext>
      </extLst>
    </cfRule>
  </conditionalFormatting>
  <conditionalFormatting sqref="AK40">
    <cfRule type="dataBar" priority="152">
      <dataBar>
        <cfvo type="min"/>
        <cfvo type="max"/>
        <color rgb="FF008AEF"/>
      </dataBar>
      <extLst>
        <ext xmlns:x14="http://schemas.microsoft.com/office/spreadsheetml/2009/9/main" uri="{B025F937-C7B1-47D3-B67F-A62EFF666E3E}">
          <x14:id>{D2361E97-0BFD-4882-8441-DE2F1358EA34}</x14:id>
        </ext>
      </extLst>
    </cfRule>
  </conditionalFormatting>
  <conditionalFormatting sqref="AH97 AL97 AJ97 AE97:AF97">
    <cfRule type="dataBar" priority="151">
      <dataBar>
        <cfvo type="min"/>
        <cfvo type="max"/>
        <color rgb="FF008AEF"/>
      </dataBar>
      <extLst>
        <ext xmlns:x14="http://schemas.microsoft.com/office/spreadsheetml/2009/9/main" uri="{B025F937-C7B1-47D3-B67F-A62EFF666E3E}">
          <x14:id>{D4D709DE-E685-474B-AD94-C4B1C3129409}</x14:id>
        </ext>
      </extLst>
    </cfRule>
  </conditionalFormatting>
  <conditionalFormatting sqref="AG97">
    <cfRule type="dataBar" priority="150">
      <dataBar>
        <cfvo type="min"/>
        <cfvo type="max"/>
        <color rgb="FF008AEF"/>
      </dataBar>
      <extLst>
        <ext xmlns:x14="http://schemas.microsoft.com/office/spreadsheetml/2009/9/main" uri="{B025F937-C7B1-47D3-B67F-A62EFF666E3E}">
          <x14:id>{397826FF-A415-498B-83F8-4A4DFC299EDE}</x14:id>
        </ext>
      </extLst>
    </cfRule>
  </conditionalFormatting>
  <conditionalFormatting sqref="AI97">
    <cfRule type="dataBar" priority="149">
      <dataBar>
        <cfvo type="min"/>
        <cfvo type="max"/>
        <color rgb="FF008AEF"/>
      </dataBar>
      <extLst>
        <ext xmlns:x14="http://schemas.microsoft.com/office/spreadsheetml/2009/9/main" uri="{B025F937-C7B1-47D3-B67F-A62EFF666E3E}">
          <x14:id>{696171EF-4F3C-4FA9-9818-E38617D6D8FC}</x14:id>
        </ext>
      </extLst>
    </cfRule>
  </conditionalFormatting>
  <conditionalFormatting sqref="AK97">
    <cfRule type="dataBar" priority="148">
      <dataBar>
        <cfvo type="min"/>
        <cfvo type="max"/>
        <color rgb="FF008AEF"/>
      </dataBar>
      <extLst>
        <ext xmlns:x14="http://schemas.microsoft.com/office/spreadsheetml/2009/9/main" uri="{B025F937-C7B1-47D3-B67F-A62EFF666E3E}">
          <x14:id>{246339AC-13B9-4091-99E8-024B85385B4A}</x14:id>
        </ext>
      </extLst>
    </cfRule>
  </conditionalFormatting>
  <conditionalFormatting sqref="V78">
    <cfRule type="dataBar" priority="128">
      <dataBar>
        <cfvo type="min"/>
        <cfvo type="max"/>
        <color rgb="FF008AEF"/>
      </dataBar>
      <extLst>
        <ext xmlns:x14="http://schemas.microsoft.com/office/spreadsheetml/2009/9/main" uri="{B025F937-C7B1-47D3-B67F-A62EFF666E3E}">
          <x14:id>{95783CE1-AFC5-4B7E-85F5-0833B19EC2B8}</x14:id>
        </ext>
      </extLst>
    </cfRule>
  </conditionalFormatting>
  <conditionalFormatting sqref="AE78">
    <cfRule type="dataBar" priority="123">
      <dataBar>
        <cfvo type="min"/>
        <cfvo type="max"/>
        <color rgb="FF008AEF"/>
      </dataBar>
      <extLst>
        <ext xmlns:x14="http://schemas.microsoft.com/office/spreadsheetml/2009/9/main" uri="{B025F937-C7B1-47D3-B67F-A62EFF666E3E}">
          <x14:id>{84E1CD34-332D-4607-BE87-08642E4486C2}</x14:id>
        </ext>
      </extLst>
    </cfRule>
  </conditionalFormatting>
  <conditionalFormatting sqref="V51">
    <cfRule type="dataBar" priority="76">
      <dataBar>
        <cfvo type="min"/>
        <cfvo type="max"/>
        <color rgb="FF008AEF"/>
      </dataBar>
      <extLst>
        <ext xmlns:x14="http://schemas.microsoft.com/office/spreadsheetml/2009/9/main" uri="{B025F937-C7B1-47D3-B67F-A62EFF666E3E}">
          <x14:id>{F42840A2-13E0-43B6-B635-154F136B66A1}</x14:id>
        </ext>
      </extLst>
    </cfRule>
  </conditionalFormatting>
  <conditionalFormatting sqref="V52">
    <cfRule type="dataBar" priority="75">
      <dataBar>
        <cfvo type="min"/>
        <cfvo type="max"/>
        <color rgb="FF008AEF"/>
      </dataBar>
      <extLst>
        <ext xmlns:x14="http://schemas.microsoft.com/office/spreadsheetml/2009/9/main" uri="{B025F937-C7B1-47D3-B67F-A62EFF666E3E}">
          <x14:id>{4EBAD116-F9B4-45D5-9717-51C6D5C43D4B}</x14:id>
        </ext>
      </extLst>
    </cfRule>
  </conditionalFormatting>
  <conditionalFormatting sqref="V53">
    <cfRule type="dataBar" priority="74">
      <dataBar>
        <cfvo type="min"/>
        <cfvo type="max"/>
        <color rgb="FF008AEF"/>
      </dataBar>
      <extLst>
        <ext xmlns:x14="http://schemas.microsoft.com/office/spreadsheetml/2009/9/main" uri="{B025F937-C7B1-47D3-B67F-A62EFF666E3E}">
          <x14:id>{3756683D-6607-48A4-9176-6375A8EE90E6}</x14:id>
        </ext>
      </extLst>
    </cfRule>
  </conditionalFormatting>
  <conditionalFormatting sqref="V54">
    <cfRule type="dataBar" priority="73">
      <dataBar>
        <cfvo type="min"/>
        <cfvo type="max"/>
        <color rgb="FF008AEF"/>
      </dataBar>
      <extLst>
        <ext xmlns:x14="http://schemas.microsoft.com/office/spreadsheetml/2009/9/main" uri="{B025F937-C7B1-47D3-B67F-A62EFF666E3E}">
          <x14:id>{2D98BC02-5CE6-4442-BC05-BD66C566D0E1}</x14:id>
        </ext>
      </extLst>
    </cfRule>
  </conditionalFormatting>
  <conditionalFormatting sqref="AE51">
    <cfRule type="dataBar" priority="71">
      <dataBar>
        <cfvo type="min"/>
        <cfvo type="max"/>
        <color rgb="FF008AEF"/>
      </dataBar>
      <extLst>
        <ext xmlns:x14="http://schemas.microsoft.com/office/spreadsheetml/2009/9/main" uri="{B025F937-C7B1-47D3-B67F-A62EFF666E3E}">
          <x14:id>{F0C8AC35-EFE4-4BF6-9062-2D68E6F48305}</x14:id>
        </ext>
      </extLst>
    </cfRule>
  </conditionalFormatting>
  <conditionalFormatting sqref="AE52">
    <cfRule type="dataBar" priority="70">
      <dataBar>
        <cfvo type="min"/>
        <cfvo type="max"/>
        <color rgb="FF008AEF"/>
      </dataBar>
      <extLst>
        <ext xmlns:x14="http://schemas.microsoft.com/office/spreadsheetml/2009/9/main" uri="{B025F937-C7B1-47D3-B67F-A62EFF666E3E}">
          <x14:id>{092998ED-A909-4702-AB80-DCE199D47D32}</x14:id>
        </ext>
      </extLst>
    </cfRule>
  </conditionalFormatting>
  <conditionalFormatting sqref="AE53">
    <cfRule type="dataBar" priority="69">
      <dataBar>
        <cfvo type="min"/>
        <cfvo type="max"/>
        <color rgb="FF008AEF"/>
      </dataBar>
      <extLst>
        <ext xmlns:x14="http://schemas.microsoft.com/office/spreadsheetml/2009/9/main" uri="{B025F937-C7B1-47D3-B67F-A62EFF666E3E}">
          <x14:id>{CB849FB4-16DF-4EB0-96C5-F0AB29802FCB}</x14:id>
        </ext>
      </extLst>
    </cfRule>
  </conditionalFormatting>
  <conditionalFormatting sqref="AE54">
    <cfRule type="dataBar" priority="68">
      <dataBar>
        <cfvo type="min"/>
        <cfvo type="max"/>
        <color rgb="FF008AEF"/>
      </dataBar>
      <extLst>
        <ext xmlns:x14="http://schemas.microsoft.com/office/spreadsheetml/2009/9/main" uri="{B025F937-C7B1-47D3-B67F-A62EFF666E3E}">
          <x14:id>{02640A28-4CDB-4388-8F51-046B08B7D25C}</x14:id>
        </ext>
      </extLst>
    </cfRule>
  </conditionalFormatting>
  <conditionalFormatting sqref="V45">
    <cfRule type="dataBar" priority="61">
      <dataBar>
        <cfvo type="min"/>
        <cfvo type="max"/>
        <color rgb="FF008AEF"/>
      </dataBar>
      <extLst>
        <ext xmlns:x14="http://schemas.microsoft.com/office/spreadsheetml/2009/9/main" uri="{B025F937-C7B1-47D3-B67F-A62EFF666E3E}">
          <x14:id>{3497CE33-00F1-B449-9504-61031EF13547}</x14:id>
        </ext>
      </extLst>
    </cfRule>
  </conditionalFormatting>
  <conditionalFormatting sqref="V44">
    <cfRule type="dataBar" priority="60">
      <dataBar>
        <cfvo type="min"/>
        <cfvo type="max"/>
        <color rgb="FF008AEF"/>
      </dataBar>
      <extLst>
        <ext xmlns:x14="http://schemas.microsoft.com/office/spreadsheetml/2009/9/main" uri="{B025F937-C7B1-47D3-B67F-A62EFF666E3E}">
          <x14:id>{F777EFD0-1D13-DD48-88EE-A84F03EACFF4}</x14:id>
        </ext>
      </extLst>
    </cfRule>
  </conditionalFormatting>
  <conditionalFormatting sqref="V43">
    <cfRule type="dataBar" priority="59">
      <dataBar>
        <cfvo type="min"/>
        <cfvo type="max"/>
        <color rgb="FF008AEF"/>
      </dataBar>
      <extLst>
        <ext xmlns:x14="http://schemas.microsoft.com/office/spreadsheetml/2009/9/main" uri="{B025F937-C7B1-47D3-B67F-A62EFF666E3E}">
          <x14:id>{FFAF5235-788E-E546-BD22-7E6A7E048107}</x14:id>
        </ext>
      </extLst>
    </cfRule>
  </conditionalFormatting>
  <conditionalFormatting sqref="V46">
    <cfRule type="dataBar" priority="58">
      <dataBar>
        <cfvo type="min"/>
        <cfvo type="max"/>
        <color rgb="FF008AEF"/>
      </dataBar>
      <extLst>
        <ext xmlns:x14="http://schemas.microsoft.com/office/spreadsheetml/2009/9/main" uri="{B025F937-C7B1-47D3-B67F-A62EFF666E3E}">
          <x14:id>{0E7BB212-09CD-424F-AC61-63443D7272E6}</x14:id>
        </ext>
      </extLst>
    </cfRule>
  </conditionalFormatting>
  <conditionalFormatting sqref="V47">
    <cfRule type="dataBar" priority="57">
      <dataBar>
        <cfvo type="min"/>
        <cfvo type="max"/>
        <color rgb="FF008AEF"/>
      </dataBar>
      <extLst>
        <ext xmlns:x14="http://schemas.microsoft.com/office/spreadsheetml/2009/9/main" uri="{B025F937-C7B1-47D3-B67F-A62EFF666E3E}">
          <x14:id>{40C34317-5702-C945-8D1A-2020D77C086B}</x14:id>
        </ext>
      </extLst>
    </cfRule>
  </conditionalFormatting>
  <conditionalFormatting sqref="AE47">
    <cfRule type="dataBar" priority="56">
      <dataBar>
        <cfvo type="min"/>
        <cfvo type="max"/>
        <color rgb="FF008AEF"/>
      </dataBar>
      <extLst>
        <ext xmlns:x14="http://schemas.microsoft.com/office/spreadsheetml/2009/9/main" uri="{B025F937-C7B1-47D3-B67F-A62EFF666E3E}">
          <x14:id>{9C309087-31FB-424B-946D-B44288167DDA}</x14:id>
        </ext>
      </extLst>
    </cfRule>
  </conditionalFormatting>
  <conditionalFormatting sqref="AE46">
    <cfRule type="dataBar" priority="55">
      <dataBar>
        <cfvo type="min"/>
        <cfvo type="max"/>
        <color rgb="FF008AEF"/>
      </dataBar>
      <extLst>
        <ext xmlns:x14="http://schemas.microsoft.com/office/spreadsheetml/2009/9/main" uri="{B025F937-C7B1-47D3-B67F-A62EFF666E3E}">
          <x14:id>{2523F993-8B58-8840-B7B4-57D791F68C94}</x14:id>
        </ext>
      </extLst>
    </cfRule>
  </conditionalFormatting>
  <conditionalFormatting sqref="AE45">
    <cfRule type="dataBar" priority="54">
      <dataBar>
        <cfvo type="min"/>
        <cfvo type="max"/>
        <color rgb="FF008AEF"/>
      </dataBar>
      <extLst>
        <ext xmlns:x14="http://schemas.microsoft.com/office/spreadsheetml/2009/9/main" uri="{B025F937-C7B1-47D3-B67F-A62EFF666E3E}">
          <x14:id>{A912590A-4A7A-F147-87A3-440074D0CFEA}</x14:id>
        </ext>
      </extLst>
    </cfRule>
  </conditionalFormatting>
  <conditionalFormatting sqref="AE44">
    <cfRule type="dataBar" priority="53">
      <dataBar>
        <cfvo type="min"/>
        <cfvo type="max"/>
        <color rgb="FF008AEF"/>
      </dataBar>
      <extLst>
        <ext xmlns:x14="http://schemas.microsoft.com/office/spreadsheetml/2009/9/main" uri="{B025F937-C7B1-47D3-B67F-A62EFF666E3E}">
          <x14:id>{E0377A01-A334-2F47-A373-19EED9C34DA6}</x14:id>
        </ext>
      </extLst>
    </cfRule>
  </conditionalFormatting>
  <conditionalFormatting sqref="AE43">
    <cfRule type="dataBar" priority="51">
      <dataBar>
        <cfvo type="min"/>
        <cfvo type="max"/>
        <color rgb="FF008AEF"/>
      </dataBar>
      <extLst>
        <ext xmlns:x14="http://schemas.microsoft.com/office/spreadsheetml/2009/9/main" uri="{B025F937-C7B1-47D3-B67F-A62EFF666E3E}">
          <x14:id>{BAAAB51B-9649-B54E-9AA8-B209A69B2F7C}</x14:id>
        </ext>
      </extLst>
    </cfRule>
  </conditionalFormatting>
  <conditionalFormatting sqref="V117:V121">
    <cfRule type="dataBar" priority="50">
      <dataBar>
        <cfvo type="min"/>
        <cfvo type="max"/>
        <color rgb="FF008AEF"/>
      </dataBar>
      <extLst>
        <ext xmlns:x14="http://schemas.microsoft.com/office/spreadsheetml/2009/9/main" uri="{B025F937-C7B1-47D3-B67F-A62EFF666E3E}">
          <x14:id>{19932520-DFA0-0B4B-950E-61A0C539C8B4}</x14:id>
        </ext>
      </extLst>
    </cfRule>
  </conditionalFormatting>
  <conditionalFormatting sqref="AE117:AE121">
    <cfRule type="dataBar" priority="48">
      <dataBar>
        <cfvo type="min"/>
        <cfvo type="max"/>
        <color rgb="FF008AEF"/>
      </dataBar>
      <extLst>
        <ext xmlns:x14="http://schemas.microsoft.com/office/spreadsheetml/2009/9/main" uri="{B025F937-C7B1-47D3-B67F-A62EFF666E3E}">
          <x14:id>{A218E4D2-9BB8-2C4B-AC92-3D829606906A}</x14:id>
        </ext>
      </extLst>
    </cfRule>
  </conditionalFormatting>
  <conditionalFormatting sqref="AN124:AN129 U143:U145 AH99:AH105 AJ99:AJ105 AL99:AL105 AH61:AH65 AF58:AI58 U61:U65 AA61:AA65 Y61:Y65 W61:W65 AL61:AL65 AJ61:AJ65 AC61:AD65 AJ68:AJ69 AL68:AL69 W68:W69 Y68:Y69 AA68:AA69 U68:U69 AH68:AH69 AC68:AD69 AJ71:AJ72 AL71:AL72 W71:W72 Y71:Y72 AA71:AA72 U71:U72 AH71:AH72 AC71:AD72 AH75 U75 AA75 Y75 W75 AL75 AJ75 AC75:AD75 U57:U58 AA57:AA58 Y57:Y58 W57:W58 AL57:AL58 AJ57:AJ58 AH57 AF57 AC57:AD58 AH41:AH47 AJ41:AJ47 AL41:AL47 W41:W47 Y41:Y47 AA41:AA47 U41:U47 AH79:AH84 U79:U84 AA79:AA84 Y79:Y84 W79:W84 AL79:AL84 AJ79:AJ84 AC79:AD84 AJ87:AJ93 AL87:AL93 W87:W93 Y87:Y93 AA87:AA93 U87:U93 AH87:AH93 AC87:AD93 AH95:AH96 U95:U97 AA95:AA97 Y95:Y97 W95:W97 AL95:AL96 AJ95:AJ96 AC95:AD97 AC99:AD105 W99:W105 Y99:Y105 AA99:AA105 U99:U105 U107:U108 AA107:AA108 Y107:Y108 W107:W108 AL107:AL108 AJ107:AJ108 AH107:AH108 AC107:AD108 U110:U111 AA110:AA111 Y110:Y111 W110:W111 AL110:AL111 AJ110:AJ111 AH110:AH111 AC110:AD111 AH114 AJ114 AL114 AC114:AD114 W114 Y114 AA114 U114 AH117:AH121 AJ117:AJ121 AL117:AL121 AC117:AD121 W117:W121 Y117:Y121 AA117:AA121 U117:U121 AH124:AH129 AJ124:AJ129 AL124:AL129 AC124:AD129 W124:W129 Y124:Y129 AA124:AA129 U124:U129 AH140 AJ140 AL140 AC140:AD140 W140 Y140 AA140 U140 AA143:AA145 Y143:Y145 W143:W145 AC143:AD145 AL143:AL145 AJ143:AJ145 AH143:AH145 AF143:AF145 AC43:AD47 AF140 AF124:AF129 AF117:AF121 AF114 AF110:AF111 AF107:AF108 AF99:AF105 AF87:AF93 AF79:AF84 AF75 AF71:AF72 AF68:AF69 AF61:AF65 AF41:AF47 V41:V42 AC41:AE42 U39 AD39:AD40 V48:V49 AE48:AE49 V138:V143 AE138:AE143 U50:U55 W50:W55 Y50:Y55 AA50:AA55 AC50:AD55 AH50:AH55 AJ50:AJ55 AL50:AL55 AF50:AF55 V55:V77 AE55:AE77 V85:V116 AE95:AF96 AE99:AE116 AE85:AE93 V122:V131 AE122:AE131 AH132:AH134 AJ132:AJ134 AL132:AL134 Y132:Y134 AA132:AA134 U132:W134 AC132:AF134 U135:AL137">
    <cfRule type="dataBar" priority="4374">
      <dataBar>
        <cfvo type="min"/>
        <cfvo type="max"/>
        <color rgb="FF008AEF"/>
      </dataBar>
      <extLst>
        <ext xmlns:x14="http://schemas.microsoft.com/office/spreadsheetml/2009/9/main" uri="{B025F937-C7B1-47D3-B67F-A62EFF666E3E}">
          <x14:id>{890E40C9-80FE-0947-B67C-8DE627A2F0AA}</x14:id>
        </ext>
      </extLst>
    </cfRule>
  </conditionalFormatting>
  <conditionalFormatting sqref="X143:X145 X117:X121 X95:X97 X110:X111 X79:X84 X61:X65 X71:X72 X68:X69 X75 X57:X58 X41:X47 X87:X93 X99:X105 X107:X108 X114 X124:X129 X140 X50:X55">
    <cfRule type="dataBar" priority="4586">
      <dataBar>
        <cfvo type="min"/>
        <cfvo type="max"/>
        <color rgb="FF008AEF"/>
      </dataBar>
      <extLst>
        <ext xmlns:x14="http://schemas.microsoft.com/office/spreadsheetml/2009/9/main" uri="{B025F937-C7B1-47D3-B67F-A62EFF666E3E}">
          <x14:id>{45B38E78-83FD-436C-B83B-87CB1779F340}</x14:id>
        </ext>
      </extLst>
    </cfRule>
  </conditionalFormatting>
  <conditionalFormatting sqref="Z143:Z145 Z117:Z121 Z95:Z97 Z110:Z111 Z79:Z84 Z61:Z65 Z71:Z72 Z68:Z69 Z75 Z57:Z58 Z41:Z47 Z87:Z93 Z99:Z105 Z107:Z108 Z114 Z124:Z129 Z140 Z50:Z55">
    <cfRule type="dataBar" priority="4606">
      <dataBar>
        <cfvo type="min"/>
        <cfvo type="max"/>
        <color rgb="FF008AEF"/>
      </dataBar>
      <extLst>
        <ext xmlns:x14="http://schemas.microsoft.com/office/spreadsheetml/2009/9/main" uri="{B025F937-C7B1-47D3-B67F-A62EFF666E3E}">
          <x14:id>{4007CAFC-855C-43A4-9A21-C9A5BDD059D8}</x14:id>
        </ext>
      </extLst>
    </cfRule>
  </conditionalFormatting>
  <conditionalFormatting sqref="AB143:AB145 AB117:AB121 AB95:AB97 AB110:AB111 AB79:AB84 AB61:AB65 AB71:AB72 AB68:AB69 AB75 AB57:AB58 AB41:AB47 AB87:AB93 AB99:AB105 AB107:AB108 AB114 AB124:AB129 AB140 AB50:AB55">
    <cfRule type="dataBar" priority="4626">
      <dataBar>
        <cfvo type="min"/>
        <cfvo type="max"/>
        <color rgb="FF008AEF"/>
      </dataBar>
      <extLst>
        <ext xmlns:x14="http://schemas.microsoft.com/office/spreadsheetml/2009/9/main" uri="{B025F937-C7B1-47D3-B67F-A62EFF666E3E}">
          <x14:id>{F4352BE7-67B9-4AE0-84A1-8A7B3B37BA72}</x14:id>
        </ext>
      </extLst>
    </cfRule>
  </conditionalFormatting>
  <conditionalFormatting sqref="AG143:AG145 AG117:AG121 AG99:AG105 AG110:AG111 AG61:AG65 AG68:AG69 AG71:AG72 AG75 AG57 AG41:AG47 AG79:AG84 AG87:AG93 AG95:AG96 AG107:AG108 AG114 AG124:AG129 AG140 AG50:AG55">
    <cfRule type="dataBar" priority="4646">
      <dataBar>
        <cfvo type="min"/>
        <cfvo type="max"/>
        <color rgb="FF008AEF"/>
      </dataBar>
      <extLst>
        <ext xmlns:x14="http://schemas.microsoft.com/office/spreadsheetml/2009/9/main" uri="{B025F937-C7B1-47D3-B67F-A62EFF666E3E}">
          <x14:id>{D9C21E73-85B4-4EB9-9B01-BA8A541E34E5}</x14:id>
        </ext>
      </extLst>
    </cfRule>
  </conditionalFormatting>
  <conditionalFormatting sqref="AI143:AI145 AI117:AI121 AI99:AI105 AI110:AI111 AI61:AI65 AI68:AI69 AI71:AI72 AI75 AI57 AI41:AI47 AI79:AI84 AI87:AI93 AI95:AI96 AI107:AI108 AI114 AI124:AI129 AI140 AI50:AI55">
    <cfRule type="dataBar" priority="4666">
      <dataBar>
        <cfvo type="min"/>
        <cfvo type="max"/>
        <color rgb="FF008AEF"/>
      </dataBar>
      <extLst>
        <ext xmlns:x14="http://schemas.microsoft.com/office/spreadsheetml/2009/9/main" uri="{B025F937-C7B1-47D3-B67F-A62EFF666E3E}">
          <x14:id>{6260CB01-4863-4D7D-B360-1E844CA6C140}</x14:id>
        </ext>
      </extLst>
    </cfRule>
  </conditionalFormatting>
  <conditionalFormatting sqref="AK143:AK145 AK117:AK121 AK99:AK105 AK110:AK111 AK61:AK65 AK68:AK69 AK71:AK72 AK75 AK57:AK58 AK41:AK47 AK79:AK84 AK87:AK93 AK95:AK96 AK107:AK108 AK114 AK124:AK129 AK140 AK50:AK55">
    <cfRule type="dataBar" priority="4686">
      <dataBar>
        <cfvo type="min"/>
        <cfvo type="max"/>
        <color rgb="FF008AEF"/>
      </dataBar>
      <extLst>
        <ext xmlns:x14="http://schemas.microsoft.com/office/spreadsheetml/2009/9/main" uri="{B025F937-C7B1-47D3-B67F-A62EFF666E3E}">
          <x14:id>{D4AE572D-B452-4C29-ADE7-335B20997090}</x14:id>
        </ext>
      </extLst>
    </cfRule>
  </conditionalFormatting>
  <conditionalFormatting sqref="AE144:AE145">
    <cfRule type="dataBar" priority="4993">
      <dataBar>
        <cfvo type="min"/>
        <cfvo type="max"/>
        <color rgb="FF008AEF"/>
      </dataBar>
      <extLst>
        <ext xmlns:x14="http://schemas.microsoft.com/office/spreadsheetml/2009/9/main" uri="{B025F937-C7B1-47D3-B67F-A62EFF666E3E}">
          <x14:id>{2A16D74A-30B0-4E53-AC5D-22534D7A58BB}</x14:id>
        </ext>
      </extLst>
    </cfRule>
  </conditionalFormatting>
  <conditionalFormatting sqref="AD76 U76">
    <cfRule type="dataBar" priority="5249">
      <dataBar>
        <cfvo type="min"/>
        <cfvo type="max"/>
        <color rgb="FF008AEF"/>
      </dataBar>
      <extLst>
        <ext xmlns:x14="http://schemas.microsoft.com/office/spreadsheetml/2009/9/main" uri="{B025F937-C7B1-47D3-B67F-A62EFF666E3E}">
          <x14:id>{A8FD9F17-E703-476D-8E7A-AC1CE5DAFC71}</x14:id>
        </ext>
      </extLst>
    </cfRule>
  </conditionalFormatting>
  <conditionalFormatting sqref="U40">
    <cfRule type="dataBar" priority="5250">
      <dataBar>
        <cfvo type="min"/>
        <cfvo type="max"/>
        <color rgb="FF008AEF"/>
      </dataBar>
      <extLst>
        <ext xmlns:x14="http://schemas.microsoft.com/office/spreadsheetml/2009/9/main" uri="{B025F937-C7B1-47D3-B67F-A62EFF666E3E}">
          <x14:id>{789A2993-C633-4BBB-AC6F-E96586E63AAF}</x14:id>
        </ext>
      </extLst>
    </cfRule>
  </conditionalFormatting>
  <conditionalFormatting sqref="U77">
    <cfRule type="dataBar" priority="5313">
      <dataBar>
        <cfvo type="min"/>
        <cfvo type="max"/>
        <color rgb="FF008AEF"/>
      </dataBar>
      <extLst>
        <ext xmlns:x14="http://schemas.microsoft.com/office/spreadsheetml/2009/9/main" uri="{B025F937-C7B1-47D3-B67F-A62EFF666E3E}">
          <x14:id>{1EC0837E-0004-44FD-A1EB-E9DE9076D929}</x14:id>
        </ext>
      </extLst>
    </cfRule>
  </conditionalFormatting>
  <conditionalFormatting sqref="U48">
    <cfRule type="dataBar" priority="5329">
      <dataBar>
        <cfvo type="min"/>
        <cfvo type="max"/>
        <color rgb="FF008AEF"/>
      </dataBar>
      <extLst>
        <ext xmlns:x14="http://schemas.microsoft.com/office/spreadsheetml/2009/9/main" uri="{B025F937-C7B1-47D3-B67F-A62EFF666E3E}">
          <x14:id>{A93EE0A6-75B4-4853-93BE-D7DE973BB5EC}</x14:id>
        </ext>
      </extLst>
    </cfRule>
  </conditionalFormatting>
  <conditionalFormatting sqref="U49">
    <cfRule type="dataBar" priority="5330">
      <dataBar>
        <cfvo type="min"/>
        <cfvo type="max"/>
        <color rgb="FF008AEF"/>
      </dataBar>
      <extLst>
        <ext xmlns:x14="http://schemas.microsoft.com/office/spreadsheetml/2009/9/main" uri="{B025F937-C7B1-47D3-B67F-A62EFF666E3E}">
          <x14:id>{B7738A2E-37EC-49D2-97A4-6F4BE74163B1}</x14:id>
        </ext>
      </extLst>
    </cfRule>
  </conditionalFormatting>
  <conditionalFormatting sqref="U85">
    <cfRule type="dataBar" priority="5361">
      <dataBar>
        <cfvo type="min"/>
        <cfvo type="max"/>
        <color rgb="FF008AEF"/>
      </dataBar>
      <extLst>
        <ext xmlns:x14="http://schemas.microsoft.com/office/spreadsheetml/2009/9/main" uri="{B025F937-C7B1-47D3-B67F-A62EFF666E3E}">
          <x14:id>{B9F4C0CC-A4BA-4A0C-8D22-7F6C7753F9F1}</x14:id>
        </ext>
      </extLst>
    </cfRule>
  </conditionalFormatting>
  <conditionalFormatting sqref="U86">
    <cfRule type="dataBar" priority="5362">
      <dataBar>
        <cfvo type="min"/>
        <cfvo type="max"/>
        <color rgb="FF008AEF"/>
      </dataBar>
      <extLst>
        <ext xmlns:x14="http://schemas.microsoft.com/office/spreadsheetml/2009/9/main" uri="{B025F937-C7B1-47D3-B67F-A62EFF666E3E}">
          <x14:id>{77B900E0-56CD-4FA5-91E9-43CEDC45ADEA}</x14:id>
        </ext>
      </extLst>
    </cfRule>
  </conditionalFormatting>
  <conditionalFormatting sqref="U115">
    <cfRule type="dataBar" priority="5425">
      <dataBar>
        <cfvo type="min"/>
        <cfvo type="max"/>
        <color rgb="FF008AEF"/>
      </dataBar>
      <extLst>
        <ext xmlns:x14="http://schemas.microsoft.com/office/spreadsheetml/2009/9/main" uri="{B025F937-C7B1-47D3-B67F-A62EFF666E3E}">
          <x14:id>{374AC314-C101-48B4-8AB5-EDB019A25176}</x14:id>
        </ext>
      </extLst>
    </cfRule>
  </conditionalFormatting>
  <conditionalFormatting sqref="U116">
    <cfRule type="dataBar" priority="5426">
      <dataBar>
        <cfvo type="min"/>
        <cfvo type="max"/>
        <color rgb="FF008AEF"/>
      </dataBar>
      <extLst>
        <ext xmlns:x14="http://schemas.microsoft.com/office/spreadsheetml/2009/9/main" uri="{B025F937-C7B1-47D3-B67F-A62EFF666E3E}">
          <x14:id>{8931CE58-0567-492A-A817-0455B353B31F}</x14:id>
        </ext>
      </extLst>
    </cfRule>
  </conditionalFormatting>
  <conditionalFormatting sqref="U130">
    <cfRule type="dataBar" priority="5450">
      <dataBar>
        <cfvo type="min"/>
        <cfvo type="max"/>
        <color rgb="FF008AEF"/>
      </dataBar>
      <extLst>
        <ext xmlns:x14="http://schemas.microsoft.com/office/spreadsheetml/2009/9/main" uri="{B025F937-C7B1-47D3-B67F-A62EFF666E3E}">
          <x14:id>{9663E0F3-8A93-4DE8-AAAF-438DE1206169}</x14:id>
        </ext>
      </extLst>
    </cfRule>
  </conditionalFormatting>
  <conditionalFormatting sqref="U141">
    <cfRule type="dataBar" priority="5489">
      <dataBar>
        <cfvo type="min"/>
        <cfvo type="max"/>
        <color rgb="FF008AEF"/>
      </dataBar>
      <extLst>
        <ext xmlns:x14="http://schemas.microsoft.com/office/spreadsheetml/2009/9/main" uri="{B025F937-C7B1-47D3-B67F-A62EFF666E3E}">
          <x14:id>{A1B4507D-AD8E-4EC1-968B-1F4689D09F6A}</x14:id>
        </ext>
      </extLst>
    </cfRule>
  </conditionalFormatting>
  <conditionalFormatting sqref="U142">
    <cfRule type="dataBar" priority="5490">
      <dataBar>
        <cfvo type="min"/>
        <cfvo type="max"/>
        <color rgb="FF008AEF"/>
      </dataBar>
      <extLst>
        <ext xmlns:x14="http://schemas.microsoft.com/office/spreadsheetml/2009/9/main" uri="{B025F937-C7B1-47D3-B67F-A62EFF666E3E}">
          <x14:id>{864F7EEF-5DB7-481A-9685-B5B7547E0D47}</x14:id>
        </ext>
      </extLst>
    </cfRule>
  </conditionalFormatting>
  <conditionalFormatting sqref="V144:V145">
    <cfRule type="dataBar" priority="5513">
      <dataBar>
        <cfvo type="min"/>
        <cfvo type="max"/>
        <color rgb="FF008AEF"/>
      </dataBar>
      <extLst>
        <ext xmlns:x14="http://schemas.microsoft.com/office/spreadsheetml/2009/9/main" uri="{B025F937-C7B1-47D3-B67F-A62EFF666E3E}">
          <x14:id>{09A3E289-3491-451C-AE88-3C58137BD597}</x14:id>
        </ext>
      </extLst>
    </cfRule>
  </conditionalFormatting>
  <conditionalFormatting sqref="V50">
    <cfRule type="dataBar" priority="46">
      <dataBar>
        <cfvo type="min"/>
        <cfvo type="max"/>
        <color rgb="FF008AEF"/>
      </dataBar>
      <extLst>
        <ext xmlns:x14="http://schemas.microsoft.com/office/spreadsheetml/2009/9/main" uri="{B025F937-C7B1-47D3-B67F-A62EFF666E3E}">
          <x14:id>{2A882E1B-22E0-4741-ACA3-1F829B4A161D}</x14:id>
        </ext>
      </extLst>
    </cfRule>
  </conditionalFormatting>
  <conditionalFormatting sqref="AE50">
    <cfRule type="dataBar" priority="45">
      <dataBar>
        <cfvo type="min"/>
        <cfvo type="max"/>
        <color rgb="FF008AEF"/>
      </dataBar>
      <extLst>
        <ext xmlns:x14="http://schemas.microsoft.com/office/spreadsheetml/2009/9/main" uri="{B025F937-C7B1-47D3-B67F-A62EFF666E3E}">
          <x14:id>{8D7DF306-1AFE-43CC-A6DE-676C0D9707E8}</x14:id>
        </ext>
      </extLst>
    </cfRule>
  </conditionalFormatting>
  <conditionalFormatting sqref="V79:V84">
    <cfRule type="dataBar" priority="44">
      <dataBar>
        <cfvo type="min"/>
        <cfvo type="max"/>
        <color rgb="FF008AEF"/>
      </dataBar>
      <extLst>
        <ext xmlns:x14="http://schemas.microsoft.com/office/spreadsheetml/2009/9/main" uri="{B025F937-C7B1-47D3-B67F-A62EFF666E3E}">
          <x14:id>{BF90F7BB-4F6A-4912-BB7D-B049B469B9BF}</x14:id>
        </ext>
      </extLst>
    </cfRule>
  </conditionalFormatting>
  <conditionalFormatting sqref="AE79:AE84">
    <cfRule type="dataBar" priority="43">
      <dataBar>
        <cfvo type="min"/>
        <cfvo type="max"/>
        <color rgb="FF008AEF"/>
      </dataBar>
      <extLst>
        <ext xmlns:x14="http://schemas.microsoft.com/office/spreadsheetml/2009/9/main" uri="{B025F937-C7B1-47D3-B67F-A62EFF666E3E}">
          <x14:id>{220B736E-BF28-4497-AAB0-AE5BB2520F6A}</x14:id>
        </ext>
      </extLst>
    </cfRule>
  </conditionalFormatting>
  <conditionalFormatting sqref="X132">
    <cfRule type="dataBar" priority="31">
      <dataBar>
        <cfvo type="min"/>
        <cfvo type="max"/>
        <color rgb="FF008AEF"/>
      </dataBar>
      <extLst>
        <ext xmlns:x14="http://schemas.microsoft.com/office/spreadsheetml/2009/9/main" uri="{B025F937-C7B1-47D3-B67F-A62EFF666E3E}">
          <x14:id>{2522F17E-B1D8-4548-8C93-771F8044A7B9}</x14:id>
        </ext>
      </extLst>
    </cfRule>
  </conditionalFormatting>
  <conditionalFormatting sqref="Z132">
    <cfRule type="dataBar" priority="32">
      <dataBar>
        <cfvo type="min"/>
        <cfvo type="max"/>
        <color rgb="FF008AEF"/>
      </dataBar>
      <extLst>
        <ext xmlns:x14="http://schemas.microsoft.com/office/spreadsheetml/2009/9/main" uri="{B025F937-C7B1-47D3-B67F-A62EFF666E3E}">
          <x14:id>{B524CDDB-0782-4FE9-9425-ADBEFA719CBF}</x14:id>
        </ext>
      </extLst>
    </cfRule>
  </conditionalFormatting>
  <conditionalFormatting sqref="AB132">
    <cfRule type="dataBar" priority="33">
      <dataBar>
        <cfvo type="min"/>
        <cfvo type="max"/>
        <color rgb="FF008AEF"/>
      </dataBar>
      <extLst>
        <ext xmlns:x14="http://schemas.microsoft.com/office/spreadsheetml/2009/9/main" uri="{B025F937-C7B1-47D3-B67F-A62EFF666E3E}">
          <x14:id>{1BFE3B73-A4B3-4DE1-AF65-E6707910EA52}</x14:id>
        </ext>
      </extLst>
    </cfRule>
  </conditionalFormatting>
  <conditionalFormatting sqref="AG132">
    <cfRule type="dataBar" priority="34">
      <dataBar>
        <cfvo type="min"/>
        <cfvo type="max"/>
        <color rgb="FF008AEF"/>
      </dataBar>
      <extLst>
        <ext xmlns:x14="http://schemas.microsoft.com/office/spreadsheetml/2009/9/main" uri="{B025F937-C7B1-47D3-B67F-A62EFF666E3E}">
          <x14:id>{0C620BB6-A28F-4B37-BB53-B323A0AD05FC}</x14:id>
        </ext>
      </extLst>
    </cfRule>
  </conditionalFormatting>
  <conditionalFormatting sqref="AI132">
    <cfRule type="dataBar" priority="35">
      <dataBar>
        <cfvo type="min"/>
        <cfvo type="max"/>
        <color rgb="FF008AEF"/>
      </dataBar>
      <extLst>
        <ext xmlns:x14="http://schemas.microsoft.com/office/spreadsheetml/2009/9/main" uri="{B025F937-C7B1-47D3-B67F-A62EFF666E3E}">
          <x14:id>{BF2EB3A6-3E0F-4E5F-BAA6-1670FCC8D5A1}</x14:id>
        </ext>
      </extLst>
    </cfRule>
  </conditionalFormatting>
  <conditionalFormatting sqref="AK132">
    <cfRule type="dataBar" priority="36">
      <dataBar>
        <cfvo type="min"/>
        <cfvo type="max"/>
        <color rgb="FF008AEF"/>
      </dataBar>
      <extLst>
        <ext xmlns:x14="http://schemas.microsoft.com/office/spreadsheetml/2009/9/main" uri="{B025F937-C7B1-47D3-B67F-A62EFF666E3E}">
          <x14:id>{A4454477-7EAC-4261-BDDF-CCF99196EB2D}</x14:id>
        </ext>
      </extLst>
    </cfRule>
  </conditionalFormatting>
  <conditionalFormatting sqref="X133">
    <cfRule type="dataBar" priority="25">
      <dataBar>
        <cfvo type="min"/>
        <cfvo type="max"/>
        <color rgb="FF008AEF"/>
      </dataBar>
      <extLst>
        <ext xmlns:x14="http://schemas.microsoft.com/office/spreadsheetml/2009/9/main" uri="{B025F937-C7B1-47D3-B67F-A62EFF666E3E}">
          <x14:id>{399A4B0C-FC86-4DE6-AD4C-3E8F960DC452}</x14:id>
        </ext>
      </extLst>
    </cfRule>
  </conditionalFormatting>
  <conditionalFormatting sqref="Z133">
    <cfRule type="dataBar" priority="26">
      <dataBar>
        <cfvo type="min"/>
        <cfvo type="max"/>
        <color rgb="FF008AEF"/>
      </dataBar>
      <extLst>
        <ext xmlns:x14="http://schemas.microsoft.com/office/spreadsheetml/2009/9/main" uri="{B025F937-C7B1-47D3-B67F-A62EFF666E3E}">
          <x14:id>{10D65AF0-C8B7-4ED6-9BF0-EBF859D0CA30}</x14:id>
        </ext>
      </extLst>
    </cfRule>
  </conditionalFormatting>
  <conditionalFormatting sqref="AB133">
    <cfRule type="dataBar" priority="27">
      <dataBar>
        <cfvo type="min"/>
        <cfvo type="max"/>
        <color rgb="FF008AEF"/>
      </dataBar>
      <extLst>
        <ext xmlns:x14="http://schemas.microsoft.com/office/spreadsheetml/2009/9/main" uri="{B025F937-C7B1-47D3-B67F-A62EFF666E3E}">
          <x14:id>{CB9D1B79-A9CC-491C-B4B8-3C597DB0BA00}</x14:id>
        </ext>
      </extLst>
    </cfRule>
  </conditionalFormatting>
  <conditionalFormatting sqref="AG133">
    <cfRule type="dataBar" priority="28">
      <dataBar>
        <cfvo type="min"/>
        <cfvo type="max"/>
        <color rgb="FF008AEF"/>
      </dataBar>
      <extLst>
        <ext xmlns:x14="http://schemas.microsoft.com/office/spreadsheetml/2009/9/main" uri="{B025F937-C7B1-47D3-B67F-A62EFF666E3E}">
          <x14:id>{9980F1F4-547F-46C7-9C52-B6E49C3512D1}</x14:id>
        </ext>
      </extLst>
    </cfRule>
  </conditionalFormatting>
  <conditionalFormatting sqref="AI133">
    <cfRule type="dataBar" priority="29">
      <dataBar>
        <cfvo type="min"/>
        <cfvo type="max"/>
        <color rgb="FF008AEF"/>
      </dataBar>
      <extLst>
        <ext xmlns:x14="http://schemas.microsoft.com/office/spreadsheetml/2009/9/main" uri="{B025F937-C7B1-47D3-B67F-A62EFF666E3E}">
          <x14:id>{B1689A4D-FE44-4F5C-B487-2AA752FFA8AF}</x14:id>
        </ext>
      </extLst>
    </cfRule>
  </conditionalFormatting>
  <conditionalFormatting sqref="AK133">
    <cfRule type="dataBar" priority="30">
      <dataBar>
        <cfvo type="min"/>
        <cfvo type="max"/>
        <color rgb="FF008AEF"/>
      </dataBar>
      <extLst>
        <ext xmlns:x14="http://schemas.microsoft.com/office/spreadsheetml/2009/9/main" uri="{B025F937-C7B1-47D3-B67F-A62EFF666E3E}">
          <x14:id>{7625CFF5-CAB6-4C52-ABA3-57B0FC52D974}</x14:id>
        </ext>
      </extLst>
    </cfRule>
  </conditionalFormatting>
  <conditionalFormatting sqref="X134">
    <cfRule type="dataBar" priority="19">
      <dataBar>
        <cfvo type="min"/>
        <cfvo type="max"/>
        <color rgb="FF008AEF"/>
      </dataBar>
      <extLst>
        <ext xmlns:x14="http://schemas.microsoft.com/office/spreadsheetml/2009/9/main" uri="{B025F937-C7B1-47D3-B67F-A62EFF666E3E}">
          <x14:id>{9A278261-CDE5-4143-90E8-C2C1DF86CE86}</x14:id>
        </ext>
      </extLst>
    </cfRule>
  </conditionalFormatting>
  <conditionalFormatting sqref="Z134">
    <cfRule type="dataBar" priority="20">
      <dataBar>
        <cfvo type="min"/>
        <cfvo type="max"/>
        <color rgb="FF008AEF"/>
      </dataBar>
      <extLst>
        <ext xmlns:x14="http://schemas.microsoft.com/office/spreadsheetml/2009/9/main" uri="{B025F937-C7B1-47D3-B67F-A62EFF666E3E}">
          <x14:id>{76459E54-4C00-443F-ADAE-128B48B866A0}</x14:id>
        </ext>
      </extLst>
    </cfRule>
  </conditionalFormatting>
  <conditionalFormatting sqref="AB134">
    <cfRule type="dataBar" priority="21">
      <dataBar>
        <cfvo type="min"/>
        <cfvo type="max"/>
        <color rgb="FF008AEF"/>
      </dataBar>
      <extLst>
        <ext xmlns:x14="http://schemas.microsoft.com/office/spreadsheetml/2009/9/main" uri="{B025F937-C7B1-47D3-B67F-A62EFF666E3E}">
          <x14:id>{97B26D2D-F328-4AA0-A9EA-8945B8F46D6C}</x14:id>
        </ext>
      </extLst>
    </cfRule>
  </conditionalFormatting>
  <conditionalFormatting sqref="AG134">
    <cfRule type="dataBar" priority="22">
      <dataBar>
        <cfvo type="min"/>
        <cfvo type="max"/>
        <color rgb="FF008AEF"/>
      </dataBar>
      <extLst>
        <ext xmlns:x14="http://schemas.microsoft.com/office/spreadsheetml/2009/9/main" uri="{B025F937-C7B1-47D3-B67F-A62EFF666E3E}">
          <x14:id>{4B9D6CF0-B907-41D4-B8AF-23C59A51FD21}</x14:id>
        </ext>
      </extLst>
    </cfRule>
  </conditionalFormatting>
  <conditionalFormatting sqref="AI134">
    <cfRule type="dataBar" priority="23">
      <dataBar>
        <cfvo type="min"/>
        <cfvo type="max"/>
        <color rgb="FF008AEF"/>
      </dataBar>
      <extLst>
        <ext xmlns:x14="http://schemas.microsoft.com/office/spreadsheetml/2009/9/main" uri="{B025F937-C7B1-47D3-B67F-A62EFF666E3E}">
          <x14:id>{EDC7B162-A240-41F4-BDF6-64B3B7BAE70F}</x14:id>
        </ext>
      </extLst>
    </cfRule>
  </conditionalFormatting>
  <conditionalFormatting sqref="AK134">
    <cfRule type="dataBar" priority="24">
      <dataBar>
        <cfvo type="min"/>
        <cfvo type="max"/>
        <color rgb="FF008AEF"/>
      </dataBar>
      <extLst>
        <ext xmlns:x14="http://schemas.microsoft.com/office/spreadsheetml/2009/9/main" uri="{B025F937-C7B1-47D3-B67F-A62EFF666E3E}">
          <x14:id>{5D7F923F-2CD2-448F-B867-A8A7CFBA2085}</x14:id>
        </ext>
      </extLst>
    </cfRule>
  </conditionalFormatting>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EE7E7DBA-833B-49F1-B7A3-808A958C3760}">
            <x14:dataBar minLength="0" maxLength="100" border="1" negativeBarBorderColorSameAsPositive="0">
              <x14:cfvo type="autoMin"/>
              <x14:cfvo type="autoMax"/>
              <x14:borderColor rgb="FF008AEF"/>
              <x14:negativeFillColor rgb="FFFF0000"/>
              <x14:negativeBorderColor rgb="FFFF0000"/>
              <x14:axisColor rgb="FF000000"/>
            </x14:dataBar>
          </x14:cfRule>
          <xm:sqref>AL48 AA48 Y48 W48 AJ48 AH48 AC48:AD48 AF48</xm:sqref>
        </x14:conditionalFormatting>
        <x14:conditionalFormatting xmlns:xm="http://schemas.microsoft.com/office/excel/2006/main">
          <x14:cfRule type="dataBar" id="{BCC009E0-7343-4EC9-8D05-72ED3EF3B273}">
            <x14:dataBar minLength="0" maxLength="100" border="1" negativeBarBorderColorSameAsPositive="0">
              <x14:cfvo type="autoMin"/>
              <x14:cfvo type="autoMax"/>
              <x14:borderColor rgb="FF008AEF"/>
              <x14:negativeFillColor rgb="FFFF0000"/>
              <x14:negativeBorderColor rgb="FFFF0000"/>
              <x14:axisColor rgb="FF000000"/>
            </x14:dataBar>
          </x14:cfRule>
          <xm:sqref>AL59 U59 AA59 Y59 W59 AJ59 AH59 AC59:AD59 AF59</xm:sqref>
        </x14:conditionalFormatting>
        <x14:conditionalFormatting xmlns:xm="http://schemas.microsoft.com/office/excel/2006/main">
          <x14:cfRule type="dataBar" id="{D11DD312-3D19-471A-81AA-CF7CBEFC8461}">
            <x14:dataBar minLength="0" maxLength="100" border="1" negativeBarBorderColorSameAsPositive="0">
              <x14:cfvo type="autoMin"/>
              <x14:cfvo type="autoMax"/>
              <x14:borderColor rgb="FF008AEF"/>
              <x14:negativeFillColor rgb="FFFF0000"/>
              <x14:negativeBorderColor rgb="FFFF0000"/>
              <x14:axisColor rgb="FF000000"/>
            </x14:dataBar>
          </x14:cfRule>
          <xm:sqref>X59</xm:sqref>
        </x14:conditionalFormatting>
        <x14:conditionalFormatting xmlns:xm="http://schemas.microsoft.com/office/excel/2006/main">
          <x14:cfRule type="dataBar" id="{7D7337CE-EC94-45A1-AB4F-A771DB22D985}">
            <x14:dataBar minLength="0" maxLength="100" border="1" negativeBarBorderColorSameAsPositive="0">
              <x14:cfvo type="autoMin"/>
              <x14:cfvo type="autoMax"/>
              <x14:borderColor rgb="FF008AEF"/>
              <x14:negativeFillColor rgb="FFFF0000"/>
              <x14:negativeBorderColor rgb="FFFF0000"/>
              <x14:axisColor rgb="FF000000"/>
            </x14:dataBar>
          </x14:cfRule>
          <xm:sqref>Z59</xm:sqref>
        </x14:conditionalFormatting>
        <x14:conditionalFormatting xmlns:xm="http://schemas.microsoft.com/office/excel/2006/main">
          <x14:cfRule type="dataBar" id="{540CA410-AC31-43CF-AB74-DD65A757E349}">
            <x14:dataBar minLength="0" maxLength="100" border="1" negativeBarBorderColorSameAsPositive="0">
              <x14:cfvo type="autoMin"/>
              <x14:cfvo type="autoMax"/>
              <x14:borderColor rgb="FF008AEF"/>
              <x14:negativeFillColor rgb="FFFF0000"/>
              <x14:negativeBorderColor rgb="FFFF0000"/>
              <x14:axisColor rgb="FF000000"/>
            </x14:dataBar>
          </x14:cfRule>
          <xm:sqref>AB59</xm:sqref>
        </x14:conditionalFormatting>
        <x14:conditionalFormatting xmlns:xm="http://schemas.microsoft.com/office/excel/2006/main">
          <x14:cfRule type="dataBar" id="{848F0C01-C5B8-435F-9A12-E712DD4B7499}">
            <x14:dataBar minLength="0" maxLength="100" border="1" negativeBarBorderColorSameAsPositive="0">
              <x14:cfvo type="autoMin"/>
              <x14:cfvo type="autoMax"/>
              <x14:borderColor rgb="FF008AEF"/>
              <x14:negativeFillColor rgb="FFFF0000"/>
              <x14:negativeBorderColor rgb="FFFF0000"/>
              <x14:axisColor rgb="FF000000"/>
            </x14:dataBar>
          </x14:cfRule>
          <xm:sqref>AG59</xm:sqref>
        </x14:conditionalFormatting>
        <x14:conditionalFormatting xmlns:xm="http://schemas.microsoft.com/office/excel/2006/main">
          <x14:cfRule type="dataBar" id="{158F6A12-C65D-4A09-8D35-DFF31DFE7E95}">
            <x14:dataBar minLength="0" maxLength="100" border="1" negativeBarBorderColorSameAsPositive="0">
              <x14:cfvo type="autoMin"/>
              <x14:cfvo type="autoMax"/>
              <x14:borderColor rgb="FF008AEF"/>
              <x14:negativeFillColor rgb="FFFF0000"/>
              <x14:negativeBorderColor rgb="FFFF0000"/>
              <x14:axisColor rgb="FF000000"/>
            </x14:dataBar>
          </x14:cfRule>
          <xm:sqref>AI59</xm:sqref>
        </x14:conditionalFormatting>
        <x14:conditionalFormatting xmlns:xm="http://schemas.microsoft.com/office/excel/2006/main">
          <x14:cfRule type="dataBar" id="{52017958-0E0C-4212-8986-6438512BC502}">
            <x14:dataBar minLength="0" maxLength="100" border="1" negativeBarBorderColorSameAsPositive="0">
              <x14:cfvo type="autoMin"/>
              <x14:cfvo type="autoMax"/>
              <x14:borderColor rgb="FF008AEF"/>
              <x14:negativeFillColor rgb="FFFF0000"/>
              <x14:negativeBorderColor rgb="FFFF0000"/>
              <x14:axisColor rgb="FF000000"/>
            </x14:dataBar>
          </x14:cfRule>
          <xm:sqref>AK59</xm:sqref>
        </x14:conditionalFormatting>
        <x14:conditionalFormatting xmlns:xm="http://schemas.microsoft.com/office/excel/2006/main">
          <x14:cfRule type="dataBar" id="{7F59F68D-1830-43C8-B29E-4BA25B3F52BC}">
            <x14:dataBar minLength="0" maxLength="100" border="1" negativeBarBorderColorSameAsPositive="0">
              <x14:cfvo type="autoMin"/>
              <x14:cfvo type="autoMax"/>
              <x14:borderColor rgb="FF008AEF"/>
              <x14:negativeFillColor rgb="FFFF0000"/>
              <x14:negativeBorderColor rgb="FFFF0000"/>
              <x14:axisColor rgb="FF000000"/>
            </x14:dataBar>
          </x14:cfRule>
          <xm:sqref>U66 AL66 AA66 Y66 W66 AJ66 AH66 AC66:AD66 AF66</xm:sqref>
        </x14:conditionalFormatting>
        <x14:conditionalFormatting xmlns:xm="http://schemas.microsoft.com/office/excel/2006/main">
          <x14:cfRule type="dataBar" id="{58DC79A6-37DA-4276-BD4A-E0CF139D148F}">
            <x14:dataBar minLength="0" maxLength="100" border="1" negativeBarBorderColorSameAsPositive="0">
              <x14:cfvo type="autoMin"/>
              <x14:cfvo type="autoMax"/>
              <x14:borderColor rgb="FF008AEF"/>
              <x14:negativeFillColor rgb="FFFF0000"/>
              <x14:negativeBorderColor rgb="FFFF0000"/>
              <x14:axisColor rgb="FF000000"/>
            </x14:dataBar>
          </x14:cfRule>
          <xm:sqref>X66</xm:sqref>
        </x14:conditionalFormatting>
        <x14:conditionalFormatting xmlns:xm="http://schemas.microsoft.com/office/excel/2006/main">
          <x14:cfRule type="dataBar" id="{CC0B68AE-CE0A-460C-86F0-D7BFBEEB76B6}">
            <x14:dataBar minLength="0" maxLength="100" border="1" negativeBarBorderColorSameAsPositive="0">
              <x14:cfvo type="autoMin"/>
              <x14:cfvo type="autoMax"/>
              <x14:borderColor rgb="FF008AEF"/>
              <x14:negativeFillColor rgb="FFFF0000"/>
              <x14:negativeBorderColor rgb="FFFF0000"/>
              <x14:axisColor rgb="FF000000"/>
            </x14:dataBar>
          </x14:cfRule>
          <xm:sqref>Z66</xm:sqref>
        </x14:conditionalFormatting>
        <x14:conditionalFormatting xmlns:xm="http://schemas.microsoft.com/office/excel/2006/main">
          <x14:cfRule type="dataBar" id="{CF0A1233-0AA0-4733-89F0-657C21949015}">
            <x14:dataBar minLength="0" maxLength="100" border="1" negativeBarBorderColorSameAsPositive="0">
              <x14:cfvo type="autoMin"/>
              <x14:cfvo type="autoMax"/>
              <x14:borderColor rgb="FF008AEF"/>
              <x14:negativeFillColor rgb="FFFF0000"/>
              <x14:negativeBorderColor rgb="FFFF0000"/>
              <x14:axisColor rgb="FF000000"/>
            </x14:dataBar>
          </x14:cfRule>
          <xm:sqref>AB66</xm:sqref>
        </x14:conditionalFormatting>
        <x14:conditionalFormatting xmlns:xm="http://schemas.microsoft.com/office/excel/2006/main">
          <x14:cfRule type="dataBar" id="{3626ECFD-4F34-4CE2-8CDA-6BC403265878}">
            <x14:dataBar minLength="0" maxLength="100" border="1" negativeBarBorderColorSameAsPositive="0">
              <x14:cfvo type="autoMin"/>
              <x14:cfvo type="autoMax"/>
              <x14:borderColor rgb="FF008AEF"/>
              <x14:negativeFillColor rgb="FFFF0000"/>
              <x14:negativeBorderColor rgb="FFFF0000"/>
              <x14:axisColor rgb="FF000000"/>
            </x14:dataBar>
          </x14:cfRule>
          <xm:sqref>AG66</xm:sqref>
        </x14:conditionalFormatting>
        <x14:conditionalFormatting xmlns:xm="http://schemas.microsoft.com/office/excel/2006/main">
          <x14:cfRule type="dataBar" id="{04074C78-69FD-410B-B532-882150085745}">
            <x14:dataBar minLength="0" maxLength="100" border="1" negativeBarBorderColorSameAsPositive="0">
              <x14:cfvo type="autoMin"/>
              <x14:cfvo type="autoMax"/>
              <x14:borderColor rgb="FF008AEF"/>
              <x14:negativeFillColor rgb="FFFF0000"/>
              <x14:negativeBorderColor rgb="FFFF0000"/>
              <x14:axisColor rgb="FF000000"/>
            </x14:dataBar>
          </x14:cfRule>
          <xm:sqref>AI66</xm:sqref>
        </x14:conditionalFormatting>
        <x14:conditionalFormatting xmlns:xm="http://schemas.microsoft.com/office/excel/2006/main">
          <x14:cfRule type="dataBar" id="{47331048-39F5-48CE-95BF-EDA5CE7EC073}">
            <x14:dataBar minLength="0" maxLength="100" border="1" negativeBarBorderColorSameAsPositive="0">
              <x14:cfvo type="autoMin"/>
              <x14:cfvo type="autoMax"/>
              <x14:borderColor rgb="FF008AEF"/>
              <x14:negativeFillColor rgb="FFFF0000"/>
              <x14:negativeBorderColor rgb="FFFF0000"/>
              <x14:axisColor rgb="FF000000"/>
            </x14:dataBar>
          </x14:cfRule>
          <xm:sqref>AK66</xm:sqref>
        </x14:conditionalFormatting>
        <x14:conditionalFormatting xmlns:xm="http://schemas.microsoft.com/office/excel/2006/main">
          <x14:cfRule type="dataBar" id="{71EEB247-8703-4FE5-B236-07750244F069}">
            <x14:dataBar minLength="0" maxLength="100" border="1" negativeBarBorderColorSameAsPositive="0">
              <x14:cfvo type="autoMin"/>
              <x14:cfvo type="autoMax"/>
              <x14:borderColor rgb="FF008AEF"/>
              <x14:negativeFillColor rgb="FFFF0000"/>
              <x14:negativeBorderColor rgb="FFFF0000"/>
              <x14:axisColor rgb="FF000000"/>
            </x14:dataBar>
          </x14:cfRule>
          <xm:sqref>U67 AL67 AA67 Y67 W67 AJ67 AH67 AC67:AD67 AF67</xm:sqref>
        </x14:conditionalFormatting>
        <x14:conditionalFormatting xmlns:xm="http://schemas.microsoft.com/office/excel/2006/main">
          <x14:cfRule type="dataBar" id="{5EF72394-BBC2-4095-9221-CB5A79CB8A18}">
            <x14:dataBar minLength="0" maxLength="100" border="1" negativeBarBorderColorSameAsPositive="0">
              <x14:cfvo type="autoMin"/>
              <x14:cfvo type="autoMax"/>
              <x14:borderColor rgb="FF008AEF"/>
              <x14:negativeFillColor rgb="FFFF0000"/>
              <x14:negativeBorderColor rgb="FFFF0000"/>
              <x14:axisColor rgb="FF000000"/>
            </x14:dataBar>
          </x14:cfRule>
          <xm:sqref>X67</xm:sqref>
        </x14:conditionalFormatting>
        <x14:conditionalFormatting xmlns:xm="http://schemas.microsoft.com/office/excel/2006/main">
          <x14:cfRule type="dataBar" id="{063B7066-8BF9-4ABF-BAB8-A8E6D99A5950}">
            <x14:dataBar minLength="0" maxLength="100" border="1" negativeBarBorderColorSameAsPositive="0">
              <x14:cfvo type="autoMin"/>
              <x14:cfvo type="autoMax"/>
              <x14:borderColor rgb="FF008AEF"/>
              <x14:negativeFillColor rgb="FFFF0000"/>
              <x14:negativeBorderColor rgb="FFFF0000"/>
              <x14:axisColor rgb="FF000000"/>
            </x14:dataBar>
          </x14:cfRule>
          <xm:sqref>Z67</xm:sqref>
        </x14:conditionalFormatting>
        <x14:conditionalFormatting xmlns:xm="http://schemas.microsoft.com/office/excel/2006/main">
          <x14:cfRule type="dataBar" id="{D9B5D389-7F69-4436-A92A-4808CF0AC493}">
            <x14:dataBar minLength="0" maxLength="100" border="1" negativeBarBorderColorSameAsPositive="0">
              <x14:cfvo type="autoMin"/>
              <x14:cfvo type="autoMax"/>
              <x14:borderColor rgb="FF008AEF"/>
              <x14:negativeFillColor rgb="FFFF0000"/>
              <x14:negativeBorderColor rgb="FFFF0000"/>
              <x14:axisColor rgb="FF000000"/>
            </x14:dataBar>
          </x14:cfRule>
          <xm:sqref>AB67</xm:sqref>
        </x14:conditionalFormatting>
        <x14:conditionalFormatting xmlns:xm="http://schemas.microsoft.com/office/excel/2006/main">
          <x14:cfRule type="dataBar" id="{36598FF9-3351-48EF-B747-051D8B4BDD9C}">
            <x14:dataBar minLength="0" maxLength="100" border="1" negativeBarBorderColorSameAsPositive="0">
              <x14:cfvo type="autoMin"/>
              <x14:cfvo type="autoMax"/>
              <x14:borderColor rgb="FF008AEF"/>
              <x14:negativeFillColor rgb="FFFF0000"/>
              <x14:negativeBorderColor rgb="FFFF0000"/>
              <x14:axisColor rgb="FF000000"/>
            </x14:dataBar>
          </x14:cfRule>
          <xm:sqref>AG67</xm:sqref>
        </x14:conditionalFormatting>
        <x14:conditionalFormatting xmlns:xm="http://schemas.microsoft.com/office/excel/2006/main">
          <x14:cfRule type="dataBar" id="{3F346B44-ADAC-4192-B9A4-0AEC77EF178C}">
            <x14:dataBar minLength="0" maxLength="100" border="1" negativeBarBorderColorSameAsPositive="0">
              <x14:cfvo type="autoMin"/>
              <x14:cfvo type="autoMax"/>
              <x14:borderColor rgb="FF008AEF"/>
              <x14:negativeFillColor rgb="FFFF0000"/>
              <x14:negativeBorderColor rgb="FFFF0000"/>
              <x14:axisColor rgb="FF000000"/>
            </x14:dataBar>
          </x14:cfRule>
          <xm:sqref>AI67</xm:sqref>
        </x14:conditionalFormatting>
        <x14:conditionalFormatting xmlns:xm="http://schemas.microsoft.com/office/excel/2006/main">
          <x14:cfRule type="dataBar" id="{AED35A54-A1C3-4DAF-B7EC-B8967EB46D34}">
            <x14:dataBar minLength="0" maxLength="100" border="1" negativeBarBorderColorSameAsPositive="0">
              <x14:cfvo type="autoMin"/>
              <x14:cfvo type="autoMax"/>
              <x14:borderColor rgb="FF008AEF"/>
              <x14:negativeFillColor rgb="FFFF0000"/>
              <x14:negativeBorderColor rgb="FFFF0000"/>
              <x14:axisColor rgb="FF000000"/>
            </x14:dataBar>
          </x14:cfRule>
          <xm:sqref>AK67</xm:sqref>
        </x14:conditionalFormatting>
        <x14:conditionalFormatting xmlns:xm="http://schemas.microsoft.com/office/excel/2006/main">
          <x14:cfRule type="dataBar" id="{B315923A-1FCB-4C1F-9DEE-8E7D6C48AE12}">
            <x14:dataBar minLength="0" maxLength="100" border="1" negativeBarBorderColorSameAsPositive="0">
              <x14:cfvo type="autoMin"/>
              <x14:cfvo type="autoMax"/>
              <x14:borderColor rgb="FF008AEF"/>
              <x14:negativeFillColor rgb="FFFF0000"/>
              <x14:negativeBorderColor rgb="FFFF0000"/>
              <x14:axisColor rgb="FF000000"/>
            </x14:dataBar>
          </x14:cfRule>
          <xm:sqref>U70 AL70 AA70 Y70 W70 AJ70 AH70 AC70:AD70 AF70</xm:sqref>
        </x14:conditionalFormatting>
        <x14:conditionalFormatting xmlns:xm="http://schemas.microsoft.com/office/excel/2006/main">
          <x14:cfRule type="dataBar" id="{6BE5D550-2461-46A3-A982-611CDFF81362}">
            <x14:dataBar minLength="0" maxLength="100" border="1" negativeBarBorderColorSameAsPositive="0">
              <x14:cfvo type="autoMin"/>
              <x14:cfvo type="autoMax"/>
              <x14:borderColor rgb="FF008AEF"/>
              <x14:negativeFillColor rgb="FFFF0000"/>
              <x14:negativeBorderColor rgb="FFFF0000"/>
              <x14:axisColor rgb="FF000000"/>
            </x14:dataBar>
          </x14:cfRule>
          <xm:sqref>X70</xm:sqref>
        </x14:conditionalFormatting>
        <x14:conditionalFormatting xmlns:xm="http://schemas.microsoft.com/office/excel/2006/main">
          <x14:cfRule type="dataBar" id="{DCB60F66-BA67-4811-959C-6DF3B62E4162}">
            <x14:dataBar minLength="0" maxLength="100" border="1" negativeBarBorderColorSameAsPositive="0">
              <x14:cfvo type="autoMin"/>
              <x14:cfvo type="autoMax"/>
              <x14:borderColor rgb="FF008AEF"/>
              <x14:negativeFillColor rgb="FFFF0000"/>
              <x14:negativeBorderColor rgb="FFFF0000"/>
              <x14:axisColor rgb="FF000000"/>
            </x14:dataBar>
          </x14:cfRule>
          <xm:sqref>Z70</xm:sqref>
        </x14:conditionalFormatting>
        <x14:conditionalFormatting xmlns:xm="http://schemas.microsoft.com/office/excel/2006/main">
          <x14:cfRule type="dataBar" id="{EC9252D7-0B06-4199-85D3-86D286AD12EB}">
            <x14:dataBar minLength="0" maxLength="100" border="1" negativeBarBorderColorSameAsPositive="0">
              <x14:cfvo type="autoMin"/>
              <x14:cfvo type="autoMax"/>
              <x14:borderColor rgb="FF008AEF"/>
              <x14:negativeFillColor rgb="FFFF0000"/>
              <x14:negativeBorderColor rgb="FFFF0000"/>
              <x14:axisColor rgb="FF000000"/>
            </x14:dataBar>
          </x14:cfRule>
          <xm:sqref>AB70</xm:sqref>
        </x14:conditionalFormatting>
        <x14:conditionalFormatting xmlns:xm="http://schemas.microsoft.com/office/excel/2006/main">
          <x14:cfRule type="dataBar" id="{05D30188-7E6D-4986-B31B-B400A1B4A934}">
            <x14:dataBar minLength="0" maxLength="100" border="1" negativeBarBorderColorSameAsPositive="0">
              <x14:cfvo type="autoMin"/>
              <x14:cfvo type="autoMax"/>
              <x14:borderColor rgb="FF008AEF"/>
              <x14:negativeFillColor rgb="FFFF0000"/>
              <x14:negativeBorderColor rgb="FFFF0000"/>
              <x14:axisColor rgb="FF000000"/>
            </x14:dataBar>
          </x14:cfRule>
          <xm:sqref>AG70</xm:sqref>
        </x14:conditionalFormatting>
        <x14:conditionalFormatting xmlns:xm="http://schemas.microsoft.com/office/excel/2006/main">
          <x14:cfRule type="dataBar" id="{B0ECEAD3-6465-402C-A3CC-28CDF371E271}">
            <x14:dataBar minLength="0" maxLength="100" border="1" negativeBarBorderColorSameAsPositive="0">
              <x14:cfvo type="autoMin"/>
              <x14:cfvo type="autoMax"/>
              <x14:borderColor rgb="FF008AEF"/>
              <x14:negativeFillColor rgb="FFFF0000"/>
              <x14:negativeBorderColor rgb="FFFF0000"/>
              <x14:axisColor rgb="FF000000"/>
            </x14:dataBar>
          </x14:cfRule>
          <xm:sqref>AI70</xm:sqref>
        </x14:conditionalFormatting>
        <x14:conditionalFormatting xmlns:xm="http://schemas.microsoft.com/office/excel/2006/main">
          <x14:cfRule type="dataBar" id="{E62BB869-8F07-4742-85A8-B0BEA198A702}">
            <x14:dataBar minLength="0" maxLength="100" border="1" negativeBarBorderColorSameAsPositive="0">
              <x14:cfvo type="autoMin"/>
              <x14:cfvo type="autoMax"/>
              <x14:borderColor rgb="FF008AEF"/>
              <x14:negativeFillColor rgb="FFFF0000"/>
              <x14:negativeBorderColor rgb="FFFF0000"/>
              <x14:axisColor rgb="FF000000"/>
            </x14:dataBar>
          </x14:cfRule>
          <xm:sqref>AK70</xm:sqref>
        </x14:conditionalFormatting>
        <x14:conditionalFormatting xmlns:xm="http://schemas.microsoft.com/office/excel/2006/main">
          <x14:cfRule type="dataBar" id="{84BB929D-7EB8-4061-B3BE-02CDF90B3554}">
            <x14:dataBar minLength="0" maxLength="100" border="1" negativeBarBorderColorSameAsPositive="0">
              <x14:cfvo type="autoMin"/>
              <x14:cfvo type="autoMax"/>
              <x14:borderColor rgb="FF008AEF"/>
              <x14:negativeFillColor rgb="FFFF0000"/>
              <x14:negativeBorderColor rgb="FFFF0000"/>
              <x14:axisColor rgb="FF000000"/>
            </x14:dataBar>
          </x14:cfRule>
          <xm:sqref>U73 AL73 AA73 Y73 W73 AJ73 AH73 AC73:AD73 AF73</xm:sqref>
        </x14:conditionalFormatting>
        <x14:conditionalFormatting xmlns:xm="http://schemas.microsoft.com/office/excel/2006/main">
          <x14:cfRule type="dataBar" id="{C87013C6-0151-4EEC-92EB-375512116A91}">
            <x14:dataBar minLength="0" maxLength="100" border="1" negativeBarBorderColorSameAsPositive="0">
              <x14:cfvo type="autoMin"/>
              <x14:cfvo type="autoMax"/>
              <x14:borderColor rgb="FF008AEF"/>
              <x14:negativeFillColor rgb="FFFF0000"/>
              <x14:negativeBorderColor rgb="FFFF0000"/>
              <x14:axisColor rgb="FF000000"/>
            </x14:dataBar>
          </x14:cfRule>
          <xm:sqref>X73</xm:sqref>
        </x14:conditionalFormatting>
        <x14:conditionalFormatting xmlns:xm="http://schemas.microsoft.com/office/excel/2006/main">
          <x14:cfRule type="dataBar" id="{670FB763-CABE-4956-91DE-2091FB29BA1D}">
            <x14:dataBar minLength="0" maxLength="100" border="1" negativeBarBorderColorSameAsPositive="0">
              <x14:cfvo type="autoMin"/>
              <x14:cfvo type="autoMax"/>
              <x14:borderColor rgb="FF008AEF"/>
              <x14:negativeFillColor rgb="FFFF0000"/>
              <x14:negativeBorderColor rgb="FFFF0000"/>
              <x14:axisColor rgb="FF000000"/>
            </x14:dataBar>
          </x14:cfRule>
          <xm:sqref>Z73</xm:sqref>
        </x14:conditionalFormatting>
        <x14:conditionalFormatting xmlns:xm="http://schemas.microsoft.com/office/excel/2006/main">
          <x14:cfRule type="dataBar" id="{5E53D824-8B6B-42C7-97F5-1548196701F8}">
            <x14:dataBar minLength="0" maxLength="100" border="1" negativeBarBorderColorSameAsPositive="0">
              <x14:cfvo type="autoMin"/>
              <x14:cfvo type="autoMax"/>
              <x14:borderColor rgb="FF008AEF"/>
              <x14:negativeFillColor rgb="FFFF0000"/>
              <x14:negativeBorderColor rgb="FFFF0000"/>
              <x14:axisColor rgb="FF000000"/>
            </x14:dataBar>
          </x14:cfRule>
          <xm:sqref>AB73</xm:sqref>
        </x14:conditionalFormatting>
        <x14:conditionalFormatting xmlns:xm="http://schemas.microsoft.com/office/excel/2006/main">
          <x14:cfRule type="dataBar" id="{59AD3E89-5738-4738-A90D-3F4AE405683F}">
            <x14:dataBar minLength="0" maxLength="100" border="1" negativeBarBorderColorSameAsPositive="0">
              <x14:cfvo type="autoMin"/>
              <x14:cfvo type="autoMax"/>
              <x14:borderColor rgb="FF008AEF"/>
              <x14:negativeFillColor rgb="FFFF0000"/>
              <x14:negativeBorderColor rgb="FFFF0000"/>
              <x14:axisColor rgb="FF000000"/>
            </x14:dataBar>
          </x14:cfRule>
          <xm:sqref>AG73</xm:sqref>
        </x14:conditionalFormatting>
        <x14:conditionalFormatting xmlns:xm="http://schemas.microsoft.com/office/excel/2006/main">
          <x14:cfRule type="dataBar" id="{C7D9F67F-256E-4B37-A47D-19A162B5B8FA}">
            <x14:dataBar minLength="0" maxLength="100" border="1" negativeBarBorderColorSameAsPositive="0">
              <x14:cfvo type="autoMin"/>
              <x14:cfvo type="autoMax"/>
              <x14:borderColor rgb="FF008AEF"/>
              <x14:negativeFillColor rgb="FFFF0000"/>
              <x14:negativeBorderColor rgb="FFFF0000"/>
              <x14:axisColor rgb="FF000000"/>
            </x14:dataBar>
          </x14:cfRule>
          <xm:sqref>AI73</xm:sqref>
        </x14:conditionalFormatting>
        <x14:conditionalFormatting xmlns:xm="http://schemas.microsoft.com/office/excel/2006/main">
          <x14:cfRule type="dataBar" id="{C6D1E401-CB3E-4929-9CE3-A8BC61168C02}">
            <x14:dataBar minLength="0" maxLength="100" border="1" negativeBarBorderColorSameAsPositive="0">
              <x14:cfvo type="autoMin"/>
              <x14:cfvo type="autoMax"/>
              <x14:borderColor rgb="FF008AEF"/>
              <x14:negativeFillColor rgb="FFFF0000"/>
              <x14:negativeBorderColor rgb="FFFF0000"/>
              <x14:axisColor rgb="FF000000"/>
            </x14:dataBar>
          </x14:cfRule>
          <xm:sqref>AK73</xm:sqref>
        </x14:conditionalFormatting>
        <x14:conditionalFormatting xmlns:xm="http://schemas.microsoft.com/office/excel/2006/main">
          <x14:cfRule type="dataBar" id="{274ED9F8-86B4-49A0-BDDB-190C86E7DB53}">
            <x14:dataBar minLength="0" maxLength="100" border="1" negativeBarBorderColorSameAsPositive="0">
              <x14:cfvo type="autoMin"/>
              <x14:cfvo type="autoMax"/>
              <x14:borderColor rgb="FF008AEF"/>
              <x14:negativeFillColor rgb="FFFF0000"/>
              <x14:negativeBorderColor rgb="FFFF0000"/>
              <x14:axisColor rgb="FF000000"/>
            </x14:dataBar>
          </x14:cfRule>
          <xm:sqref>U74 AL74 AA74 Y74 W74 AJ74 AH74 AC74:AD74 AF74</xm:sqref>
        </x14:conditionalFormatting>
        <x14:conditionalFormatting xmlns:xm="http://schemas.microsoft.com/office/excel/2006/main">
          <x14:cfRule type="dataBar" id="{E0BED39D-98F4-4660-8C51-DF3015D3D312}">
            <x14:dataBar minLength="0" maxLength="100" border="1" negativeBarBorderColorSameAsPositive="0">
              <x14:cfvo type="autoMin"/>
              <x14:cfvo type="autoMax"/>
              <x14:borderColor rgb="FF008AEF"/>
              <x14:negativeFillColor rgb="FFFF0000"/>
              <x14:negativeBorderColor rgb="FFFF0000"/>
              <x14:axisColor rgb="FF000000"/>
            </x14:dataBar>
          </x14:cfRule>
          <xm:sqref>X74</xm:sqref>
        </x14:conditionalFormatting>
        <x14:conditionalFormatting xmlns:xm="http://schemas.microsoft.com/office/excel/2006/main">
          <x14:cfRule type="dataBar" id="{C32F6C89-A5A8-4F37-9EF2-B018738750A2}">
            <x14:dataBar minLength="0" maxLength="100" border="1" negativeBarBorderColorSameAsPositive="0">
              <x14:cfvo type="autoMin"/>
              <x14:cfvo type="autoMax"/>
              <x14:borderColor rgb="FF008AEF"/>
              <x14:negativeFillColor rgb="FFFF0000"/>
              <x14:negativeBorderColor rgb="FFFF0000"/>
              <x14:axisColor rgb="FF000000"/>
            </x14:dataBar>
          </x14:cfRule>
          <xm:sqref>Z74</xm:sqref>
        </x14:conditionalFormatting>
        <x14:conditionalFormatting xmlns:xm="http://schemas.microsoft.com/office/excel/2006/main">
          <x14:cfRule type="dataBar" id="{6FB9C36A-16DB-4ADD-B1F9-E2609FD8E420}">
            <x14:dataBar minLength="0" maxLength="100" border="1" negativeBarBorderColorSameAsPositive="0">
              <x14:cfvo type="autoMin"/>
              <x14:cfvo type="autoMax"/>
              <x14:borderColor rgb="FF008AEF"/>
              <x14:negativeFillColor rgb="FFFF0000"/>
              <x14:negativeBorderColor rgb="FFFF0000"/>
              <x14:axisColor rgb="FF000000"/>
            </x14:dataBar>
          </x14:cfRule>
          <xm:sqref>AB74</xm:sqref>
        </x14:conditionalFormatting>
        <x14:conditionalFormatting xmlns:xm="http://schemas.microsoft.com/office/excel/2006/main">
          <x14:cfRule type="dataBar" id="{D758BFAA-55D1-406E-A49E-C3D64B9CB172}">
            <x14:dataBar minLength="0" maxLength="100" border="1" negativeBarBorderColorSameAsPositive="0">
              <x14:cfvo type="autoMin"/>
              <x14:cfvo type="autoMax"/>
              <x14:borderColor rgb="FF008AEF"/>
              <x14:negativeFillColor rgb="FFFF0000"/>
              <x14:negativeBorderColor rgb="FFFF0000"/>
              <x14:axisColor rgb="FF000000"/>
            </x14:dataBar>
          </x14:cfRule>
          <xm:sqref>AG74</xm:sqref>
        </x14:conditionalFormatting>
        <x14:conditionalFormatting xmlns:xm="http://schemas.microsoft.com/office/excel/2006/main">
          <x14:cfRule type="dataBar" id="{046F07E4-E717-4A5E-BDF1-4E21A976648D}">
            <x14:dataBar minLength="0" maxLength="100" border="1" negativeBarBorderColorSameAsPositive="0">
              <x14:cfvo type="autoMin"/>
              <x14:cfvo type="autoMax"/>
              <x14:borderColor rgb="FF008AEF"/>
              <x14:negativeFillColor rgb="FFFF0000"/>
              <x14:negativeBorderColor rgb="FFFF0000"/>
              <x14:axisColor rgb="FF000000"/>
            </x14:dataBar>
          </x14:cfRule>
          <xm:sqref>AI74</xm:sqref>
        </x14:conditionalFormatting>
        <x14:conditionalFormatting xmlns:xm="http://schemas.microsoft.com/office/excel/2006/main">
          <x14:cfRule type="dataBar" id="{E7E7BFEC-52EB-4B58-A4D0-FF1FA5BC0220}">
            <x14:dataBar minLength="0" maxLength="100" border="1" negativeBarBorderColorSameAsPositive="0">
              <x14:cfvo type="autoMin"/>
              <x14:cfvo type="autoMax"/>
              <x14:borderColor rgb="FF008AEF"/>
              <x14:negativeFillColor rgb="FFFF0000"/>
              <x14:negativeBorderColor rgb="FFFF0000"/>
              <x14:axisColor rgb="FF000000"/>
            </x14:dataBar>
          </x14:cfRule>
          <xm:sqref>AK74</xm:sqref>
        </x14:conditionalFormatting>
        <x14:conditionalFormatting xmlns:xm="http://schemas.microsoft.com/office/excel/2006/main">
          <x14:cfRule type="dataBar" id="{2923D1E8-14DD-4D03-AEF7-FA16CCEACB19}">
            <x14:dataBar minLength="0" maxLength="100" border="1" negativeBarBorderColorSameAsPositive="0">
              <x14:cfvo type="autoMin"/>
              <x14:cfvo type="autoMax"/>
              <x14:borderColor rgb="FF008AEF"/>
              <x14:negativeFillColor rgb="FFFF0000"/>
              <x14:negativeBorderColor rgb="FFFF0000"/>
              <x14:axisColor rgb="FF000000"/>
            </x14:dataBar>
          </x14:cfRule>
          <xm:sqref>AL77 Y77 AA77 W77 AJ77 AH77 AC77:AD77 AF77</xm:sqref>
        </x14:conditionalFormatting>
        <x14:conditionalFormatting xmlns:xm="http://schemas.microsoft.com/office/excel/2006/main">
          <x14:cfRule type="dataBar" id="{A4D2DC3D-E6D2-42A4-BF09-8A864EC181BA}">
            <x14:dataBar minLength="0" maxLength="100" border="1" negativeBarBorderColorSameAsPositive="0">
              <x14:cfvo type="autoMin"/>
              <x14:cfvo type="autoMax"/>
              <x14:borderColor rgb="FF008AEF"/>
              <x14:negativeFillColor rgb="FFFF0000"/>
              <x14:negativeBorderColor rgb="FFFF0000"/>
              <x14:axisColor rgb="FF000000"/>
            </x14:dataBar>
          </x14:cfRule>
          <xm:sqref>X77</xm:sqref>
        </x14:conditionalFormatting>
        <x14:conditionalFormatting xmlns:xm="http://schemas.microsoft.com/office/excel/2006/main">
          <x14:cfRule type="dataBar" id="{310772A5-339A-49F3-A31B-2B116FD5CD25}">
            <x14:dataBar minLength="0" maxLength="100" border="1" negativeBarBorderColorSameAsPositive="0">
              <x14:cfvo type="autoMin"/>
              <x14:cfvo type="autoMax"/>
              <x14:borderColor rgb="FF008AEF"/>
              <x14:negativeFillColor rgb="FFFF0000"/>
              <x14:negativeBorderColor rgb="FFFF0000"/>
              <x14:axisColor rgb="FF000000"/>
            </x14:dataBar>
          </x14:cfRule>
          <xm:sqref>Z77</xm:sqref>
        </x14:conditionalFormatting>
        <x14:conditionalFormatting xmlns:xm="http://schemas.microsoft.com/office/excel/2006/main">
          <x14:cfRule type="dataBar" id="{DB42937E-48AD-4CB8-9906-42734CB4FF56}">
            <x14:dataBar minLength="0" maxLength="100" border="1" negativeBarBorderColorSameAsPositive="0">
              <x14:cfvo type="autoMin"/>
              <x14:cfvo type="autoMax"/>
              <x14:borderColor rgb="FF008AEF"/>
              <x14:negativeFillColor rgb="FFFF0000"/>
              <x14:negativeBorderColor rgb="FFFF0000"/>
              <x14:axisColor rgb="FF000000"/>
            </x14:dataBar>
          </x14:cfRule>
          <xm:sqref>AB77</xm:sqref>
        </x14:conditionalFormatting>
        <x14:conditionalFormatting xmlns:xm="http://schemas.microsoft.com/office/excel/2006/main">
          <x14:cfRule type="dataBar" id="{48966A0D-CF37-427F-B90B-2729A0896FF5}">
            <x14:dataBar minLength="0" maxLength="100" border="1" negativeBarBorderColorSameAsPositive="0">
              <x14:cfvo type="autoMin"/>
              <x14:cfvo type="autoMax"/>
              <x14:borderColor rgb="FF008AEF"/>
              <x14:negativeFillColor rgb="FFFF0000"/>
              <x14:negativeBorderColor rgb="FFFF0000"/>
              <x14:axisColor rgb="FF000000"/>
            </x14:dataBar>
          </x14:cfRule>
          <xm:sqref>AG77</xm:sqref>
        </x14:conditionalFormatting>
        <x14:conditionalFormatting xmlns:xm="http://schemas.microsoft.com/office/excel/2006/main">
          <x14:cfRule type="dataBar" id="{C8394704-45BC-4A8D-BF84-5FFA724E4FD3}">
            <x14:dataBar minLength="0" maxLength="100" border="1" negativeBarBorderColorSameAsPositive="0">
              <x14:cfvo type="autoMin"/>
              <x14:cfvo type="autoMax"/>
              <x14:borderColor rgb="FF008AEF"/>
              <x14:negativeFillColor rgb="FFFF0000"/>
              <x14:negativeBorderColor rgb="FFFF0000"/>
              <x14:axisColor rgb="FF000000"/>
            </x14:dataBar>
          </x14:cfRule>
          <xm:sqref>AI77</xm:sqref>
        </x14:conditionalFormatting>
        <x14:conditionalFormatting xmlns:xm="http://schemas.microsoft.com/office/excel/2006/main">
          <x14:cfRule type="dataBar" id="{91F93F47-3BA0-414B-BF23-DBCFB15C9C9D}">
            <x14:dataBar minLength="0" maxLength="100" border="1" negativeBarBorderColorSameAsPositive="0">
              <x14:cfvo type="autoMin"/>
              <x14:cfvo type="autoMax"/>
              <x14:borderColor rgb="FF008AEF"/>
              <x14:negativeFillColor rgb="FFFF0000"/>
              <x14:negativeBorderColor rgb="FFFF0000"/>
              <x14:axisColor rgb="FF000000"/>
            </x14:dataBar>
          </x14:cfRule>
          <xm:sqref>AK77</xm:sqref>
        </x14:conditionalFormatting>
        <x14:conditionalFormatting xmlns:xm="http://schemas.microsoft.com/office/excel/2006/main">
          <x14:cfRule type="dataBar" id="{AA9B7E46-D182-473D-A1C9-A42FAFA6CF20}">
            <x14:dataBar minLength="0" maxLength="100" border="1" negativeBarBorderColorSameAsPositive="0">
              <x14:cfvo type="autoMin"/>
              <x14:cfvo type="autoMax"/>
              <x14:borderColor rgb="FF008AEF"/>
              <x14:negativeFillColor rgb="FFFF0000"/>
              <x14:negativeBorderColor rgb="FFFF0000"/>
              <x14:axisColor rgb="FF000000"/>
            </x14:dataBar>
          </x14:cfRule>
          <xm:sqref>AL78 U78 AA78 Y78 W78 AJ78 AH78 AC78:AD78 AF78</xm:sqref>
        </x14:conditionalFormatting>
        <x14:conditionalFormatting xmlns:xm="http://schemas.microsoft.com/office/excel/2006/main">
          <x14:cfRule type="dataBar" id="{37D3FB18-C73D-40E5-9E05-9E241C5A0ABB}">
            <x14:dataBar minLength="0" maxLength="100" border="1" negativeBarBorderColorSameAsPositive="0">
              <x14:cfvo type="autoMin"/>
              <x14:cfvo type="autoMax"/>
              <x14:borderColor rgb="FF008AEF"/>
              <x14:negativeFillColor rgb="FFFF0000"/>
              <x14:negativeBorderColor rgb="FFFF0000"/>
              <x14:axisColor rgb="FF000000"/>
            </x14:dataBar>
          </x14:cfRule>
          <xm:sqref>X78</xm:sqref>
        </x14:conditionalFormatting>
        <x14:conditionalFormatting xmlns:xm="http://schemas.microsoft.com/office/excel/2006/main">
          <x14:cfRule type="dataBar" id="{0AE77D88-40EF-4136-B193-1C8B2E7D34B9}">
            <x14:dataBar minLength="0" maxLength="100" border="1" negativeBarBorderColorSameAsPositive="0">
              <x14:cfvo type="autoMin"/>
              <x14:cfvo type="autoMax"/>
              <x14:borderColor rgb="FF008AEF"/>
              <x14:negativeFillColor rgb="FFFF0000"/>
              <x14:negativeBorderColor rgb="FFFF0000"/>
              <x14:axisColor rgb="FF000000"/>
            </x14:dataBar>
          </x14:cfRule>
          <xm:sqref>Z78</xm:sqref>
        </x14:conditionalFormatting>
        <x14:conditionalFormatting xmlns:xm="http://schemas.microsoft.com/office/excel/2006/main">
          <x14:cfRule type="dataBar" id="{19942ECE-EE9B-4E18-B84E-A5643FF9859C}">
            <x14:dataBar minLength="0" maxLength="100" border="1" negativeBarBorderColorSameAsPositive="0">
              <x14:cfvo type="autoMin"/>
              <x14:cfvo type="autoMax"/>
              <x14:borderColor rgb="FF008AEF"/>
              <x14:negativeFillColor rgb="FFFF0000"/>
              <x14:negativeBorderColor rgb="FFFF0000"/>
              <x14:axisColor rgb="FF000000"/>
            </x14:dataBar>
          </x14:cfRule>
          <xm:sqref>AB78</xm:sqref>
        </x14:conditionalFormatting>
        <x14:conditionalFormatting xmlns:xm="http://schemas.microsoft.com/office/excel/2006/main">
          <x14:cfRule type="dataBar" id="{60100606-456A-4F3A-90EB-CEBB5EBDDC09}">
            <x14:dataBar minLength="0" maxLength="100" border="1" negativeBarBorderColorSameAsPositive="0">
              <x14:cfvo type="autoMin"/>
              <x14:cfvo type="autoMax"/>
              <x14:borderColor rgb="FF008AEF"/>
              <x14:negativeFillColor rgb="FFFF0000"/>
              <x14:negativeBorderColor rgb="FFFF0000"/>
              <x14:axisColor rgb="FF000000"/>
            </x14:dataBar>
          </x14:cfRule>
          <xm:sqref>AG78</xm:sqref>
        </x14:conditionalFormatting>
        <x14:conditionalFormatting xmlns:xm="http://schemas.microsoft.com/office/excel/2006/main">
          <x14:cfRule type="dataBar" id="{458BE02E-418E-4D34-AA91-E013512C0AD5}">
            <x14:dataBar minLength="0" maxLength="100" border="1" negativeBarBorderColorSameAsPositive="0">
              <x14:cfvo type="autoMin"/>
              <x14:cfvo type="autoMax"/>
              <x14:borderColor rgb="FF008AEF"/>
              <x14:negativeFillColor rgb="FFFF0000"/>
              <x14:negativeBorderColor rgb="FFFF0000"/>
              <x14:axisColor rgb="FF000000"/>
            </x14:dataBar>
          </x14:cfRule>
          <xm:sqref>AI78</xm:sqref>
        </x14:conditionalFormatting>
        <x14:conditionalFormatting xmlns:xm="http://schemas.microsoft.com/office/excel/2006/main">
          <x14:cfRule type="dataBar" id="{911BA8B8-AE79-49AE-9843-3AC72BB2DEAF}">
            <x14:dataBar minLength="0" maxLength="100" border="1" negativeBarBorderColorSameAsPositive="0">
              <x14:cfvo type="autoMin"/>
              <x14:cfvo type="autoMax"/>
              <x14:borderColor rgb="FF008AEF"/>
              <x14:negativeFillColor rgb="FFFF0000"/>
              <x14:negativeBorderColor rgb="FFFF0000"/>
              <x14:axisColor rgb="FF000000"/>
            </x14:dataBar>
          </x14:cfRule>
          <xm:sqref>AK78</xm:sqref>
        </x14:conditionalFormatting>
        <x14:conditionalFormatting xmlns:xm="http://schemas.microsoft.com/office/excel/2006/main">
          <x14:cfRule type="dataBar" id="{4E3964B2-E764-4C01-A0F7-8DD28D179514}">
            <x14:dataBar minLength="0" maxLength="100" border="1" negativeBarBorderColorSameAsPositive="0">
              <x14:cfvo type="autoMin"/>
              <x14:cfvo type="autoMax"/>
              <x14:borderColor rgb="FF008AEF"/>
              <x14:negativeFillColor rgb="FFFF0000"/>
              <x14:negativeBorderColor rgb="FFFF0000"/>
              <x14:axisColor rgb="FF000000"/>
            </x14:dataBar>
          </x14:cfRule>
          <xm:sqref>AL49 Y49 AA49 W49 AJ49 AH49 AC49:AD49 AF49</xm:sqref>
        </x14:conditionalFormatting>
        <x14:conditionalFormatting xmlns:xm="http://schemas.microsoft.com/office/excel/2006/main">
          <x14:cfRule type="dataBar" id="{ECECE57A-6B2D-490C-A302-A6A3FCFFCD99}">
            <x14:dataBar minLength="0" maxLength="100" border="1" negativeBarBorderColorSameAsPositive="0">
              <x14:cfvo type="autoMin"/>
              <x14:cfvo type="autoMax"/>
              <x14:borderColor rgb="FF008AEF"/>
              <x14:negativeFillColor rgb="FFFF0000"/>
              <x14:negativeBorderColor rgb="FFFF0000"/>
              <x14:axisColor rgb="FF000000"/>
            </x14:dataBar>
          </x14:cfRule>
          <xm:sqref>X48</xm:sqref>
        </x14:conditionalFormatting>
        <x14:conditionalFormatting xmlns:xm="http://schemas.microsoft.com/office/excel/2006/main">
          <x14:cfRule type="dataBar" id="{D1D81615-D998-42E6-9787-716EF55CA0EE}">
            <x14:dataBar minLength="0" maxLength="100" border="1" negativeBarBorderColorSameAsPositive="0">
              <x14:cfvo type="autoMin"/>
              <x14:cfvo type="autoMax"/>
              <x14:borderColor rgb="FF008AEF"/>
              <x14:negativeFillColor rgb="FFFF0000"/>
              <x14:negativeBorderColor rgb="FFFF0000"/>
              <x14:axisColor rgb="FF000000"/>
            </x14:dataBar>
          </x14:cfRule>
          <xm:sqref>Z48</xm:sqref>
        </x14:conditionalFormatting>
        <x14:conditionalFormatting xmlns:xm="http://schemas.microsoft.com/office/excel/2006/main">
          <x14:cfRule type="dataBar" id="{3ABCB519-4AF1-446C-A54C-0F68148F3991}">
            <x14:dataBar minLength="0" maxLength="100" border="1" negativeBarBorderColorSameAsPositive="0">
              <x14:cfvo type="autoMin"/>
              <x14:cfvo type="autoMax"/>
              <x14:borderColor rgb="FF008AEF"/>
              <x14:negativeFillColor rgb="FFFF0000"/>
              <x14:negativeBorderColor rgb="FFFF0000"/>
              <x14:axisColor rgb="FF000000"/>
            </x14:dataBar>
          </x14:cfRule>
          <xm:sqref>AB48</xm:sqref>
        </x14:conditionalFormatting>
        <x14:conditionalFormatting xmlns:xm="http://schemas.microsoft.com/office/excel/2006/main">
          <x14:cfRule type="dataBar" id="{A8BB7295-F28A-42F8-85EB-7A5300EF87CA}">
            <x14:dataBar minLength="0" maxLength="100" border="1" negativeBarBorderColorSameAsPositive="0">
              <x14:cfvo type="autoMin"/>
              <x14:cfvo type="autoMax"/>
              <x14:borderColor rgb="FF008AEF"/>
              <x14:negativeFillColor rgb="FFFF0000"/>
              <x14:negativeBorderColor rgb="FFFF0000"/>
              <x14:axisColor rgb="FF000000"/>
            </x14:dataBar>
          </x14:cfRule>
          <xm:sqref>AG48</xm:sqref>
        </x14:conditionalFormatting>
        <x14:conditionalFormatting xmlns:xm="http://schemas.microsoft.com/office/excel/2006/main">
          <x14:cfRule type="dataBar" id="{7F53DB68-1D3D-4699-8627-A87B4E23307A}">
            <x14:dataBar minLength="0" maxLength="100" border="1" negativeBarBorderColorSameAsPositive="0">
              <x14:cfvo type="autoMin"/>
              <x14:cfvo type="autoMax"/>
              <x14:borderColor rgb="FF008AEF"/>
              <x14:negativeFillColor rgb="FFFF0000"/>
              <x14:negativeBorderColor rgb="FFFF0000"/>
              <x14:axisColor rgb="FF000000"/>
            </x14:dataBar>
          </x14:cfRule>
          <xm:sqref>AI48</xm:sqref>
        </x14:conditionalFormatting>
        <x14:conditionalFormatting xmlns:xm="http://schemas.microsoft.com/office/excel/2006/main">
          <x14:cfRule type="dataBar" id="{BDDB11E5-3C1B-499F-8CC4-807617ABCFD9}">
            <x14:dataBar minLength="0" maxLength="100" border="1" negativeBarBorderColorSameAsPositive="0">
              <x14:cfvo type="autoMin"/>
              <x14:cfvo type="autoMax"/>
              <x14:borderColor rgb="FF008AEF"/>
              <x14:negativeFillColor rgb="FFFF0000"/>
              <x14:negativeBorderColor rgb="FFFF0000"/>
              <x14:axisColor rgb="FF000000"/>
            </x14:dataBar>
          </x14:cfRule>
          <xm:sqref>AK48</xm:sqref>
        </x14:conditionalFormatting>
        <x14:conditionalFormatting xmlns:xm="http://schemas.microsoft.com/office/excel/2006/main">
          <x14:cfRule type="dataBar" id="{7AE8DFA1-EE6E-498C-A4CC-F696E0DEC91E}">
            <x14:dataBar minLength="0" maxLength="100" border="1" negativeBarBorderColorSameAsPositive="0">
              <x14:cfvo type="autoMin"/>
              <x14:cfvo type="autoMax"/>
              <x14:borderColor rgb="FF008AEF"/>
              <x14:negativeFillColor rgb="FFFF0000"/>
              <x14:negativeBorderColor rgb="FFFF0000"/>
              <x14:axisColor rgb="FF000000"/>
            </x14:dataBar>
          </x14:cfRule>
          <xm:sqref>X49</xm:sqref>
        </x14:conditionalFormatting>
        <x14:conditionalFormatting xmlns:xm="http://schemas.microsoft.com/office/excel/2006/main">
          <x14:cfRule type="dataBar" id="{9B9012AD-4BDC-4FC7-8365-6FC0E16F1498}">
            <x14:dataBar minLength="0" maxLength="100" border="1" negativeBarBorderColorSameAsPositive="0">
              <x14:cfvo type="autoMin"/>
              <x14:cfvo type="autoMax"/>
              <x14:borderColor rgb="FF008AEF"/>
              <x14:negativeFillColor rgb="FFFF0000"/>
              <x14:negativeBorderColor rgb="FFFF0000"/>
              <x14:axisColor rgb="FF000000"/>
            </x14:dataBar>
          </x14:cfRule>
          <xm:sqref>Z49</xm:sqref>
        </x14:conditionalFormatting>
        <x14:conditionalFormatting xmlns:xm="http://schemas.microsoft.com/office/excel/2006/main">
          <x14:cfRule type="dataBar" id="{4EDF2113-5151-4F73-9048-6D7AD49DA72A}">
            <x14:dataBar minLength="0" maxLength="100" border="1" negativeBarBorderColorSameAsPositive="0">
              <x14:cfvo type="autoMin"/>
              <x14:cfvo type="autoMax"/>
              <x14:borderColor rgb="FF008AEF"/>
              <x14:negativeFillColor rgb="FFFF0000"/>
              <x14:negativeBorderColor rgb="FFFF0000"/>
              <x14:axisColor rgb="FF000000"/>
            </x14:dataBar>
          </x14:cfRule>
          <xm:sqref>AB49</xm:sqref>
        </x14:conditionalFormatting>
        <x14:conditionalFormatting xmlns:xm="http://schemas.microsoft.com/office/excel/2006/main">
          <x14:cfRule type="dataBar" id="{1C32084E-3E77-475E-B59B-8EC71B04AB7C}">
            <x14:dataBar minLength="0" maxLength="100" border="1" negativeBarBorderColorSameAsPositive="0">
              <x14:cfvo type="autoMin"/>
              <x14:cfvo type="autoMax"/>
              <x14:borderColor rgb="FF008AEF"/>
              <x14:negativeFillColor rgb="FFFF0000"/>
              <x14:negativeBorderColor rgb="FFFF0000"/>
              <x14:axisColor rgb="FF000000"/>
            </x14:dataBar>
          </x14:cfRule>
          <xm:sqref>AG49</xm:sqref>
        </x14:conditionalFormatting>
        <x14:conditionalFormatting xmlns:xm="http://schemas.microsoft.com/office/excel/2006/main">
          <x14:cfRule type="dataBar" id="{7600F7E0-5A23-4F3E-919F-3A5EDCF2AC44}">
            <x14:dataBar minLength="0" maxLength="100" border="1" negativeBarBorderColorSameAsPositive="0">
              <x14:cfvo type="autoMin"/>
              <x14:cfvo type="autoMax"/>
              <x14:borderColor rgb="FF008AEF"/>
              <x14:negativeFillColor rgb="FFFF0000"/>
              <x14:negativeBorderColor rgb="FFFF0000"/>
              <x14:axisColor rgb="FF000000"/>
            </x14:dataBar>
          </x14:cfRule>
          <xm:sqref>AI49</xm:sqref>
        </x14:conditionalFormatting>
        <x14:conditionalFormatting xmlns:xm="http://schemas.microsoft.com/office/excel/2006/main">
          <x14:cfRule type="dataBar" id="{372935B6-1391-451C-9EC8-DFF38ADA4678}">
            <x14:dataBar minLength="0" maxLength="100" border="1" negativeBarBorderColorSameAsPositive="0">
              <x14:cfvo type="autoMin"/>
              <x14:cfvo type="autoMax"/>
              <x14:borderColor rgb="FF008AEF"/>
              <x14:negativeFillColor rgb="FFFF0000"/>
              <x14:negativeBorderColor rgb="FFFF0000"/>
              <x14:axisColor rgb="FF000000"/>
            </x14:dataBar>
          </x14:cfRule>
          <xm:sqref>AK49</xm:sqref>
        </x14:conditionalFormatting>
        <x14:conditionalFormatting xmlns:xm="http://schemas.microsoft.com/office/excel/2006/main">
          <x14:cfRule type="dataBar" id="{EB879D1B-9E3B-43B7-8C92-959422D85FAA}">
            <x14:dataBar minLength="0" maxLength="100" border="1" negativeBarBorderColorSameAsPositive="0">
              <x14:cfvo type="autoMin"/>
              <x14:cfvo type="autoMax"/>
              <x14:borderColor rgb="FF008AEF"/>
              <x14:negativeFillColor rgb="FFFF0000"/>
              <x14:negativeBorderColor rgb="FFFF0000"/>
              <x14:axisColor rgb="FF000000"/>
            </x14:dataBar>
          </x14:cfRule>
          <xm:sqref>AL56 U56 AA56 Y56 W56 AJ56 AH56 AC56:AD56 AF56</xm:sqref>
        </x14:conditionalFormatting>
        <x14:conditionalFormatting xmlns:xm="http://schemas.microsoft.com/office/excel/2006/main">
          <x14:cfRule type="dataBar" id="{6517A462-8CB8-43F2-A216-CFE13331C39C}">
            <x14:dataBar minLength="0" maxLength="100" border="1" negativeBarBorderColorSameAsPositive="0">
              <x14:cfvo type="autoMin"/>
              <x14:cfvo type="autoMax"/>
              <x14:borderColor rgb="FF008AEF"/>
              <x14:negativeFillColor rgb="FFFF0000"/>
              <x14:negativeBorderColor rgb="FFFF0000"/>
              <x14:axisColor rgb="FF000000"/>
            </x14:dataBar>
          </x14:cfRule>
          <xm:sqref>X56</xm:sqref>
        </x14:conditionalFormatting>
        <x14:conditionalFormatting xmlns:xm="http://schemas.microsoft.com/office/excel/2006/main">
          <x14:cfRule type="dataBar" id="{07667130-F3F4-45BA-A55B-34ABE2D28141}">
            <x14:dataBar minLength="0" maxLength="100" border="1" negativeBarBorderColorSameAsPositive="0">
              <x14:cfvo type="autoMin"/>
              <x14:cfvo type="autoMax"/>
              <x14:borderColor rgb="FF008AEF"/>
              <x14:negativeFillColor rgb="FFFF0000"/>
              <x14:negativeBorderColor rgb="FFFF0000"/>
              <x14:axisColor rgb="FF000000"/>
            </x14:dataBar>
          </x14:cfRule>
          <xm:sqref>Z56</xm:sqref>
        </x14:conditionalFormatting>
        <x14:conditionalFormatting xmlns:xm="http://schemas.microsoft.com/office/excel/2006/main">
          <x14:cfRule type="dataBar" id="{080213C6-49DE-4FF4-87DA-DA0F29D03767}">
            <x14:dataBar minLength="0" maxLength="100" border="1" negativeBarBorderColorSameAsPositive="0">
              <x14:cfvo type="autoMin"/>
              <x14:cfvo type="autoMax"/>
              <x14:borderColor rgb="FF008AEF"/>
              <x14:negativeFillColor rgb="FFFF0000"/>
              <x14:negativeBorderColor rgb="FFFF0000"/>
              <x14:axisColor rgb="FF000000"/>
            </x14:dataBar>
          </x14:cfRule>
          <xm:sqref>AB56</xm:sqref>
        </x14:conditionalFormatting>
        <x14:conditionalFormatting xmlns:xm="http://schemas.microsoft.com/office/excel/2006/main">
          <x14:cfRule type="dataBar" id="{757988CA-0FD7-4E8E-974A-EC02DA2A96A5}">
            <x14:dataBar minLength="0" maxLength="100" border="1" negativeBarBorderColorSameAsPositive="0">
              <x14:cfvo type="autoMin"/>
              <x14:cfvo type="autoMax"/>
              <x14:borderColor rgb="FF008AEF"/>
              <x14:negativeFillColor rgb="FFFF0000"/>
              <x14:negativeBorderColor rgb="FFFF0000"/>
              <x14:axisColor rgb="FF000000"/>
            </x14:dataBar>
          </x14:cfRule>
          <xm:sqref>AG56</xm:sqref>
        </x14:conditionalFormatting>
        <x14:conditionalFormatting xmlns:xm="http://schemas.microsoft.com/office/excel/2006/main">
          <x14:cfRule type="dataBar" id="{68A7C368-A3D9-44F2-A3D8-7F699CFB9988}">
            <x14:dataBar minLength="0" maxLength="100" border="1" negativeBarBorderColorSameAsPositive="0">
              <x14:cfvo type="autoMin"/>
              <x14:cfvo type="autoMax"/>
              <x14:borderColor rgb="FF008AEF"/>
              <x14:negativeFillColor rgb="FFFF0000"/>
              <x14:negativeBorderColor rgb="FFFF0000"/>
              <x14:axisColor rgb="FF000000"/>
            </x14:dataBar>
          </x14:cfRule>
          <xm:sqref>AI56</xm:sqref>
        </x14:conditionalFormatting>
        <x14:conditionalFormatting xmlns:xm="http://schemas.microsoft.com/office/excel/2006/main">
          <x14:cfRule type="dataBar" id="{4887609B-7831-4D73-8943-3D2A81F35628}">
            <x14:dataBar minLength="0" maxLength="100" border="1" negativeBarBorderColorSameAsPositive="0">
              <x14:cfvo type="autoMin"/>
              <x14:cfvo type="autoMax"/>
              <x14:borderColor rgb="FF008AEF"/>
              <x14:negativeFillColor rgb="FFFF0000"/>
              <x14:negativeBorderColor rgb="FFFF0000"/>
              <x14:axisColor rgb="FF000000"/>
            </x14:dataBar>
          </x14:cfRule>
          <xm:sqref>AK56</xm:sqref>
        </x14:conditionalFormatting>
        <x14:conditionalFormatting xmlns:xm="http://schemas.microsoft.com/office/excel/2006/main">
          <x14:cfRule type="dataBar" id="{192FDB57-C0D9-47DB-8674-435EB4C938A5}">
            <x14:dataBar minLength="0" maxLength="100" border="1" negativeBarBorderColorSameAsPositive="0">
              <x14:cfvo type="autoMin"/>
              <x14:cfvo type="autoMax"/>
              <x14:borderColor rgb="FF008AEF"/>
              <x14:negativeFillColor rgb="FFFF0000"/>
              <x14:negativeBorderColor rgb="FFFF0000"/>
              <x14:axisColor rgb="FF000000"/>
            </x14:dataBar>
          </x14:cfRule>
          <xm:sqref>AL60 U60 AA60 Y60 W60 AJ60 AH60 AC60:AD60 AF60</xm:sqref>
        </x14:conditionalFormatting>
        <x14:conditionalFormatting xmlns:xm="http://schemas.microsoft.com/office/excel/2006/main">
          <x14:cfRule type="dataBar" id="{6B3A06A1-7183-4B2D-A590-0D397600BE6C}">
            <x14:dataBar minLength="0" maxLength="100" border="1" negativeBarBorderColorSameAsPositive="0">
              <x14:cfvo type="autoMin"/>
              <x14:cfvo type="autoMax"/>
              <x14:borderColor rgb="FF008AEF"/>
              <x14:negativeFillColor rgb="FFFF0000"/>
              <x14:negativeBorderColor rgb="FFFF0000"/>
              <x14:axisColor rgb="FF000000"/>
            </x14:dataBar>
          </x14:cfRule>
          <xm:sqref>X60</xm:sqref>
        </x14:conditionalFormatting>
        <x14:conditionalFormatting xmlns:xm="http://schemas.microsoft.com/office/excel/2006/main">
          <x14:cfRule type="dataBar" id="{18C658AD-D060-422E-904E-A3EF39957381}">
            <x14:dataBar minLength="0" maxLength="100" border="1" negativeBarBorderColorSameAsPositive="0">
              <x14:cfvo type="autoMin"/>
              <x14:cfvo type="autoMax"/>
              <x14:borderColor rgb="FF008AEF"/>
              <x14:negativeFillColor rgb="FFFF0000"/>
              <x14:negativeBorderColor rgb="FFFF0000"/>
              <x14:axisColor rgb="FF000000"/>
            </x14:dataBar>
          </x14:cfRule>
          <xm:sqref>Z60</xm:sqref>
        </x14:conditionalFormatting>
        <x14:conditionalFormatting xmlns:xm="http://schemas.microsoft.com/office/excel/2006/main">
          <x14:cfRule type="dataBar" id="{75745E8D-781B-4FF8-807C-5678979C0C37}">
            <x14:dataBar minLength="0" maxLength="100" border="1" negativeBarBorderColorSameAsPositive="0">
              <x14:cfvo type="autoMin"/>
              <x14:cfvo type="autoMax"/>
              <x14:borderColor rgb="FF008AEF"/>
              <x14:negativeFillColor rgb="FFFF0000"/>
              <x14:negativeBorderColor rgb="FFFF0000"/>
              <x14:axisColor rgb="FF000000"/>
            </x14:dataBar>
          </x14:cfRule>
          <xm:sqref>AB60</xm:sqref>
        </x14:conditionalFormatting>
        <x14:conditionalFormatting xmlns:xm="http://schemas.microsoft.com/office/excel/2006/main">
          <x14:cfRule type="dataBar" id="{2FECEEA0-F8C6-4BC5-8BD0-25391BF785AC}">
            <x14:dataBar minLength="0" maxLength="100" border="1" negativeBarBorderColorSameAsPositive="0">
              <x14:cfvo type="autoMin"/>
              <x14:cfvo type="autoMax"/>
              <x14:borderColor rgb="FF008AEF"/>
              <x14:negativeFillColor rgb="FFFF0000"/>
              <x14:negativeBorderColor rgb="FFFF0000"/>
              <x14:axisColor rgb="FF000000"/>
            </x14:dataBar>
          </x14:cfRule>
          <xm:sqref>AG60</xm:sqref>
        </x14:conditionalFormatting>
        <x14:conditionalFormatting xmlns:xm="http://schemas.microsoft.com/office/excel/2006/main">
          <x14:cfRule type="dataBar" id="{17540846-21CA-49BE-84F8-AC01369F2110}">
            <x14:dataBar minLength="0" maxLength="100" border="1" negativeBarBorderColorSameAsPositive="0">
              <x14:cfvo type="autoMin"/>
              <x14:cfvo type="autoMax"/>
              <x14:borderColor rgb="FF008AEF"/>
              <x14:negativeFillColor rgb="FFFF0000"/>
              <x14:negativeBorderColor rgb="FFFF0000"/>
              <x14:axisColor rgb="FF000000"/>
            </x14:dataBar>
          </x14:cfRule>
          <xm:sqref>AI60</xm:sqref>
        </x14:conditionalFormatting>
        <x14:conditionalFormatting xmlns:xm="http://schemas.microsoft.com/office/excel/2006/main">
          <x14:cfRule type="dataBar" id="{B1F541A2-BC09-4DCA-9171-D70E8E1A887D}">
            <x14:dataBar minLength="0" maxLength="100" border="1" negativeBarBorderColorSameAsPositive="0">
              <x14:cfvo type="autoMin"/>
              <x14:cfvo type="autoMax"/>
              <x14:borderColor rgb="FF008AEF"/>
              <x14:negativeFillColor rgb="FFFF0000"/>
              <x14:negativeBorderColor rgb="FFFF0000"/>
              <x14:axisColor rgb="FF000000"/>
            </x14:dataBar>
          </x14:cfRule>
          <xm:sqref>AK60</xm:sqref>
        </x14:conditionalFormatting>
        <x14:conditionalFormatting xmlns:xm="http://schemas.microsoft.com/office/excel/2006/main">
          <x14:cfRule type="dataBar" id="{B68A1412-1C6A-44B2-BF7D-56DD3AE050B1}">
            <x14:dataBar minLength="0" maxLength="100" border="1" negativeBarBorderColorSameAsPositive="0">
              <x14:cfvo type="autoMin"/>
              <x14:cfvo type="autoMax"/>
              <x14:borderColor rgb="FF008AEF"/>
              <x14:negativeFillColor rgb="FFFF0000"/>
              <x14:negativeBorderColor rgb="FFFF0000"/>
              <x14:axisColor rgb="FF000000"/>
            </x14:dataBar>
          </x14:cfRule>
          <xm:sqref>AA85 AL85 Y85 W85 AJ85 AH85 AC85:AD85 AF85</xm:sqref>
        </x14:conditionalFormatting>
        <x14:conditionalFormatting xmlns:xm="http://schemas.microsoft.com/office/excel/2006/main">
          <x14:cfRule type="dataBar" id="{2B5F4E45-BB82-4C78-BD3C-29BF20BBFC14}">
            <x14:dataBar minLength="0" maxLength="100" border="1" negativeBarBorderColorSameAsPositive="0">
              <x14:cfvo type="autoMin"/>
              <x14:cfvo type="autoMax"/>
              <x14:borderColor rgb="FF008AEF"/>
              <x14:negativeFillColor rgb="FFFF0000"/>
              <x14:negativeBorderColor rgb="FFFF0000"/>
              <x14:axisColor rgb="FF000000"/>
            </x14:dataBar>
          </x14:cfRule>
          <xm:sqref>AA86 AL86 Y86 W86 AJ86 AH86 AC86:AD86 AF86</xm:sqref>
        </x14:conditionalFormatting>
        <x14:conditionalFormatting xmlns:xm="http://schemas.microsoft.com/office/excel/2006/main">
          <x14:cfRule type="dataBar" id="{43152E06-2AAD-4A53-92D9-567E08C69D4A}">
            <x14:dataBar minLength="0" maxLength="100" border="1" negativeBarBorderColorSameAsPositive="0">
              <x14:cfvo type="autoMin"/>
              <x14:cfvo type="autoMax"/>
              <x14:borderColor rgb="FF008AEF"/>
              <x14:negativeFillColor rgb="FFFF0000"/>
              <x14:negativeBorderColor rgb="FFFF0000"/>
              <x14:axisColor rgb="FF000000"/>
            </x14:dataBar>
          </x14:cfRule>
          <xm:sqref>X85</xm:sqref>
        </x14:conditionalFormatting>
        <x14:conditionalFormatting xmlns:xm="http://schemas.microsoft.com/office/excel/2006/main">
          <x14:cfRule type="dataBar" id="{3338A7F1-9E30-405B-BEB9-9D05E84C4563}">
            <x14:dataBar minLength="0" maxLength="100" border="1" negativeBarBorderColorSameAsPositive="0">
              <x14:cfvo type="autoMin"/>
              <x14:cfvo type="autoMax"/>
              <x14:borderColor rgb="FF008AEF"/>
              <x14:negativeFillColor rgb="FFFF0000"/>
              <x14:negativeBorderColor rgb="FFFF0000"/>
              <x14:axisColor rgb="FF000000"/>
            </x14:dataBar>
          </x14:cfRule>
          <xm:sqref>Z85</xm:sqref>
        </x14:conditionalFormatting>
        <x14:conditionalFormatting xmlns:xm="http://schemas.microsoft.com/office/excel/2006/main">
          <x14:cfRule type="dataBar" id="{B165A8C9-A839-44E7-A130-3E83313ADB4B}">
            <x14:dataBar minLength="0" maxLength="100" border="1" negativeBarBorderColorSameAsPositive="0">
              <x14:cfvo type="autoMin"/>
              <x14:cfvo type="autoMax"/>
              <x14:borderColor rgb="FF008AEF"/>
              <x14:negativeFillColor rgb="FFFF0000"/>
              <x14:negativeBorderColor rgb="FFFF0000"/>
              <x14:axisColor rgb="FF000000"/>
            </x14:dataBar>
          </x14:cfRule>
          <xm:sqref>AB85</xm:sqref>
        </x14:conditionalFormatting>
        <x14:conditionalFormatting xmlns:xm="http://schemas.microsoft.com/office/excel/2006/main">
          <x14:cfRule type="dataBar" id="{FE4F38DE-3BD6-4876-A4B8-2F73E98A6B15}">
            <x14:dataBar minLength="0" maxLength="100" border="1" negativeBarBorderColorSameAsPositive="0">
              <x14:cfvo type="autoMin"/>
              <x14:cfvo type="autoMax"/>
              <x14:borderColor rgb="FF008AEF"/>
              <x14:negativeFillColor rgb="FFFF0000"/>
              <x14:negativeBorderColor rgb="FFFF0000"/>
              <x14:axisColor rgb="FF000000"/>
            </x14:dataBar>
          </x14:cfRule>
          <xm:sqref>AG85</xm:sqref>
        </x14:conditionalFormatting>
        <x14:conditionalFormatting xmlns:xm="http://schemas.microsoft.com/office/excel/2006/main">
          <x14:cfRule type="dataBar" id="{583D58BC-7714-460F-ACE2-18E89C0323E1}">
            <x14:dataBar minLength="0" maxLength="100" border="1" negativeBarBorderColorSameAsPositive="0">
              <x14:cfvo type="autoMin"/>
              <x14:cfvo type="autoMax"/>
              <x14:borderColor rgb="FF008AEF"/>
              <x14:negativeFillColor rgb="FFFF0000"/>
              <x14:negativeBorderColor rgb="FFFF0000"/>
              <x14:axisColor rgb="FF000000"/>
            </x14:dataBar>
          </x14:cfRule>
          <xm:sqref>AI85</xm:sqref>
        </x14:conditionalFormatting>
        <x14:conditionalFormatting xmlns:xm="http://schemas.microsoft.com/office/excel/2006/main">
          <x14:cfRule type="dataBar" id="{778BCA4E-C96E-4D03-BDB6-51BF00D2D30B}">
            <x14:dataBar minLength="0" maxLength="100" border="1" negativeBarBorderColorSameAsPositive="0">
              <x14:cfvo type="autoMin"/>
              <x14:cfvo type="autoMax"/>
              <x14:borderColor rgb="FF008AEF"/>
              <x14:negativeFillColor rgb="FFFF0000"/>
              <x14:negativeBorderColor rgb="FFFF0000"/>
              <x14:axisColor rgb="FF000000"/>
            </x14:dataBar>
          </x14:cfRule>
          <xm:sqref>AK85</xm:sqref>
        </x14:conditionalFormatting>
        <x14:conditionalFormatting xmlns:xm="http://schemas.microsoft.com/office/excel/2006/main">
          <x14:cfRule type="dataBar" id="{2B06B3E8-E1F6-4F0B-91BC-D2EC9C3A898B}">
            <x14:dataBar minLength="0" maxLength="100" border="1" negativeBarBorderColorSameAsPositive="0">
              <x14:cfvo type="autoMin"/>
              <x14:cfvo type="autoMax"/>
              <x14:borderColor rgb="FF008AEF"/>
              <x14:negativeFillColor rgb="FFFF0000"/>
              <x14:negativeBorderColor rgb="FFFF0000"/>
              <x14:axisColor rgb="FF000000"/>
            </x14:dataBar>
          </x14:cfRule>
          <xm:sqref>X86</xm:sqref>
        </x14:conditionalFormatting>
        <x14:conditionalFormatting xmlns:xm="http://schemas.microsoft.com/office/excel/2006/main">
          <x14:cfRule type="dataBar" id="{636002AE-1EFC-42BA-A83E-386B34F7D602}">
            <x14:dataBar minLength="0" maxLength="100" border="1" negativeBarBorderColorSameAsPositive="0">
              <x14:cfvo type="autoMin"/>
              <x14:cfvo type="autoMax"/>
              <x14:borderColor rgb="FF008AEF"/>
              <x14:negativeFillColor rgb="FFFF0000"/>
              <x14:negativeBorderColor rgb="FFFF0000"/>
              <x14:axisColor rgb="FF000000"/>
            </x14:dataBar>
          </x14:cfRule>
          <xm:sqref>Z86</xm:sqref>
        </x14:conditionalFormatting>
        <x14:conditionalFormatting xmlns:xm="http://schemas.microsoft.com/office/excel/2006/main">
          <x14:cfRule type="dataBar" id="{1EE225BA-262B-40FB-A4B8-E6D812CA06FA}">
            <x14:dataBar minLength="0" maxLength="100" border="1" negativeBarBorderColorSameAsPositive="0">
              <x14:cfvo type="autoMin"/>
              <x14:cfvo type="autoMax"/>
              <x14:borderColor rgb="FF008AEF"/>
              <x14:negativeFillColor rgb="FFFF0000"/>
              <x14:negativeBorderColor rgb="FFFF0000"/>
              <x14:axisColor rgb="FF000000"/>
            </x14:dataBar>
          </x14:cfRule>
          <xm:sqref>AB86</xm:sqref>
        </x14:conditionalFormatting>
        <x14:conditionalFormatting xmlns:xm="http://schemas.microsoft.com/office/excel/2006/main">
          <x14:cfRule type="dataBar" id="{6DFA0396-5FA8-4420-83FE-D44D129ADC26}">
            <x14:dataBar minLength="0" maxLength="100" border="1" negativeBarBorderColorSameAsPositive="0">
              <x14:cfvo type="autoMin"/>
              <x14:cfvo type="autoMax"/>
              <x14:borderColor rgb="FF008AEF"/>
              <x14:negativeFillColor rgb="FFFF0000"/>
              <x14:negativeBorderColor rgb="FFFF0000"/>
              <x14:axisColor rgb="FF000000"/>
            </x14:dataBar>
          </x14:cfRule>
          <xm:sqref>AG86</xm:sqref>
        </x14:conditionalFormatting>
        <x14:conditionalFormatting xmlns:xm="http://schemas.microsoft.com/office/excel/2006/main">
          <x14:cfRule type="dataBar" id="{A149A640-317B-4AA6-83DB-ECDDFE5665A8}">
            <x14:dataBar minLength="0" maxLength="100" border="1" negativeBarBorderColorSameAsPositive="0">
              <x14:cfvo type="autoMin"/>
              <x14:cfvo type="autoMax"/>
              <x14:borderColor rgb="FF008AEF"/>
              <x14:negativeFillColor rgb="FFFF0000"/>
              <x14:negativeBorderColor rgb="FFFF0000"/>
              <x14:axisColor rgb="FF000000"/>
            </x14:dataBar>
          </x14:cfRule>
          <xm:sqref>AI86</xm:sqref>
        </x14:conditionalFormatting>
        <x14:conditionalFormatting xmlns:xm="http://schemas.microsoft.com/office/excel/2006/main">
          <x14:cfRule type="dataBar" id="{982FECCC-19C1-4E57-A05E-A9B9DCBDE03D}">
            <x14:dataBar minLength="0" maxLength="100" border="1" negativeBarBorderColorSameAsPositive="0">
              <x14:cfvo type="autoMin"/>
              <x14:cfvo type="autoMax"/>
              <x14:borderColor rgb="FF008AEF"/>
              <x14:negativeFillColor rgb="FFFF0000"/>
              <x14:negativeBorderColor rgb="FFFF0000"/>
              <x14:axisColor rgb="FF000000"/>
            </x14:dataBar>
          </x14:cfRule>
          <xm:sqref>AK86</xm:sqref>
        </x14:conditionalFormatting>
        <x14:conditionalFormatting xmlns:xm="http://schemas.microsoft.com/office/excel/2006/main">
          <x14:cfRule type="dataBar" id="{6977FFD1-4CE2-464E-8DB7-1B08C1CB4786}">
            <x14:dataBar minLength="0" maxLength="100" border="1" negativeBarBorderColorSameAsPositive="0">
              <x14:cfvo type="autoMin"/>
              <x14:cfvo type="autoMax"/>
              <x14:borderColor rgb="FF008AEF"/>
              <x14:negativeFillColor rgb="FFFF0000"/>
              <x14:negativeBorderColor rgb="FFFF0000"/>
              <x14:axisColor rgb="FF000000"/>
            </x14:dataBar>
          </x14:cfRule>
          <xm:sqref>U94 AL94 AA94 Y94 W94 AJ94 AH94 AC94:AF94</xm:sqref>
        </x14:conditionalFormatting>
        <x14:conditionalFormatting xmlns:xm="http://schemas.microsoft.com/office/excel/2006/main">
          <x14:cfRule type="dataBar" id="{19909AD4-0384-4CC5-87BD-AA98D96D34A2}">
            <x14:dataBar minLength="0" maxLength="100" border="1" negativeBarBorderColorSameAsPositive="0">
              <x14:cfvo type="autoMin"/>
              <x14:cfvo type="autoMax"/>
              <x14:borderColor rgb="FF008AEF"/>
              <x14:negativeFillColor rgb="FFFF0000"/>
              <x14:negativeBorderColor rgb="FFFF0000"/>
              <x14:axisColor rgb="FF000000"/>
            </x14:dataBar>
          </x14:cfRule>
          <xm:sqref>X94</xm:sqref>
        </x14:conditionalFormatting>
        <x14:conditionalFormatting xmlns:xm="http://schemas.microsoft.com/office/excel/2006/main">
          <x14:cfRule type="dataBar" id="{B8564D3C-C9E0-4D50-B7E5-B07AD86466C5}">
            <x14:dataBar minLength="0" maxLength="100" border="1" negativeBarBorderColorSameAsPositive="0">
              <x14:cfvo type="autoMin"/>
              <x14:cfvo type="autoMax"/>
              <x14:borderColor rgb="FF008AEF"/>
              <x14:negativeFillColor rgb="FFFF0000"/>
              <x14:negativeBorderColor rgb="FFFF0000"/>
              <x14:axisColor rgb="FF000000"/>
            </x14:dataBar>
          </x14:cfRule>
          <xm:sqref>Z94</xm:sqref>
        </x14:conditionalFormatting>
        <x14:conditionalFormatting xmlns:xm="http://schemas.microsoft.com/office/excel/2006/main">
          <x14:cfRule type="dataBar" id="{C3D711C6-4002-45A0-807E-F84E4983A6E4}">
            <x14:dataBar minLength="0" maxLength="100" border="1" negativeBarBorderColorSameAsPositive="0">
              <x14:cfvo type="autoMin"/>
              <x14:cfvo type="autoMax"/>
              <x14:borderColor rgb="FF008AEF"/>
              <x14:negativeFillColor rgb="FFFF0000"/>
              <x14:negativeBorderColor rgb="FFFF0000"/>
              <x14:axisColor rgb="FF000000"/>
            </x14:dataBar>
          </x14:cfRule>
          <xm:sqref>AB94</xm:sqref>
        </x14:conditionalFormatting>
        <x14:conditionalFormatting xmlns:xm="http://schemas.microsoft.com/office/excel/2006/main">
          <x14:cfRule type="dataBar" id="{28E1B23B-6498-40EA-AFCF-DC1776069844}">
            <x14:dataBar minLength="0" maxLength="100" border="1" negativeBarBorderColorSameAsPositive="0">
              <x14:cfvo type="autoMin"/>
              <x14:cfvo type="autoMax"/>
              <x14:borderColor rgb="FF008AEF"/>
              <x14:negativeFillColor rgb="FFFF0000"/>
              <x14:negativeBorderColor rgb="FFFF0000"/>
              <x14:axisColor rgb="FF000000"/>
            </x14:dataBar>
          </x14:cfRule>
          <xm:sqref>AG94</xm:sqref>
        </x14:conditionalFormatting>
        <x14:conditionalFormatting xmlns:xm="http://schemas.microsoft.com/office/excel/2006/main">
          <x14:cfRule type="dataBar" id="{69F1A5E0-EF75-45E5-84E7-6B4F9782B1BF}">
            <x14:dataBar minLength="0" maxLength="100" border="1" negativeBarBorderColorSameAsPositive="0">
              <x14:cfvo type="autoMin"/>
              <x14:cfvo type="autoMax"/>
              <x14:borderColor rgb="FF008AEF"/>
              <x14:negativeFillColor rgb="FFFF0000"/>
              <x14:negativeBorderColor rgb="FFFF0000"/>
              <x14:axisColor rgb="FF000000"/>
            </x14:dataBar>
          </x14:cfRule>
          <xm:sqref>AI94</xm:sqref>
        </x14:conditionalFormatting>
        <x14:conditionalFormatting xmlns:xm="http://schemas.microsoft.com/office/excel/2006/main">
          <x14:cfRule type="dataBar" id="{E16B4828-1B60-4F29-AD25-D2E08D3B99E0}">
            <x14:dataBar minLength="0" maxLength="100" border="1" negativeBarBorderColorSameAsPositive="0">
              <x14:cfvo type="autoMin"/>
              <x14:cfvo type="autoMax"/>
              <x14:borderColor rgb="FF008AEF"/>
              <x14:negativeFillColor rgb="FFFF0000"/>
              <x14:negativeBorderColor rgb="FFFF0000"/>
              <x14:axisColor rgb="FF000000"/>
            </x14:dataBar>
          </x14:cfRule>
          <xm:sqref>AK94</xm:sqref>
        </x14:conditionalFormatting>
        <x14:conditionalFormatting xmlns:xm="http://schemas.microsoft.com/office/excel/2006/main">
          <x14:cfRule type="dataBar" id="{DABC35C7-E470-4EBC-AE58-AA570334942D}">
            <x14:dataBar minLength="0" maxLength="100" border="1" negativeBarBorderColorSameAsPositive="0">
              <x14:cfvo type="autoMin"/>
              <x14:cfvo type="autoMax"/>
              <x14:borderColor rgb="FF008AEF"/>
              <x14:negativeFillColor rgb="FFFF0000"/>
              <x14:negativeBorderColor rgb="FFFF0000"/>
              <x14:axisColor rgb="FF000000"/>
            </x14:dataBar>
          </x14:cfRule>
          <xm:sqref>U98 AL98 AA98 Y98 W98 AJ98 AH98 AC98:AF98</xm:sqref>
        </x14:conditionalFormatting>
        <x14:conditionalFormatting xmlns:xm="http://schemas.microsoft.com/office/excel/2006/main">
          <x14:cfRule type="dataBar" id="{6AA81E36-CDEF-4563-BF58-A660D1371259}">
            <x14:dataBar minLength="0" maxLength="100" border="1" negativeBarBorderColorSameAsPositive="0">
              <x14:cfvo type="autoMin"/>
              <x14:cfvo type="autoMax"/>
              <x14:borderColor rgb="FF008AEF"/>
              <x14:negativeFillColor rgb="FFFF0000"/>
              <x14:negativeBorderColor rgb="FFFF0000"/>
              <x14:axisColor rgb="FF000000"/>
            </x14:dataBar>
          </x14:cfRule>
          <xm:sqref>X98</xm:sqref>
        </x14:conditionalFormatting>
        <x14:conditionalFormatting xmlns:xm="http://schemas.microsoft.com/office/excel/2006/main">
          <x14:cfRule type="dataBar" id="{012CFCAC-ADD5-4ABC-A08C-AF4799FF1BBF}">
            <x14:dataBar minLength="0" maxLength="100" border="1" negativeBarBorderColorSameAsPositive="0">
              <x14:cfvo type="autoMin"/>
              <x14:cfvo type="autoMax"/>
              <x14:borderColor rgb="FF008AEF"/>
              <x14:negativeFillColor rgb="FFFF0000"/>
              <x14:negativeBorderColor rgb="FFFF0000"/>
              <x14:axisColor rgb="FF000000"/>
            </x14:dataBar>
          </x14:cfRule>
          <xm:sqref>Z98</xm:sqref>
        </x14:conditionalFormatting>
        <x14:conditionalFormatting xmlns:xm="http://schemas.microsoft.com/office/excel/2006/main">
          <x14:cfRule type="dataBar" id="{05A4D489-9DC8-4BCA-82AC-7498734B7430}">
            <x14:dataBar minLength="0" maxLength="100" border="1" negativeBarBorderColorSameAsPositive="0">
              <x14:cfvo type="autoMin"/>
              <x14:cfvo type="autoMax"/>
              <x14:borderColor rgb="FF008AEF"/>
              <x14:negativeFillColor rgb="FFFF0000"/>
              <x14:negativeBorderColor rgb="FFFF0000"/>
              <x14:axisColor rgb="FF000000"/>
            </x14:dataBar>
          </x14:cfRule>
          <xm:sqref>AB98</xm:sqref>
        </x14:conditionalFormatting>
        <x14:conditionalFormatting xmlns:xm="http://schemas.microsoft.com/office/excel/2006/main">
          <x14:cfRule type="dataBar" id="{A9406406-AEB3-43AC-A074-63C554189600}">
            <x14:dataBar minLength="0" maxLength="100" border="1" negativeBarBorderColorSameAsPositive="0">
              <x14:cfvo type="autoMin"/>
              <x14:cfvo type="autoMax"/>
              <x14:borderColor rgb="FF008AEF"/>
              <x14:negativeFillColor rgb="FFFF0000"/>
              <x14:negativeBorderColor rgb="FFFF0000"/>
              <x14:axisColor rgb="FF000000"/>
            </x14:dataBar>
          </x14:cfRule>
          <xm:sqref>AG98</xm:sqref>
        </x14:conditionalFormatting>
        <x14:conditionalFormatting xmlns:xm="http://schemas.microsoft.com/office/excel/2006/main">
          <x14:cfRule type="dataBar" id="{3E8CDEE0-C3BD-4F9B-8C29-251636C65761}">
            <x14:dataBar minLength="0" maxLength="100" border="1" negativeBarBorderColorSameAsPositive="0">
              <x14:cfvo type="autoMin"/>
              <x14:cfvo type="autoMax"/>
              <x14:borderColor rgb="FF008AEF"/>
              <x14:negativeFillColor rgb="FFFF0000"/>
              <x14:negativeBorderColor rgb="FFFF0000"/>
              <x14:axisColor rgb="FF000000"/>
            </x14:dataBar>
          </x14:cfRule>
          <xm:sqref>AI98</xm:sqref>
        </x14:conditionalFormatting>
        <x14:conditionalFormatting xmlns:xm="http://schemas.microsoft.com/office/excel/2006/main">
          <x14:cfRule type="dataBar" id="{BCEA5F73-2DFC-4BFD-B1EA-54118C14DAB7}">
            <x14:dataBar minLength="0" maxLength="100" border="1" negativeBarBorderColorSameAsPositive="0">
              <x14:cfvo type="autoMin"/>
              <x14:cfvo type="autoMax"/>
              <x14:borderColor rgb="FF008AEF"/>
              <x14:negativeFillColor rgb="FFFF0000"/>
              <x14:negativeBorderColor rgb="FFFF0000"/>
              <x14:axisColor rgb="FF000000"/>
            </x14:dataBar>
          </x14:cfRule>
          <xm:sqref>AK98</xm:sqref>
        </x14:conditionalFormatting>
        <x14:conditionalFormatting xmlns:xm="http://schemas.microsoft.com/office/excel/2006/main">
          <x14:cfRule type="dataBar" id="{3245F4B6-404E-4374-A106-B3666B232F5B}">
            <x14:dataBar minLength="0" maxLength="100" border="1" negativeBarBorderColorSameAsPositive="0">
              <x14:cfvo type="autoMin"/>
              <x14:cfvo type="autoMax"/>
              <x14:borderColor rgb="FF008AEF"/>
              <x14:negativeFillColor rgb="FFFF0000"/>
              <x14:negativeBorderColor rgb="FFFF0000"/>
              <x14:axisColor rgb="FF000000"/>
            </x14:dataBar>
          </x14:cfRule>
          <xm:sqref>U106 AL106 AA106 Y106 W106 AJ106 AH106 AC106:AD106 AF106</xm:sqref>
        </x14:conditionalFormatting>
        <x14:conditionalFormatting xmlns:xm="http://schemas.microsoft.com/office/excel/2006/main">
          <x14:cfRule type="dataBar" id="{B623FF7D-C587-4CBD-AD5F-C58A73553B6B}">
            <x14:dataBar minLength="0" maxLength="100" border="1" negativeBarBorderColorSameAsPositive="0">
              <x14:cfvo type="autoMin"/>
              <x14:cfvo type="autoMax"/>
              <x14:borderColor rgb="FF008AEF"/>
              <x14:negativeFillColor rgb="FFFF0000"/>
              <x14:negativeBorderColor rgb="FFFF0000"/>
              <x14:axisColor rgb="FF000000"/>
            </x14:dataBar>
          </x14:cfRule>
          <xm:sqref>X106</xm:sqref>
        </x14:conditionalFormatting>
        <x14:conditionalFormatting xmlns:xm="http://schemas.microsoft.com/office/excel/2006/main">
          <x14:cfRule type="dataBar" id="{B7F403A0-0E2B-4F60-B846-25C064F3C9F6}">
            <x14:dataBar minLength="0" maxLength="100" border="1" negativeBarBorderColorSameAsPositive="0">
              <x14:cfvo type="autoMin"/>
              <x14:cfvo type="autoMax"/>
              <x14:borderColor rgb="FF008AEF"/>
              <x14:negativeFillColor rgb="FFFF0000"/>
              <x14:negativeBorderColor rgb="FFFF0000"/>
              <x14:axisColor rgb="FF000000"/>
            </x14:dataBar>
          </x14:cfRule>
          <xm:sqref>Z106</xm:sqref>
        </x14:conditionalFormatting>
        <x14:conditionalFormatting xmlns:xm="http://schemas.microsoft.com/office/excel/2006/main">
          <x14:cfRule type="dataBar" id="{1C95F699-3DEE-4B79-B86F-2AE9446F39BA}">
            <x14:dataBar minLength="0" maxLength="100" border="1" negativeBarBorderColorSameAsPositive="0">
              <x14:cfvo type="autoMin"/>
              <x14:cfvo type="autoMax"/>
              <x14:borderColor rgb="FF008AEF"/>
              <x14:negativeFillColor rgb="FFFF0000"/>
              <x14:negativeBorderColor rgb="FFFF0000"/>
              <x14:axisColor rgb="FF000000"/>
            </x14:dataBar>
          </x14:cfRule>
          <xm:sqref>AB106</xm:sqref>
        </x14:conditionalFormatting>
        <x14:conditionalFormatting xmlns:xm="http://schemas.microsoft.com/office/excel/2006/main">
          <x14:cfRule type="dataBar" id="{87B40F46-A847-4849-A71E-0F0A84F6438F}">
            <x14:dataBar minLength="0" maxLength="100" border="1" negativeBarBorderColorSameAsPositive="0">
              <x14:cfvo type="autoMin"/>
              <x14:cfvo type="autoMax"/>
              <x14:borderColor rgb="FF008AEF"/>
              <x14:negativeFillColor rgb="FFFF0000"/>
              <x14:negativeBorderColor rgb="FFFF0000"/>
              <x14:axisColor rgb="FF000000"/>
            </x14:dataBar>
          </x14:cfRule>
          <xm:sqref>AG106</xm:sqref>
        </x14:conditionalFormatting>
        <x14:conditionalFormatting xmlns:xm="http://schemas.microsoft.com/office/excel/2006/main">
          <x14:cfRule type="dataBar" id="{B52DEAA8-6062-4714-A0DA-C2D1719CCE9F}">
            <x14:dataBar minLength="0" maxLength="100" border="1" negativeBarBorderColorSameAsPositive="0">
              <x14:cfvo type="autoMin"/>
              <x14:cfvo type="autoMax"/>
              <x14:borderColor rgb="FF008AEF"/>
              <x14:negativeFillColor rgb="FFFF0000"/>
              <x14:negativeBorderColor rgb="FFFF0000"/>
              <x14:axisColor rgb="FF000000"/>
            </x14:dataBar>
          </x14:cfRule>
          <xm:sqref>AI106</xm:sqref>
        </x14:conditionalFormatting>
        <x14:conditionalFormatting xmlns:xm="http://schemas.microsoft.com/office/excel/2006/main">
          <x14:cfRule type="dataBar" id="{7EDE8847-4647-4C64-8D4F-75AACE66E693}">
            <x14:dataBar minLength="0" maxLength="100" border="1" negativeBarBorderColorSameAsPositive="0">
              <x14:cfvo type="autoMin"/>
              <x14:cfvo type="autoMax"/>
              <x14:borderColor rgb="FF008AEF"/>
              <x14:negativeFillColor rgb="FFFF0000"/>
              <x14:negativeBorderColor rgb="FFFF0000"/>
              <x14:axisColor rgb="FF000000"/>
            </x14:dataBar>
          </x14:cfRule>
          <xm:sqref>AK106</xm:sqref>
        </x14:conditionalFormatting>
        <x14:conditionalFormatting xmlns:xm="http://schemas.microsoft.com/office/excel/2006/main">
          <x14:cfRule type="dataBar" id="{50597AD7-0DBC-4108-B244-7D4FAFB5A853}">
            <x14:dataBar minLength="0" maxLength="100" border="1" negativeBarBorderColorSameAsPositive="0">
              <x14:cfvo type="autoMin"/>
              <x14:cfvo type="autoMax"/>
              <x14:borderColor rgb="FF008AEF"/>
              <x14:negativeFillColor rgb="FFFF0000"/>
              <x14:negativeBorderColor rgb="FFFF0000"/>
              <x14:axisColor rgb="FF000000"/>
            </x14:dataBar>
          </x14:cfRule>
          <xm:sqref>U109 AL109 AA109 Y109 W109 AJ109 AH109 AC109:AD109 AF109</xm:sqref>
        </x14:conditionalFormatting>
        <x14:conditionalFormatting xmlns:xm="http://schemas.microsoft.com/office/excel/2006/main">
          <x14:cfRule type="dataBar" id="{D2A87753-7723-449B-B711-D61A2188692B}">
            <x14:dataBar minLength="0" maxLength="100" border="1" negativeBarBorderColorSameAsPositive="0">
              <x14:cfvo type="autoMin"/>
              <x14:cfvo type="autoMax"/>
              <x14:borderColor rgb="FF008AEF"/>
              <x14:negativeFillColor rgb="FFFF0000"/>
              <x14:negativeBorderColor rgb="FFFF0000"/>
              <x14:axisColor rgb="FF000000"/>
            </x14:dataBar>
          </x14:cfRule>
          <xm:sqref>X109</xm:sqref>
        </x14:conditionalFormatting>
        <x14:conditionalFormatting xmlns:xm="http://schemas.microsoft.com/office/excel/2006/main">
          <x14:cfRule type="dataBar" id="{EEC95220-CD1E-4021-9786-0FE1F9F7E4AE}">
            <x14:dataBar minLength="0" maxLength="100" border="1" negativeBarBorderColorSameAsPositive="0">
              <x14:cfvo type="autoMin"/>
              <x14:cfvo type="autoMax"/>
              <x14:borderColor rgb="FF008AEF"/>
              <x14:negativeFillColor rgb="FFFF0000"/>
              <x14:negativeBorderColor rgb="FFFF0000"/>
              <x14:axisColor rgb="FF000000"/>
            </x14:dataBar>
          </x14:cfRule>
          <xm:sqref>Z109</xm:sqref>
        </x14:conditionalFormatting>
        <x14:conditionalFormatting xmlns:xm="http://schemas.microsoft.com/office/excel/2006/main">
          <x14:cfRule type="dataBar" id="{A571F0CA-4C70-4719-B759-72B3F82D423A}">
            <x14:dataBar minLength="0" maxLength="100" border="1" negativeBarBorderColorSameAsPositive="0">
              <x14:cfvo type="autoMin"/>
              <x14:cfvo type="autoMax"/>
              <x14:borderColor rgb="FF008AEF"/>
              <x14:negativeFillColor rgb="FFFF0000"/>
              <x14:negativeBorderColor rgb="FFFF0000"/>
              <x14:axisColor rgb="FF000000"/>
            </x14:dataBar>
          </x14:cfRule>
          <xm:sqref>AB109</xm:sqref>
        </x14:conditionalFormatting>
        <x14:conditionalFormatting xmlns:xm="http://schemas.microsoft.com/office/excel/2006/main">
          <x14:cfRule type="dataBar" id="{60E17A8D-7659-4CBB-AF97-0437EBB91CB3}">
            <x14:dataBar minLength="0" maxLength="100" border="1" negativeBarBorderColorSameAsPositive="0">
              <x14:cfvo type="autoMin"/>
              <x14:cfvo type="autoMax"/>
              <x14:borderColor rgb="FF008AEF"/>
              <x14:negativeFillColor rgb="FFFF0000"/>
              <x14:negativeBorderColor rgb="FFFF0000"/>
              <x14:axisColor rgb="FF000000"/>
            </x14:dataBar>
          </x14:cfRule>
          <xm:sqref>AG109</xm:sqref>
        </x14:conditionalFormatting>
        <x14:conditionalFormatting xmlns:xm="http://schemas.microsoft.com/office/excel/2006/main">
          <x14:cfRule type="dataBar" id="{8008E01E-B1BF-42AF-B6B8-CF6CF6E2EC8C}">
            <x14:dataBar minLength="0" maxLength="100" border="1" negativeBarBorderColorSameAsPositive="0">
              <x14:cfvo type="autoMin"/>
              <x14:cfvo type="autoMax"/>
              <x14:borderColor rgb="FF008AEF"/>
              <x14:negativeFillColor rgb="FFFF0000"/>
              <x14:negativeBorderColor rgb="FFFF0000"/>
              <x14:axisColor rgb="FF000000"/>
            </x14:dataBar>
          </x14:cfRule>
          <xm:sqref>AI109</xm:sqref>
        </x14:conditionalFormatting>
        <x14:conditionalFormatting xmlns:xm="http://schemas.microsoft.com/office/excel/2006/main">
          <x14:cfRule type="dataBar" id="{64720661-88AB-4136-9B96-1C0C9DBDB7DF}">
            <x14:dataBar minLength="0" maxLength="100" border="1" negativeBarBorderColorSameAsPositive="0">
              <x14:cfvo type="autoMin"/>
              <x14:cfvo type="autoMax"/>
              <x14:borderColor rgb="FF008AEF"/>
              <x14:negativeFillColor rgb="FFFF0000"/>
              <x14:negativeBorderColor rgb="FFFF0000"/>
              <x14:axisColor rgb="FF000000"/>
            </x14:dataBar>
          </x14:cfRule>
          <xm:sqref>AK109</xm:sqref>
        </x14:conditionalFormatting>
        <x14:conditionalFormatting xmlns:xm="http://schemas.microsoft.com/office/excel/2006/main">
          <x14:cfRule type="dataBar" id="{4C7111D7-A870-46E8-8B89-C675F1582A79}">
            <x14:dataBar minLength="0" maxLength="100" border="1" negativeBarBorderColorSameAsPositive="0">
              <x14:cfvo type="autoMin"/>
              <x14:cfvo type="autoMax"/>
              <x14:borderColor rgb="FF008AEF"/>
              <x14:negativeFillColor rgb="FFFF0000"/>
              <x14:negativeBorderColor rgb="FFFF0000"/>
              <x14:axisColor rgb="FF000000"/>
            </x14:dataBar>
          </x14:cfRule>
          <xm:sqref>AL112 U112 AA112 Y112 W112 AJ112 AH112 AC112:AD112 AF112</xm:sqref>
        </x14:conditionalFormatting>
        <x14:conditionalFormatting xmlns:xm="http://schemas.microsoft.com/office/excel/2006/main">
          <x14:cfRule type="dataBar" id="{EB10A535-5813-46DB-B975-F34CB93C3BD5}">
            <x14:dataBar minLength="0" maxLength="100" border="1" negativeBarBorderColorSameAsPositive="0">
              <x14:cfvo type="autoMin"/>
              <x14:cfvo type="autoMax"/>
              <x14:borderColor rgb="FF008AEF"/>
              <x14:negativeFillColor rgb="FFFF0000"/>
              <x14:negativeBorderColor rgb="FFFF0000"/>
              <x14:axisColor rgb="FF000000"/>
            </x14:dataBar>
          </x14:cfRule>
          <xm:sqref>X112</xm:sqref>
        </x14:conditionalFormatting>
        <x14:conditionalFormatting xmlns:xm="http://schemas.microsoft.com/office/excel/2006/main">
          <x14:cfRule type="dataBar" id="{42A46EEF-4F76-449B-BE59-85973EF65825}">
            <x14:dataBar minLength="0" maxLength="100" border="1" negativeBarBorderColorSameAsPositive="0">
              <x14:cfvo type="autoMin"/>
              <x14:cfvo type="autoMax"/>
              <x14:borderColor rgb="FF008AEF"/>
              <x14:negativeFillColor rgb="FFFF0000"/>
              <x14:negativeBorderColor rgb="FFFF0000"/>
              <x14:axisColor rgb="FF000000"/>
            </x14:dataBar>
          </x14:cfRule>
          <xm:sqref>Z112</xm:sqref>
        </x14:conditionalFormatting>
        <x14:conditionalFormatting xmlns:xm="http://schemas.microsoft.com/office/excel/2006/main">
          <x14:cfRule type="dataBar" id="{C99F6137-9375-4C8C-815A-82B6F8AB114D}">
            <x14:dataBar minLength="0" maxLength="100" border="1" negativeBarBorderColorSameAsPositive="0">
              <x14:cfvo type="autoMin"/>
              <x14:cfvo type="autoMax"/>
              <x14:borderColor rgb="FF008AEF"/>
              <x14:negativeFillColor rgb="FFFF0000"/>
              <x14:negativeBorderColor rgb="FFFF0000"/>
              <x14:axisColor rgb="FF000000"/>
            </x14:dataBar>
          </x14:cfRule>
          <xm:sqref>AB112</xm:sqref>
        </x14:conditionalFormatting>
        <x14:conditionalFormatting xmlns:xm="http://schemas.microsoft.com/office/excel/2006/main">
          <x14:cfRule type="dataBar" id="{C2C0B7B0-7D77-408A-AFDF-2A1F582831EA}">
            <x14:dataBar minLength="0" maxLength="100" border="1" negativeBarBorderColorSameAsPositive="0">
              <x14:cfvo type="autoMin"/>
              <x14:cfvo type="autoMax"/>
              <x14:borderColor rgb="FF008AEF"/>
              <x14:negativeFillColor rgb="FFFF0000"/>
              <x14:negativeBorderColor rgb="FFFF0000"/>
              <x14:axisColor rgb="FF000000"/>
            </x14:dataBar>
          </x14:cfRule>
          <xm:sqref>AG112</xm:sqref>
        </x14:conditionalFormatting>
        <x14:conditionalFormatting xmlns:xm="http://schemas.microsoft.com/office/excel/2006/main">
          <x14:cfRule type="dataBar" id="{70627C7B-1CCF-4E57-9452-54580D0981DB}">
            <x14:dataBar minLength="0" maxLength="100" border="1" negativeBarBorderColorSameAsPositive="0">
              <x14:cfvo type="autoMin"/>
              <x14:cfvo type="autoMax"/>
              <x14:borderColor rgb="FF008AEF"/>
              <x14:negativeFillColor rgb="FFFF0000"/>
              <x14:negativeBorderColor rgb="FFFF0000"/>
              <x14:axisColor rgb="FF000000"/>
            </x14:dataBar>
          </x14:cfRule>
          <xm:sqref>AI112</xm:sqref>
        </x14:conditionalFormatting>
        <x14:conditionalFormatting xmlns:xm="http://schemas.microsoft.com/office/excel/2006/main">
          <x14:cfRule type="dataBar" id="{41EF2A2B-299B-4853-B044-3A1D6CD436CF}">
            <x14:dataBar minLength="0" maxLength="100" border="1" negativeBarBorderColorSameAsPositive="0">
              <x14:cfvo type="autoMin"/>
              <x14:cfvo type="autoMax"/>
              <x14:borderColor rgb="FF008AEF"/>
              <x14:negativeFillColor rgb="FFFF0000"/>
              <x14:negativeBorderColor rgb="FFFF0000"/>
              <x14:axisColor rgb="FF000000"/>
            </x14:dataBar>
          </x14:cfRule>
          <xm:sqref>AK112</xm:sqref>
        </x14:conditionalFormatting>
        <x14:conditionalFormatting xmlns:xm="http://schemas.microsoft.com/office/excel/2006/main">
          <x14:cfRule type="dataBar" id="{3B263BD7-8AAE-489D-B7C6-CD34E7E80CC8}">
            <x14:dataBar minLength="0" maxLength="100" border="1" negativeBarBorderColorSameAsPositive="0">
              <x14:cfvo type="autoMin"/>
              <x14:cfvo type="autoMax"/>
              <x14:borderColor rgb="FF008AEF"/>
              <x14:negativeFillColor rgb="FFFF0000"/>
              <x14:negativeBorderColor rgb="FFFF0000"/>
              <x14:axisColor rgb="FF000000"/>
            </x14:dataBar>
          </x14:cfRule>
          <xm:sqref>U113 AL113 AA113 Y113 W113 AJ113 AH113 AC113:AD113 AF113</xm:sqref>
        </x14:conditionalFormatting>
        <x14:conditionalFormatting xmlns:xm="http://schemas.microsoft.com/office/excel/2006/main">
          <x14:cfRule type="dataBar" id="{39875B0B-2210-4C50-A04C-197B98E91912}">
            <x14:dataBar minLength="0" maxLength="100" border="1" negativeBarBorderColorSameAsPositive="0">
              <x14:cfvo type="autoMin"/>
              <x14:cfvo type="autoMax"/>
              <x14:borderColor rgb="FF008AEF"/>
              <x14:negativeFillColor rgb="FFFF0000"/>
              <x14:negativeBorderColor rgb="FFFF0000"/>
              <x14:axisColor rgb="FF000000"/>
            </x14:dataBar>
          </x14:cfRule>
          <xm:sqref>X113</xm:sqref>
        </x14:conditionalFormatting>
        <x14:conditionalFormatting xmlns:xm="http://schemas.microsoft.com/office/excel/2006/main">
          <x14:cfRule type="dataBar" id="{B5CE63F9-E489-49F4-80F1-C333A2661019}">
            <x14:dataBar minLength="0" maxLength="100" border="1" negativeBarBorderColorSameAsPositive="0">
              <x14:cfvo type="autoMin"/>
              <x14:cfvo type="autoMax"/>
              <x14:borderColor rgb="FF008AEF"/>
              <x14:negativeFillColor rgb="FFFF0000"/>
              <x14:negativeBorderColor rgb="FFFF0000"/>
              <x14:axisColor rgb="FF000000"/>
            </x14:dataBar>
          </x14:cfRule>
          <xm:sqref>Z113</xm:sqref>
        </x14:conditionalFormatting>
        <x14:conditionalFormatting xmlns:xm="http://schemas.microsoft.com/office/excel/2006/main">
          <x14:cfRule type="dataBar" id="{2060D33E-BFEE-41BB-B7A4-72EF708FDAE8}">
            <x14:dataBar minLength="0" maxLength="100" border="1" negativeBarBorderColorSameAsPositive="0">
              <x14:cfvo type="autoMin"/>
              <x14:cfvo type="autoMax"/>
              <x14:borderColor rgb="FF008AEF"/>
              <x14:negativeFillColor rgb="FFFF0000"/>
              <x14:negativeBorderColor rgb="FFFF0000"/>
              <x14:axisColor rgb="FF000000"/>
            </x14:dataBar>
          </x14:cfRule>
          <xm:sqref>AB113</xm:sqref>
        </x14:conditionalFormatting>
        <x14:conditionalFormatting xmlns:xm="http://schemas.microsoft.com/office/excel/2006/main">
          <x14:cfRule type="dataBar" id="{11EC275F-9333-4823-843F-01525884C377}">
            <x14:dataBar minLength="0" maxLength="100" border="1" negativeBarBorderColorSameAsPositive="0">
              <x14:cfvo type="autoMin"/>
              <x14:cfvo type="autoMax"/>
              <x14:borderColor rgb="FF008AEF"/>
              <x14:negativeFillColor rgb="FFFF0000"/>
              <x14:negativeBorderColor rgb="FFFF0000"/>
              <x14:axisColor rgb="FF000000"/>
            </x14:dataBar>
          </x14:cfRule>
          <xm:sqref>AG113</xm:sqref>
        </x14:conditionalFormatting>
        <x14:conditionalFormatting xmlns:xm="http://schemas.microsoft.com/office/excel/2006/main">
          <x14:cfRule type="dataBar" id="{15DFEE8E-DE9C-4972-84E6-BC6E2662CD12}">
            <x14:dataBar minLength="0" maxLength="100" border="1" negativeBarBorderColorSameAsPositive="0">
              <x14:cfvo type="autoMin"/>
              <x14:cfvo type="autoMax"/>
              <x14:borderColor rgb="FF008AEF"/>
              <x14:negativeFillColor rgb="FFFF0000"/>
              <x14:negativeBorderColor rgb="FFFF0000"/>
              <x14:axisColor rgb="FF000000"/>
            </x14:dataBar>
          </x14:cfRule>
          <xm:sqref>AI113</xm:sqref>
        </x14:conditionalFormatting>
        <x14:conditionalFormatting xmlns:xm="http://schemas.microsoft.com/office/excel/2006/main">
          <x14:cfRule type="dataBar" id="{4D949109-1FEB-4663-A444-B826B7EBDEEC}">
            <x14:dataBar minLength="0" maxLength="100" border="1" negativeBarBorderColorSameAsPositive="0">
              <x14:cfvo type="autoMin"/>
              <x14:cfvo type="autoMax"/>
              <x14:borderColor rgb="FF008AEF"/>
              <x14:negativeFillColor rgb="FFFF0000"/>
              <x14:negativeBorderColor rgb="FFFF0000"/>
              <x14:axisColor rgb="FF000000"/>
            </x14:dataBar>
          </x14:cfRule>
          <xm:sqref>AK113</xm:sqref>
        </x14:conditionalFormatting>
        <x14:conditionalFormatting xmlns:xm="http://schemas.microsoft.com/office/excel/2006/main">
          <x14:cfRule type="dataBar" id="{3C8FC9F8-EDDD-4F77-8AFB-876CDD54663D}">
            <x14:dataBar minLength="0" maxLength="100" border="1" negativeBarBorderColorSameAsPositive="0">
              <x14:cfvo type="autoMin"/>
              <x14:cfvo type="autoMax"/>
              <x14:borderColor rgb="FF008AEF"/>
              <x14:negativeFillColor rgb="FFFF0000"/>
              <x14:negativeBorderColor rgb="FFFF0000"/>
              <x14:axisColor rgb="FF000000"/>
            </x14:dataBar>
          </x14:cfRule>
          <xm:sqref>AA115 AL115 Y115 W115 AJ115 AH115 AC115:AD115 AF115</xm:sqref>
        </x14:conditionalFormatting>
        <x14:conditionalFormatting xmlns:xm="http://schemas.microsoft.com/office/excel/2006/main">
          <x14:cfRule type="dataBar" id="{95959565-51B0-433E-BAE6-A8D9621001BF}">
            <x14:dataBar minLength="0" maxLength="100" border="1" negativeBarBorderColorSameAsPositive="0">
              <x14:cfvo type="autoMin"/>
              <x14:cfvo type="autoMax"/>
              <x14:borderColor rgb="FF008AEF"/>
              <x14:negativeFillColor rgb="FFFF0000"/>
              <x14:negativeBorderColor rgb="FFFF0000"/>
              <x14:axisColor rgb="FF000000"/>
            </x14:dataBar>
          </x14:cfRule>
          <xm:sqref>Y116 AL116 AA116 W116 AJ116 AH116 AC116:AD116 AF116</xm:sqref>
        </x14:conditionalFormatting>
        <x14:conditionalFormatting xmlns:xm="http://schemas.microsoft.com/office/excel/2006/main">
          <x14:cfRule type="dataBar" id="{50E70900-EEEF-46FF-B4A1-480D639B5D64}">
            <x14:dataBar minLength="0" maxLength="100" border="1" negativeBarBorderColorSameAsPositive="0">
              <x14:cfvo type="autoMin"/>
              <x14:cfvo type="autoMax"/>
              <x14:borderColor rgb="FF008AEF"/>
              <x14:negativeFillColor rgb="FFFF0000"/>
              <x14:negativeBorderColor rgb="FFFF0000"/>
              <x14:axisColor rgb="FF000000"/>
            </x14:dataBar>
          </x14:cfRule>
          <xm:sqref>X115</xm:sqref>
        </x14:conditionalFormatting>
        <x14:conditionalFormatting xmlns:xm="http://schemas.microsoft.com/office/excel/2006/main">
          <x14:cfRule type="dataBar" id="{BC69FDE0-0449-4707-884E-4228543C1F3F}">
            <x14:dataBar minLength="0" maxLength="100" border="1" negativeBarBorderColorSameAsPositive="0">
              <x14:cfvo type="autoMin"/>
              <x14:cfvo type="autoMax"/>
              <x14:borderColor rgb="FF008AEF"/>
              <x14:negativeFillColor rgb="FFFF0000"/>
              <x14:negativeBorderColor rgb="FFFF0000"/>
              <x14:axisColor rgb="FF000000"/>
            </x14:dataBar>
          </x14:cfRule>
          <xm:sqref>Z115</xm:sqref>
        </x14:conditionalFormatting>
        <x14:conditionalFormatting xmlns:xm="http://schemas.microsoft.com/office/excel/2006/main">
          <x14:cfRule type="dataBar" id="{7F4AB43B-F367-45E4-AD89-B58C2C971CC9}">
            <x14:dataBar minLength="0" maxLength="100" border="1" negativeBarBorderColorSameAsPositive="0">
              <x14:cfvo type="autoMin"/>
              <x14:cfvo type="autoMax"/>
              <x14:borderColor rgb="FF008AEF"/>
              <x14:negativeFillColor rgb="FFFF0000"/>
              <x14:negativeBorderColor rgb="FFFF0000"/>
              <x14:axisColor rgb="FF000000"/>
            </x14:dataBar>
          </x14:cfRule>
          <xm:sqref>AB115</xm:sqref>
        </x14:conditionalFormatting>
        <x14:conditionalFormatting xmlns:xm="http://schemas.microsoft.com/office/excel/2006/main">
          <x14:cfRule type="dataBar" id="{2C44D941-961C-4CE3-9039-8C967422F689}">
            <x14:dataBar minLength="0" maxLength="100" border="1" negativeBarBorderColorSameAsPositive="0">
              <x14:cfvo type="autoMin"/>
              <x14:cfvo type="autoMax"/>
              <x14:borderColor rgb="FF008AEF"/>
              <x14:negativeFillColor rgb="FFFF0000"/>
              <x14:negativeBorderColor rgb="FFFF0000"/>
              <x14:axisColor rgb="FF000000"/>
            </x14:dataBar>
          </x14:cfRule>
          <xm:sqref>AG115</xm:sqref>
        </x14:conditionalFormatting>
        <x14:conditionalFormatting xmlns:xm="http://schemas.microsoft.com/office/excel/2006/main">
          <x14:cfRule type="dataBar" id="{C9879ED4-7F96-4F72-BBA3-45615576B944}">
            <x14:dataBar minLength="0" maxLength="100" border="1" negativeBarBorderColorSameAsPositive="0">
              <x14:cfvo type="autoMin"/>
              <x14:cfvo type="autoMax"/>
              <x14:borderColor rgb="FF008AEF"/>
              <x14:negativeFillColor rgb="FFFF0000"/>
              <x14:negativeBorderColor rgb="FFFF0000"/>
              <x14:axisColor rgb="FF000000"/>
            </x14:dataBar>
          </x14:cfRule>
          <xm:sqref>AI115</xm:sqref>
        </x14:conditionalFormatting>
        <x14:conditionalFormatting xmlns:xm="http://schemas.microsoft.com/office/excel/2006/main">
          <x14:cfRule type="dataBar" id="{3838D4FC-70BD-48BB-A465-9007FBEEA3E1}">
            <x14:dataBar minLength="0" maxLength="100" border="1" negativeBarBorderColorSameAsPositive="0">
              <x14:cfvo type="autoMin"/>
              <x14:cfvo type="autoMax"/>
              <x14:borderColor rgb="FF008AEF"/>
              <x14:negativeFillColor rgb="FFFF0000"/>
              <x14:negativeBorderColor rgb="FFFF0000"/>
              <x14:axisColor rgb="FF000000"/>
            </x14:dataBar>
          </x14:cfRule>
          <xm:sqref>AK115</xm:sqref>
        </x14:conditionalFormatting>
        <x14:conditionalFormatting xmlns:xm="http://schemas.microsoft.com/office/excel/2006/main">
          <x14:cfRule type="dataBar" id="{22C249BE-629F-41CE-AC2C-18C10D81FECA}">
            <x14:dataBar minLength="0" maxLength="100" border="1" negativeBarBorderColorSameAsPositive="0">
              <x14:cfvo type="autoMin"/>
              <x14:cfvo type="autoMax"/>
              <x14:borderColor rgb="FF008AEF"/>
              <x14:negativeFillColor rgb="FFFF0000"/>
              <x14:negativeBorderColor rgb="FFFF0000"/>
              <x14:axisColor rgb="FF000000"/>
            </x14:dataBar>
          </x14:cfRule>
          <xm:sqref>X116</xm:sqref>
        </x14:conditionalFormatting>
        <x14:conditionalFormatting xmlns:xm="http://schemas.microsoft.com/office/excel/2006/main">
          <x14:cfRule type="dataBar" id="{09CF0B85-BFDE-43D8-AA76-A76694C5E6F6}">
            <x14:dataBar minLength="0" maxLength="100" border="1" negativeBarBorderColorSameAsPositive="0">
              <x14:cfvo type="autoMin"/>
              <x14:cfvo type="autoMax"/>
              <x14:borderColor rgb="FF008AEF"/>
              <x14:negativeFillColor rgb="FFFF0000"/>
              <x14:negativeBorderColor rgb="FFFF0000"/>
              <x14:axisColor rgb="FF000000"/>
            </x14:dataBar>
          </x14:cfRule>
          <xm:sqref>Z116</xm:sqref>
        </x14:conditionalFormatting>
        <x14:conditionalFormatting xmlns:xm="http://schemas.microsoft.com/office/excel/2006/main">
          <x14:cfRule type="dataBar" id="{42722ED5-D9EC-4B60-9659-C297E95F93AF}">
            <x14:dataBar minLength="0" maxLength="100" border="1" negativeBarBorderColorSameAsPositive="0">
              <x14:cfvo type="autoMin"/>
              <x14:cfvo type="autoMax"/>
              <x14:borderColor rgb="FF008AEF"/>
              <x14:negativeFillColor rgb="FFFF0000"/>
              <x14:negativeBorderColor rgb="FFFF0000"/>
              <x14:axisColor rgb="FF000000"/>
            </x14:dataBar>
          </x14:cfRule>
          <xm:sqref>AB116</xm:sqref>
        </x14:conditionalFormatting>
        <x14:conditionalFormatting xmlns:xm="http://schemas.microsoft.com/office/excel/2006/main">
          <x14:cfRule type="dataBar" id="{11120137-FCB6-4AD7-ACD6-62876806843A}">
            <x14:dataBar minLength="0" maxLength="100" border="1" negativeBarBorderColorSameAsPositive="0">
              <x14:cfvo type="autoMin"/>
              <x14:cfvo type="autoMax"/>
              <x14:borderColor rgb="FF008AEF"/>
              <x14:negativeFillColor rgb="FFFF0000"/>
              <x14:negativeBorderColor rgb="FFFF0000"/>
              <x14:axisColor rgb="FF000000"/>
            </x14:dataBar>
          </x14:cfRule>
          <xm:sqref>AG116</xm:sqref>
        </x14:conditionalFormatting>
        <x14:conditionalFormatting xmlns:xm="http://schemas.microsoft.com/office/excel/2006/main">
          <x14:cfRule type="dataBar" id="{57CBCB2F-0AA0-42E9-9B26-6F5AE0B50420}">
            <x14:dataBar minLength="0" maxLength="100" border="1" negativeBarBorderColorSameAsPositive="0">
              <x14:cfvo type="autoMin"/>
              <x14:cfvo type="autoMax"/>
              <x14:borderColor rgb="FF008AEF"/>
              <x14:negativeFillColor rgb="FFFF0000"/>
              <x14:negativeBorderColor rgb="FFFF0000"/>
              <x14:axisColor rgb="FF000000"/>
            </x14:dataBar>
          </x14:cfRule>
          <xm:sqref>AI116</xm:sqref>
        </x14:conditionalFormatting>
        <x14:conditionalFormatting xmlns:xm="http://schemas.microsoft.com/office/excel/2006/main">
          <x14:cfRule type="dataBar" id="{E12F686E-75A4-4CFA-BA37-630D3AF22D1D}">
            <x14:dataBar minLength="0" maxLength="100" border="1" negativeBarBorderColorSameAsPositive="0">
              <x14:cfvo type="autoMin"/>
              <x14:cfvo type="autoMax"/>
              <x14:borderColor rgb="FF008AEF"/>
              <x14:negativeFillColor rgb="FFFF0000"/>
              <x14:negativeBorderColor rgb="FFFF0000"/>
              <x14:axisColor rgb="FF000000"/>
            </x14:dataBar>
          </x14:cfRule>
          <xm:sqref>AK116</xm:sqref>
        </x14:conditionalFormatting>
        <x14:conditionalFormatting xmlns:xm="http://schemas.microsoft.com/office/excel/2006/main">
          <x14:cfRule type="dataBar" id="{8AE02EB6-A80C-4002-8A69-894FB817AD00}">
            <x14:dataBar minLength="0" maxLength="100" border="1" negativeBarBorderColorSameAsPositive="0">
              <x14:cfvo type="autoMin"/>
              <x14:cfvo type="autoMax"/>
              <x14:borderColor rgb="FF008AEF"/>
              <x14:negativeFillColor rgb="FFFF0000"/>
              <x14:negativeBorderColor rgb="FFFF0000"/>
              <x14:axisColor rgb="FF000000"/>
            </x14:dataBar>
          </x14:cfRule>
          <xm:sqref>AL122 U122 AA122 Y122 W122 AJ122 AH122 AC122:AD122 AF122</xm:sqref>
        </x14:conditionalFormatting>
        <x14:conditionalFormatting xmlns:xm="http://schemas.microsoft.com/office/excel/2006/main">
          <x14:cfRule type="dataBar" id="{742CE6B9-398B-47FF-BF0E-93A4D9D1AF44}">
            <x14:dataBar minLength="0" maxLength="100" border="1" negativeBarBorderColorSameAsPositive="0">
              <x14:cfvo type="autoMin"/>
              <x14:cfvo type="autoMax"/>
              <x14:borderColor rgb="FF008AEF"/>
              <x14:negativeFillColor rgb="FFFF0000"/>
              <x14:negativeBorderColor rgb="FFFF0000"/>
              <x14:axisColor rgb="FF000000"/>
            </x14:dataBar>
          </x14:cfRule>
          <xm:sqref>X122</xm:sqref>
        </x14:conditionalFormatting>
        <x14:conditionalFormatting xmlns:xm="http://schemas.microsoft.com/office/excel/2006/main">
          <x14:cfRule type="dataBar" id="{64BAEDF3-E2CF-4566-9121-052F2B82EE71}">
            <x14:dataBar minLength="0" maxLength="100" border="1" negativeBarBorderColorSameAsPositive="0">
              <x14:cfvo type="autoMin"/>
              <x14:cfvo type="autoMax"/>
              <x14:borderColor rgb="FF008AEF"/>
              <x14:negativeFillColor rgb="FFFF0000"/>
              <x14:negativeBorderColor rgb="FFFF0000"/>
              <x14:axisColor rgb="FF000000"/>
            </x14:dataBar>
          </x14:cfRule>
          <xm:sqref>Z122</xm:sqref>
        </x14:conditionalFormatting>
        <x14:conditionalFormatting xmlns:xm="http://schemas.microsoft.com/office/excel/2006/main">
          <x14:cfRule type="dataBar" id="{385EF3DA-8315-4B8A-87E5-C31E4D766E19}">
            <x14:dataBar minLength="0" maxLength="100" border="1" negativeBarBorderColorSameAsPositive="0">
              <x14:cfvo type="autoMin"/>
              <x14:cfvo type="autoMax"/>
              <x14:borderColor rgb="FF008AEF"/>
              <x14:negativeFillColor rgb="FFFF0000"/>
              <x14:negativeBorderColor rgb="FFFF0000"/>
              <x14:axisColor rgb="FF000000"/>
            </x14:dataBar>
          </x14:cfRule>
          <xm:sqref>AB122</xm:sqref>
        </x14:conditionalFormatting>
        <x14:conditionalFormatting xmlns:xm="http://schemas.microsoft.com/office/excel/2006/main">
          <x14:cfRule type="dataBar" id="{17012D81-2BAA-4B0D-B178-8AEA79A1905F}">
            <x14:dataBar minLength="0" maxLength="100" border="1" negativeBarBorderColorSameAsPositive="0">
              <x14:cfvo type="autoMin"/>
              <x14:cfvo type="autoMax"/>
              <x14:borderColor rgb="FF008AEF"/>
              <x14:negativeFillColor rgb="FFFF0000"/>
              <x14:negativeBorderColor rgb="FFFF0000"/>
              <x14:axisColor rgb="FF000000"/>
            </x14:dataBar>
          </x14:cfRule>
          <xm:sqref>AG122</xm:sqref>
        </x14:conditionalFormatting>
        <x14:conditionalFormatting xmlns:xm="http://schemas.microsoft.com/office/excel/2006/main">
          <x14:cfRule type="dataBar" id="{ED339728-9645-4306-9BD4-B9E59C867329}">
            <x14:dataBar minLength="0" maxLength="100" border="1" negativeBarBorderColorSameAsPositive="0">
              <x14:cfvo type="autoMin"/>
              <x14:cfvo type="autoMax"/>
              <x14:borderColor rgb="FF008AEF"/>
              <x14:negativeFillColor rgb="FFFF0000"/>
              <x14:negativeBorderColor rgb="FFFF0000"/>
              <x14:axisColor rgb="FF000000"/>
            </x14:dataBar>
          </x14:cfRule>
          <xm:sqref>AI122</xm:sqref>
        </x14:conditionalFormatting>
        <x14:conditionalFormatting xmlns:xm="http://schemas.microsoft.com/office/excel/2006/main">
          <x14:cfRule type="dataBar" id="{80B0FD22-00AD-47DA-8865-E6EFDD786EC4}">
            <x14:dataBar minLength="0" maxLength="100" border="1" negativeBarBorderColorSameAsPositive="0">
              <x14:cfvo type="autoMin"/>
              <x14:cfvo type="autoMax"/>
              <x14:borderColor rgb="FF008AEF"/>
              <x14:negativeFillColor rgb="FFFF0000"/>
              <x14:negativeBorderColor rgb="FFFF0000"/>
              <x14:axisColor rgb="FF000000"/>
            </x14:dataBar>
          </x14:cfRule>
          <xm:sqref>AK122</xm:sqref>
        </x14:conditionalFormatting>
        <x14:conditionalFormatting xmlns:xm="http://schemas.microsoft.com/office/excel/2006/main">
          <x14:cfRule type="dataBar" id="{2472DA81-1A79-4B90-99D9-93ED75139F5D}">
            <x14:dataBar minLength="0" maxLength="100" border="1" negativeBarBorderColorSameAsPositive="0">
              <x14:cfvo type="autoMin"/>
              <x14:cfvo type="autoMax"/>
              <x14:borderColor rgb="FF008AEF"/>
              <x14:negativeFillColor rgb="FFFF0000"/>
              <x14:negativeBorderColor rgb="FFFF0000"/>
              <x14:axisColor rgb="FF000000"/>
            </x14:dataBar>
          </x14:cfRule>
          <xm:sqref>U123 AL123 AA123 Y123 W123 AJ123 AH123 AC123:AD123 AF123</xm:sqref>
        </x14:conditionalFormatting>
        <x14:conditionalFormatting xmlns:xm="http://schemas.microsoft.com/office/excel/2006/main">
          <x14:cfRule type="dataBar" id="{84430EB3-F0A2-41F9-BDD1-B9C097625E59}">
            <x14:dataBar minLength="0" maxLength="100" border="1" negativeBarBorderColorSameAsPositive="0">
              <x14:cfvo type="autoMin"/>
              <x14:cfvo type="autoMax"/>
              <x14:borderColor rgb="FF008AEF"/>
              <x14:negativeFillColor rgb="FFFF0000"/>
              <x14:negativeBorderColor rgb="FFFF0000"/>
              <x14:axisColor rgb="FF000000"/>
            </x14:dataBar>
          </x14:cfRule>
          <xm:sqref>X123</xm:sqref>
        </x14:conditionalFormatting>
        <x14:conditionalFormatting xmlns:xm="http://schemas.microsoft.com/office/excel/2006/main">
          <x14:cfRule type="dataBar" id="{B0A696A8-41CC-4A08-A8FD-D9BEC670C642}">
            <x14:dataBar minLength="0" maxLength="100" border="1" negativeBarBorderColorSameAsPositive="0">
              <x14:cfvo type="autoMin"/>
              <x14:cfvo type="autoMax"/>
              <x14:borderColor rgb="FF008AEF"/>
              <x14:negativeFillColor rgb="FFFF0000"/>
              <x14:negativeBorderColor rgb="FFFF0000"/>
              <x14:axisColor rgb="FF000000"/>
            </x14:dataBar>
          </x14:cfRule>
          <xm:sqref>Z123</xm:sqref>
        </x14:conditionalFormatting>
        <x14:conditionalFormatting xmlns:xm="http://schemas.microsoft.com/office/excel/2006/main">
          <x14:cfRule type="dataBar" id="{98AAB034-0AC6-4194-947B-662542815E33}">
            <x14:dataBar minLength="0" maxLength="100" border="1" negativeBarBorderColorSameAsPositive="0">
              <x14:cfvo type="autoMin"/>
              <x14:cfvo type="autoMax"/>
              <x14:borderColor rgb="FF008AEF"/>
              <x14:negativeFillColor rgb="FFFF0000"/>
              <x14:negativeBorderColor rgb="FFFF0000"/>
              <x14:axisColor rgb="FF000000"/>
            </x14:dataBar>
          </x14:cfRule>
          <xm:sqref>AB123</xm:sqref>
        </x14:conditionalFormatting>
        <x14:conditionalFormatting xmlns:xm="http://schemas.microsoft.com/office/excel/2006/main">
          <x14:cfRule type="dataBar" id="{352CEA5B-75B0-40F2-A7C3-84579B3C14B7}">
            <x14:dataBar minLength="0" maxLength="100" border="1" negativeBarBorderColorSameAsPositive="0">
              <x14:cfvo type="autoMin"/>
              <x14:cfvo type="autoMax"/>
              <x14:borderColor rgb="FF008AEF"/>
              <x14:negativeFillColor rgb="FFFF0000"/>
              <x14:negativeBorderColor rgb="FFFF0000"/>
              <x14:axisColor rgb="FF000000"/>
            </x14:dataBar>
          </x14:cfRule>
          <xm:sqref>AG123</xm:sqref>
        </x14:conditionalFormatting>
        <x14:conditionalFormatting xmlns:xm="http://schemas.microsoft.com/office/excel/2006/main">
          <x14:cfRule type="dataBar" id="{156A5A74-C747-4E46-94A7-613C28E3879C}">
            <x14:dataBar minLength="0" maxLength="100" border="1" negativeBarBorderColorSameAsPositive="0">
              <x14:cfvo type="autoMin"/>
              <x14:cfvo type="autoMax"/>
              <x14:borderColor rgb="FF008AEF"/>
              <x14:negativeFillColor rgb="FFFF0000"/>
              <x14:negativeBorderColor rgb="FFFF0000"/>
              <x14:axisColor rgb="FF000000"/>
            </x14:dataBar>
          </x14:cfRule>
          <xm:sqref>AI123</xm:sqref>
        </x14:conditionalFormatting>
        <x14:conditionalFormatting xmlns:xm="http://schemas.microsoft.com/office/excel/2006/main">
          <x14:cfRule type="dataBar" id="{4F7D06D7-60E8-4BC8-8B86-0F9296A9BD91}">
            <x14:dataBar minLength="0" maxLength="100" border="1" negativeBarBorderColorSameAsPositive="0">
              <x14:cfvo type="autoMin"/>
              <x14:cfvo type="autoMax"/>
              <x14:borderColor rgb="FF008AEF"/>
              <x14:negativeFillColor rgb="FFFF0000"/>
              <x14:negativeBorderColor rgb="FFFF0000"/>
              <x14:axisColor rgb="FF000000"/>
            </x14:dataBar>
          </x14:cfRule>
          <xm:sqref>AK123</xm:sqref>
        </x14:conditionalFormatting>
        <x14:conditionalFormatting xmlns:xm="http://schemas.microsoft.com/office/excel/2006/main">
          <x14:cfRule type="dataBar" id="{997467FF-511D-4D78-BA10-A7851A722857}">
            <x14:dataBar minLength="0" maxLength="100" border="1" negativeBarBorderColorSameAsPositive="0">
              <x14:cfvo type="autoMin"/>
              <x14:cfvo type="autoMax"/>
              <x14:borderColor rgb="FF008AEF"/>
              <x14:negativeFillColor rgb="FFFF0000"/>
              <x14:negativeBorderColor rgb="FFFF0000"/>
              <x14:axisColor rgb="FF000000"/>
            </x14:dataBar>
          </x14:cfRule>
          <xm:sqref>Y130 AL130 AA130 W130 AJ130 AH130 AC130:AD130 AF130</xm:sqref>
        </x14:conditionalFormatting>
        <x14:conditionalFormatting xmlns:xm="http://schemas.microsoft.com/office/excel/2006/main">
          <x14:cfRule type="dataBar" id="{B5DEE9EE-2887-4424-AA28-AEE01E7D5029}">
            <x14:dataBar minLength="0" maxLength="100" border="1" negativeBarBorderColorSameAsPositive="0">
              <x14:cfvo type="autoMin"/>
              <x14:cfvo type="autoMax"/>
              <x14:borderColor rgb="FF008AEF"/>
              <x14:negativeFillColor rgb="FFFF0000"/>
              <x14:negativeBorderColor rgb="FFFF0000"/>
              <x14:axisColor rgb="FF000000"/>
            </x14:dataBar>
          </x14:cfRule>
          <xm:sqref>X130</xm:sqref>
        </x14:conditionalFormatting>
        <x14:conditionalFormatting xmlns:xm="http://schemas.microsoft.com/office/excel/2006/main">
          <x14:cfRule type="dataBar" id="{9923ACD8-91A9-4092-A3CF-630A1961F9DE}">
            <x14:dataBar minLength="0" maxLength="100" border="1" negativeBarBorderColorSameAsPositive="0">
              <x14:cfvo type="autoMin"/>
              <x14:cfvo type="autoMax"/>
              <x14:borderColor rgb="FF008AEF"/>
              <x14:negativeFillColor rgb="FFFF0000"/>
              <x14:negativeBorderColor rgb="FFFF0000"/>
              <x14:axisColor rgb="FF000000"/>
            </x14:dataBar>
          </x14:cfRule>
          <xm:sqref>Z130</xm:sqref>
        </x14:conditionalFormatting>
        <x14:conditionalFormatting xmlns:xm="http://schemas.microsoft.com/office/excel/2006/main">
          <x14:cfRule type="dataBar" id="{629E6FB2-D8C2-41E0-8E63-99E4990F9613}">
            <x14:dataBar minLength="0" maxLength="100" border="1" negativeBarBorderColorSameAsPositive="0">
              <x14:cfvo type="autoMin"/>
              <x14:cfvo type="autoMax"/>
              <x14:borderColor rgb="FF008AEF"/>
              <x14:negativeFillColor rgb="FFFF0000"/>
              <x14:negativeBorderColor rgb="FFFF0000"/>
              <x14:axisColor rgb="FF000000"/>
            </x14:dataBar>
          </x14:cfRule>
          <xm:sqref>AB130</xm:sqref>
        </x14:conditionalFormatting>
        <x14:conditionalFormatting xmlns:xm="http://schemas.microsoft.com/office/excel/2006/main">
          <x14:cfRule type="dataBar" id="{66AF5968-79D1-485B-AC78-ECD426B53DA8}">
            <x14:dataBar minLength="0" maxLength="100" border="1" negativeBarBorderColorSameAsPositive="0">
              <x14:cfvo type="autoMin"/>
              <x14:cfvo type="autoMax"/>
              <x14:borderColor rgb="FF008AEF"/>
              <x14:negativeFillColor rgb="FFFF0000"/>
              <x14:negativeBorderColor rgb="FFFF0000"/>
              <x14:axisColor rgb="FF000000"/>
            </x14:dataBar>
          </x14:cfRule>
          <xm:sqref>AG130</xm:sqref>
        </x14:conditionalFormatting>
        <x14:conditionalFormatting xmlns:xm="http://schemas.microsoft.com/office/excel/2006/main">
          <x14:cfRule type="dataBar" id="{3F64FF3C-A4E2-45D9-A6C4-D4A329F5172D}">
            <x14:dataBar minLength="0" maxLength="100" border="1" negativeBarBorderColorSameAsPositive="0">
              <x14:cfvo type="autoMin"/>
              <x14:cfvo type="autoMax"/>
              <x14:borderColor rgb="FF008AEF"/>
              <x14:negativeFillColor rgb="FFFF0000"/>
              <x14:negativeBorderColor rgb="FFFF0000"/>
              <x14:axisColor rgb="FF000000"/>
            </x14:dataBar>
          </x14:cfRule>
          <xm:sqref>AI130</xm:sqref>
        </x14:conditionalFormatting>
        <x14:conditionalFormatting xmlns:xm="http://schemas.microsoft.com/office/excel/2006/main">
          <x14:cfRule type="dataBar" id="{CEF7C200-A91E-4981-870F-D99C75C934EA}">
            <x14:dataBar minLength="0" maxLength="100" border="1" negativeBarBorderColorSameAsPositive="0">
              <x14:cfvo type="autoMin"/>
              <x14:cfvo type="autoMax"/>
              <x14:borderColor rgb="FF008AEF"/>
              <x14:negativeFillColor rgb="FFFF0000"/>
              <x14:negativeBorderColor rgb="FFFF0000"/>
              <x14:axisColor rgb="FF000000"/>
            </x14:dataBar>
          </x14:cfRule>
          <xm:sqref>AK130</xm:sqref>
        </x14:conditionalFormatting>
        <x14:conditionalFormatting xmlns:xm="http://schemas.microsoft.com/office/excel/2006/main">
          <x14:cfRule type="dataBar" id="{FD520086-57CF-404C-A57A-3E958FCB4815}">
            <x14:dataBar minLength="0" maxLength="100" border="1" negativeBarBorderColorSameAsPositive="0">
              <x14:cfvo type="autoMin"/>
              <x14:cfvo type="autoMax"/>
              <x14:borderColor rgb="FF008AEF"/>
              <x14:negativeFillColor rgb="FFFF0000"/>
              <x14:negativeBorderColor rgb="FFFF0000"/>
              <x14:axisColor rgb="FF000000"/>
            </x14:dataBar>
          </x14:cfRule>
          <xm:sqref>U131 AL131 AA131 Y131 W131 AJ131 AH131 AC131:AD131 AF131</xm:sqref>
        </x14:conditionalFormatting>
        <x14:conditionalFormatting xmlns:xm="http://schemas.microsoft.com/office/excel/2006/main">
          <x14:cfRule type="dataBar" id="{9BF15029-6B2E-498E-AB68-3A527BD99016}">
            <x14:dataBar minLength="0" maxLength="100" border="1" negativeBarBorderColorSameAsPositive="0">
              <x14:cfvo type="autoMin"/>
              <x14:cfvo type="autoMax"/>
              <x14:borderColor rgb="FF008AEF"/>
              <x14:negativeFillColor rgb="FFFF0000"/>
              <x14:negativeBorderColor rgb="FFFF0000"/>
              <x14:axisColor rgb="FF000000"/>
            </x14:dataBar>
          </x14:cfRule>
          <xm:sqref>X131</xm:sqref>
        </x14:conditionalFormatting>
        <x14:conditionalFormatting xmlns:xm="http://schemas.microsoft.com/office/excel/2006/main">
          <x14:cfRule type="dataBar" id="{857BD7F8-0AAF-49D2-B7E5-E8E05F421561}">
            <x14:dataBar minLength="0" maxLength="100" border="1" negativeBarBorderColorSameAsPositive="0">
              <x14:cfvo type="autoMin"/>
              <x14:cfvo type="autoMax"/>
              <x14:borderColor rgb="FF008AEF"/>
              <x14:negativeFillColor rgb="FFFF0000"/>
              <x14:negativeBorderColor rgb="FFFF0000"/>
              <x14:axisColor rgb="FF000000"/>
            </x14:dataBar>
          </x14:cfRule>
          <xm:sqref>Z131</xm:sqref>
        </x14:conditionalFormatting>
        <x14:conditionalFormatting xmlns:xm="http://schemas.microsoft.com/office/excel/2006/main">
          <x14:cfRule type="dataBar" id="{B6637D3A-89C2-4243-AA33-459B4D1B9BF1}">
            <x14:dataBar minLength="0" maxLength="100" border="1" negativeBarBorderColorSameAsPositive="0">
              <x14:cfvo type="autoMin"/>
              <x14:cfvo type="autoMax"/>
              <x14:borderColor rgb="FF008AEF"/>
              <x14:negativeFillColor rgb="FFFF0000"/>
              <x14:negativeBorderColor rgb="FFFF0000"/>
              <x14:axisColor rgb="FF000000"/>
            </x14:dataBar>
          </x14:cfRule>
          <xm:sqref>AB131</xm:sqref>
        </x14:conditionalFormatting>
        <x14:conditionalFormatting xmlns:xm="http://schemas.microsoft.com/office/excel/2006/main">
          <x14:cfRule type="dataBar" id="{147939FF-C6C0-4C7E-9C22-47D6C18E5497}">
            <x14:dataBar minLength="0" maxLength="100" border="1" negativeBarBorderColorSameAsPositive="0">
              <x14:cfvo type="autoMin"/>
              <x14:cfvo type="autoMax"/>
              <x14:borderColor rgb="FF008AEF"/>
              <x14:negativeFillColor rgb="FFFF0000"/>
              <x14:negativeBorderColor rgb="FFFF0000"/>
              <x14:axisColor rgb="FF000000"/>
            </x14:dataBar>
          </x14:cfRule>
          <xm:sqref>AG131</xm:sqref>
        </x14:conditionalFormatting>
        <x14:conditionalFormatting xmlns:xm="http://schemas.microsoft.com/office/excel/2006/main">
          <x14:cfRule type="dataBar" id="{77536F1F-ED42-4ECB-B2AA-6F58A282B5F8}">
            <x14:dataBar minLength="0" maxLength="100" border="1" negativeBarBorderColorSameAsPositive="0">
              <x14:cfvo type="autoMin"/>
              <x14:cfvo type="autoMax"/>
              <x14:borderColor rgb="FF008AEF"/>
              <x14:negativeFillColor rgb="FFFF0000"/>
              <x14:negativeBorderColor rgb="FFFF0000"/>
              <x14:axisColor rgb="FF000000"/>
            </x14:dataBar>
          </x14:cfRule>
          <xm:sqref>AI131</xm:sqref>
        </x14:conditionalFormatting>
        <x14:conditionalFormatting xmlns:xm="http://schemas.microsoft.com/office/excel/2006/main">
          <x14:cfRule type="dataBar" id="{E702729E-3FF5-4845-BD83-08450716DE6A}">
            <x14:dataBar minLength="0" maxLength="100" border="1" negativeBarBorderColorSameAsPositive="0">
              <x14:cfvo type="autoMin"/>
              <x14:cfvo type="autoMax"/>
              <x14:borderColor rgb="FF008AEF"/>
              <x14:negativeFillColor rgb="FFFF0000"/>
              <x14:negativeBorderColor rgb="FFFF0000"/>
              <x14:axisColor rgb="FF000000"/>
            </x14:dataBar>
          </x14:cfRule>
          <xm:sqref>AK131</xm:sqref>
        </x14:conditionalFormatting>
        <x14:conditionalFormatting xmlns:xm="http://schemas.microsoft.com/office/excel/2006/main">
          <x14:cfRule type="dataBar" id="{6F8D0767-FB80-4027-BAC1-B5DE070AB538}">
            <x14:dataBar minLength="0" maxLength="100" border="1" negativeBarBorderColorSameAsPositive="0">
              <x14:cfvo type="autoMin"/>
              <x14:cfvo type="autoMax"/>
              <x14:borderColor rgb="FF008AEF"/>
              <x14:negativeFillColor rgb="FFFF0000"/>
              <x14:negativeBorderColor rgb="FFFF0000"/>
              <x14:axisColor rgb="FF000000"/>
            </x14:dataBar>
          </x14:cfRule>
          <xm:sqref>AL138 U138 AA138 Y138 W138 AJ138 AH138 AC138:AD138 AF138</xm:sqref>
        </x14:conditionalFormatting>
        <x14:conditionalFormatting xmlns:xm="http://schemas.microsoft.com/office/excel/2006/main">
          <x14:cfRule type="dataBar" id="{E4CC4994-A1A3-4062-94BC-A219FA639EF8}">
            <x14:dataBar minLength="0" maxLength="100" border="1" negativeBarBorderColorSameAsPositive="0">
              <x14:cfvo type="autoMin"/>
              <x14:cfvo type="autoMax"/>
              <x14:borderColor rgb="FF008AEF"/>
              <x14:negativeFillColor rgb="FFFF0000"/>
              <x14:negativeBorderColor rgb="FFFF0000"/>
              <x14:axisColor rgb="FF000000"/>
            </x14:dataBar>
          </x14:cfRule>
          <xm:sqref>X138</xm:sqref>
        </x14:conditionalFormatting>
        <x14:conditionalFormatting xmlns:xm="http://schemas.microsoft.com/office/excel/2006/main">
          <x14:cfRule type="dataBar" id="{D0E1FC4E-37D8-4768-AF84-53999903E7F0}">
            <x14:dataBar minLength="0" maxLength="100" border="1" negativeBarBorderColorSameAsPositive="0">
              <x14:cfvo type="autoMin"/>
              <x14:cfvo type="autoMax"/>
              <x14:borderColor rgb="FF008AEF"/>
              <x14:negativeFillColor rgb="FFFF0000"/>
              <x14:negativeBorderColor rgb="FFFF0000"/>
              <x14:axisColor rgb="FF000000"/>
            </x14:dataBar>
          </x14:cfRule>
          <xm:sqref>Z138</xm:sqref>
        </x14:conditionalFormatting>
        <x14:conditionalFormatting xmlns:xm="http://schemas.microsoft.com/office/excel/2006/main">
          <x14:cfRule type="dataBar" id="{FC6CBD15-08B8-40F0-8E24-FA3D938346C6}">
            <x14:dataBar minLength="0" maxLength="100" border="1" negativeBarBorderColorSameAsPositive="0">
              <x14:cfvo type="autoMin"/>
              <x14:cfvo type="autoMax"/>
              <x14:borderColor rgb="FF008AEF"/>
              <x14:negativeFillColor rgb="FFFF0000"/>
              <x14:negativeBorderColor rgb="FFFF0000"/>
              <x14:axisColor rgb="FF000000"/>
            </x14:dataBar>
          </x14:cfRule>
          <xm:sqref>AB138</xm:sqref>
        </x14:conditionalFormatting>
        <x14:conditionalFormatting xmlns:xm="http://schemas.microsoft.com/office/excel/2006/main">
          <x14:cfRule type="dataBar" id="{C661999A-2F65-4122-860A-D7F626D20582}">
            <x14:dataBar minLength="0" maxLength="100" border="1" negativeBarBorderColorSameAsPositive="0">
              <x14:cfvo type="autoMin"/>
              <x14:cfvo type="autoMax"/>
              <x14:borderColor rgb="FF008AEF"/>
              <x14:negativeFillColor rgb="FFFF0000"/>
              <x14:negativeBorderColor rgb="FFFF0000"/>
              <x14:axisColor rgb="FF000000"/>
            </x14:dataBar>
          </x14:cfRule>
          <xm:sqref>AG138</xm:sqref>
        </x14:conditionalFormatting>
        <x14:conditionalFormatting xmlns:xm="http://schemas.microsoft.com/office/excel/2006/main">
          <x14:cfRule type="dataBar" id="{A050EE6D-EA63-46AB-B0B1-E1126E58E219}">
            <x14:dataBar minLength="0" maxLength="100" border="1" negativeBarBorderColorSameAsPositive="0">
              <x14:cfvo type="autoMin"/>
              <x14:cfvo type="autoMax"/>
              <x14:borderColor rgb="FF008AEF"/>
              <x14:negativeFillColor rgb="FFFF0000"/>
              <x14:negativeBorderColor rgb="FFFF0000"/>
              <x14:axisColor rgb="FF000000"/>
            </x14:dataBar>
          </x14:cfRule>
          <xm:sqref>AI138</xm:sqref>
        </x14:conditionalFormatting>
        <x14:conditionalFormatting xmlns:xm="http://schemas.microsoft.com/office/excel/2006/main">
          <x14:cfRule type="dataBar" id="{05C33EF5-AAEF-40B6-B921-89FD60266C4F}">
            <x14:dataBar minLength="0" maxLength="100" border="1" negativeBarBorderColorSameAsPositive="0">
              <x14:cfvo type="autoMin"/>
              <x14:cfvo type="autoMax"/>
              <x14:borderColor rgb="FF008AEF"/>
              <x14:negativeFillColor rgb="FFFF0000"/>
              <x14:negativeBorderColor rgb="FFFF0000"/>
              <x14:axisColor rgb="FF000000"/>
            </x14:dataBar>
          </x14:cfRule>
          <xm:sqref>AK138</xm:sqref>
        </x14:conditionalFormatting>
        <x14:conditionalFormatting xmlns:xm="http://schemas.microsoft.com/office/excel/2006/main">
          <x14:cfRule type="dataBar" id="{02B300E9-826C-4FD1-9DBF-3A91D6B095EA}">
            <x14:dataBar minLength="0" maxLength="100" border="1" negativeBarBorderColorSameAsPositive="0">
              <x14:cfvo type="autoMin"/>
              <x14:cfvo type="autoMax"/>
              <x14:borderColor rgb="FF008AEF"/>
              <x14:negativeFillColor rgb="FFFF0000"/>
              <x14:negativeBorderColor rgb="FFFF0000"/>
              <x14:axisColor rgb="FF000000"/>
            </x14:dataBar>
          </x14:cfRule>
          <xm:sqref>AL139 U139 AA139 Y139 W139 AJ139 AH139 AC139:AD139 AF139</xm:sqref>
        </x14:conditionalFormatting>
        <x14:conditionalFormatting xmlns:xm="http://schemas.microsoft.com/office/excel/2006/main">
          <x14:cfRule type="dataBar" id="{6678E124-0EBF-48C9-BBB0-9BACD9BC3425}">
            <x14:dataBar minLength="0" maxLength="100" border="1" negativeBarBorderColorSameAsPositive="0">
              <x14:cfvo type="autoMin"/>
              <x14:cfvo type="autoMax"/>
              <x14:borderColor rgb="FF008AEF"/>
              <x14:negativeFillColor rgb="FFFF0000"/>
              <x14:negativeBorderColor rgb="FFFF0000"/>
              <x14:axisColor rgb="FF000000"/>
            </x14:dataBar>
          </x14:cfRule>
          <xm:sqref>X139</xm:sqref>
        </x14:conditionalFormatting>
        <x14:conditionalFormatting xmlns:xm="http://schemas.microsoft.com/office/excel/2006/main">
          <x14:cfRule type="dataBar" id="{82430FD6-84E9-4321-B2B7-19EF4671E43A}">
            <x14:dataBar minLength="0" maxLength="100" border="1" negativeBarBorderColorSameAsPositive="0">
              <x14:cfvo type="autoMin"/>
              <x14:cfvo type="autoMax"/>
              <x14:borderColor rgb="FF008AEF"/>
              <x14:negativeFillColor rgb="FFFF0000"/>
              <x14:negativeBorderColor rgb="FFFF0000"/>
              <x14:axisColor rgb="FF000000"/>
            </x14:dataBar>
          </x14:cfRule>
          <xm:sqref>Z139</xm:sqref>
        </x14:conditionalFormatting>
        <x14:conditionalFormatting xmlns:xm="http://schemas.microsoft.com/office/excel/2006/main">
          <x14:cfRule type="dataBar" id="{6822A5B7-E12D-4152-9F2B-09D9252B5441}">
            <x14:dataBar minLength="0" maxLength="100" border="1" negativeBarBorderColorSameAsPositive="0">
              <x14:cfvo type="autoMin"/>
              <x14:cfvo type="autoMax"/>
              <x14:borderColor rgb="FF008AEF"/>
              <x14:negativeFillColor rgb="FFFF0000"/>
              <x14:negativeBorderColor rgb="FFFF0000"/>
              <x14:axisColor rgb="FF000000"/>
            </x14:dataBar>
          </x14:cfRule>
          <xm:sqref>AB139</xm:sqref>
        </x14:conditionalFormatting>
        <x14:conditionalFormatting xmlns:xm="http://schemas.microsoft.com/office/excel/2006/main">
          <x14:cfRule type="dataBar" id="{C5C289BD-5F41-4075-BB57-9B2971B59561}">
            <x14:dataBar minLength="0" maxLength="100" border="1" negativeBarBorderColorSameAsPositive="0">
              <x14:cfvo type="autoMin"/>
              <x14:cfvo type="autoMax"/>
              <x14:borderColor rgb="FF008AEF"/>
              <x14:negativeFillColor rgb="FFFF0000"/>
              <x14:negativeBorderColor rgb="FFFF0000"/>
              <x14:axisColor rgb="FF000000"/>
            </x14:dataBar>
          </x14:cfRule>
          <xm:sqref>AG139</xm:sqref>
        </x14:conditionalFormatting>
        <x14:conditionalFormatting xmlns:xm="http://schemas.microsoft.com/office/excel/2006/main">
          <x14:cfRule type="dataBar" id="{3D8F0E84-EF17-461E-8DAE-0789100ED84B}">
            <x14:dataBar minLength="0" maxLength="100" border="1" negativeBarBorderColorSameAsPositive="0">
              <x14:cfvo type="autoMin"/>
              <x14:cfvo type="autoMax"/>
              <x14:borderColor rgb="FF008AEF"/>
              <x14:negativeFillColor rgb="FFFF0000"/>
              <x14:negativeBorderColor rgb="FFFF0000"/>
              <x14:axisColor rgb="FF000000"/>
            </x14:dataBar>
          </x14:cfRule>
          <xm:sqref>AI139</xm:sqref>
        </x14:conditionalFormatting>
        <x14:conditionalFormatting xmlns:xm="http://schemas.microsoft.com/office/excel/2006/main">
          <x14:cfRule type="dataBar" id="{5AC8303E-4B7E-4176-95FA-181A9E0BB841}">
            <x14:dataBar minLength="0" maxLength="100" border="1" negativeBarBorderColorSameAsPositive="0">
              <x14:cfvo type="autoMin"/>
              <x14:cfvo type="autoMax"/>
              <x14:borderColor rgb="FF008AEF"/>
              <x14:negativeFillColor rgb="FFFF0000"/>
              <x14:negativeBorderColor rgb="FFFF0000"/>
              <x14:axisColor rgb="FF000000"/>
            </x14:dataBar>
          </x14:cfRule>
          <xm:sqref>AK139</xm:sqref>
        </x14:conditionalFormatting>
        <x14:conditionalFormatting xmlns:xm="http://schemas.microsoft.com/office/excel/2006/main">
          <x14:cfRule type="dataBar" id="{40C5F270-350E-4E9D-AB50-8EBE6F5EA3C8}">
            <x14:dataBar minLength="0" maxLength="100" border="1" negativeBarBorderColorSameAsPositive="0">
              <x14:cfvo type="autoMin"/>
              <x14:cfvo type="autoMax"/>
              <x14:borderColor rgb="FF008AEF"/>
              <x14:negativeFillColor rgb="FFFF0000"/>
              <x14:negativeBorderColor rgb="FFFF0000"/>
              <x14:axisColor rgb="FF000000"/>
            </x14:dataBar>
          </x14:cfRule>
          <xm:sqref>AA141 AL141 Y141 W141 AJ141 AH141 AC141:AD141 AF141</xm:sqref>
        </x14:conditionalFormatting>
        <x14:conditionalFormatting xmlns:xm="http://schemas.microsoft.com/office/excel/2006/main">
          <x14:cfRule type="dataBar" id="{2D3F7787-CB54-4F04-A4FD-FB658C99731A}">
            <x14:dataBar minLength="0" maxLength="100" border="1" negativeBarBorderColorSameAsPositive="0">
              <x14:cfvo type="autoMin"/>
              <x14:cfvo type="autoMax"/>
              <x14:borderColor rgb="FF008AEF"/>
              <x14:negativeFillColor rgb="FFFF0000"/>
              <x14:negativeBorderColor rgb="FFFF0000"/>
              <x14:axisColor rgb="FF000000"/>
            </x14:dataBar>
          </x14:cfRule>
          <xm:sqref>AA142 AL142 Y142 W142 AJ142 AH142 AC142:AD142 AF142</xm:sqref>
        </x14:conditionalFormatting>
        <x14:conditionalFormatting xmlns:xm="http://schemas.microsoft.com/office/excel/2006/main">
          <x14:cfRule type="dataBar" id="{EEAAA449-E072-48C2-80CE-1866C66D903A}">
            <x14:dataBar minLength="0" maxLength="100" border="1" negativeBarBorderColorSameAsPositive="0">
              <x14:cfvo type="autoMin"/>
              <x14:cfvo type="autoMax"/>
              <x14:borderColor rgb="FF008AEF"/>
              <x14:negativeFillColor rgb="FFFF0000"/>
              <x14:negativeBorderColor rgb="FFFF0000"/>
              <x14:axisColor rgb="FF000000"/>
            </x14:dataBar>
          </x14:cfRule>
          <xm:sqref>X141</xm:sqref>
        </x14:conditionalFormatting>
        <x14:conditionalFormatting xmlns:xm="http://schemas.microsoft.com/office/excel/2006/main">
          <x14:cfRule type="dataBar" id="{66959C27-87C9-4481-A24F-F805E8307B94}">
            <x14:dataBar minLength="0" maxLength="100" border="1" negativeBarBorderColorSameAsPositive="0">
              <x14:cfvo type="autoMin"/>
              <x14:cfvo type="autoMax"/>
              <x14:borderColor rgb="FF008AEF"/>
              <x14:negativeFillColor rgb="FFFF0000"/>
              <x14:negativeBorderColor rgb="FFFF0000"/>
              <x14:axisColor rgb="FF000000"/>
            </x14:dataBar>
          </x14:cfRule>
          <xm:sqref>Z141</xm:sqref>
        </x14:conditionalFormatting>
        <x14:conditionalFormatting xmlns:xm="http://schemas.microsoft.com/office/excel/2006/main">
          <x14:cfRule type="dataBar" id="{9E5239CE-2FCA-4074-8E44-ECB41F6EE9AD}">
            <x14:dataBar minLength="0" maxLength="100" border="1" negativeBarBorderColorSameAsPositive="0">
              <x14:cfvo type="autoMin"/>
              <x14:cfvo type="autoMax"/>
              <x14:borderColor rgb="FF008AEF"/>
              <x14:negativeFillColor rgb="FFFF0000"/>
              <x14:negativeBorderColor rgb="FFFF0000"/>
              <x14:axisColor rgb="FF000000"/>
            </x14:dataBar>
          </x14:cfRule>
          <xm:sqref>AB141</xm:sqref>
        </x14:conditionalFormatting>
        <x14:conditionalFormatting xmlns:xm="http://schemas.microsoft.com/office/excel/2006/main">
          <x14:cfRule type="dataBar" id="{E41476C5-4D9B-41FA-AF03-5DD1579F5CE8}">
            <x14:dataBar minLength="0" maxLength="100" border="1" negativeBarBorderColorSameAsPositive="0">
              <x14:cfvo type="autoMin"/>
              <x14:cfvo type="autoMax"/>
              <x14:borderColor rgb="FF008AEF"/>
              <x14:negativeFillColor rgb="FFFF0000"/>
              <x14:negativeBorderColor rgb="FFFF0000"/>
              <x14:axisColor rgb="FF000000"/>
            </x14:dataBar>
          </x14:cfRule>
          <xm:sqref>AG141</xm:sqref>
        </x14:conditionalFormatting>
        <x14:conditionalFormatting xmlns:xm="http://schemas.microsoft.com/office/excel/2006/main">
          <x14:cfRule type="dataBar" id="{38997935-3107-420E-8AB2-B8B1D2E2FB20}">
            <x14:dataBar minLength="0" maxLength="100" border="1" negativeBarBorderColorSameAsPositive="0">
              <x14:cfvo type="autoMin"/>
              <x14:cfvo type="autoMax"/>
              <x14:borderColor rgb="FF008AEF"/>
              <x14:negativeFillColor rgb="FFFF0000"/>
              <x14:negativeBorderColor rgb="FFFF0000"/>
              <x14:axisColor rgb="FF000000"/>
            </x14:dataBar>
          </x14:cfRule>
          <xm:sqref>AI141</xm:sqref>
        </x14:conditionalFormatting>
        <x14:conditionalFormatting xmlns:xm="http://schemas.microsoft.com/office/excel/2006/main">
          <x14:cfRule type="dataBar" id="{094CCC02-A0FF-4543-B8B9-19E5BD0A4455}">
            <x14:dataBar minLength="0" maxLength="100" border="1" negativeBarBorderColorSameAsPositive="0">
              <x14:cfvo type="autoMin"/>
              <x14:cfvo type="autoMax"/>
              <x14:borderColor rgb="FF008AEF"/>
              <x14:negativeFillColor rgb="FFFF0000"/>
              <x14:negativeBorderColor rgb="FFFF0000"/>
              <x14:axisColor rgb="FF000000"/>
            </x14:dataBar>
          </x14:cfRule>
          <xm:sqref>AK141</xm:sqref>
        </x14:conditionalFormatting>
        <x14:conditionalFormatting xmlns:xm="http://schemas.microsoft.com/office/excel/2006/main">
          <x14:cfRule type="dataBar" id="{84010A9C-8F4E-4B06-8D0E-61835F92F820}">
            <x14:dataBar minLength="0" maxLength="100" border="1" negativeBarBorderColorSameAsPositive="0">
              <x14:cfvo type="autoMin"/>
              <x14:cfvo type="autoMax"/>
              <x14:borderColor rgb="FF008AEF"/>
              <x14:negativeFillColor rgb="FFFF0000"/>
              <x14:negativeBorderColor rgb="FFFF0000"/>
              <x14:axisColor rgb="FF000000"/>
            </x14:dataBar>
          </x14:cfRule>
          <xm:sqref>X142</xm:sqref>
        </x14:conditionalFormatting>
        <x14:conditionalFormatting xmlns:xm="http://schemas.microsoft.com/office/excel/2006/main">
          <x14:cfRule type="dataBar" id="{BE9E030F-A0B3-4071-9ABD-9CB7CE461BD5}">
            <x14:dataBar minLength="0" maxLength="100" border="1" negativeBarBorderColorSameAsPositive="0">
              <x14:cfvo type="autoMin"/>
              <x14:cfvo type="autoMax"/>
              <x14:borderColor rgb="FF008AEF"/>
              <x14:negativeFillColor rgb="FFFF0000"/>
              <x14:negativeBorderColor rgb="FFFF0000"/>
              <x14:axisColor rgb="FF000000"/>
            </x14:dataBar>
          </x14:cfRule>
          <xm:sqref>Z142</xm:sqref>
        </x14:conditionalFormatting>
        <x14:conditionalFormatting xmlns:xm="http://schemas.microsoft.com/office/excel/2006/main">
          <x14:cfRule type="dataBar" id="{E1303023-8F26-4DA1-9DD5-68CEB9FD5E9B}">
            <x14:dataBar minLength="0" maxLength="100" border="1" negativeBarBorderColorSameAsPositive="0">
              <x14:cfvo type="autoMin"/>
              <x14:cfvo type="autoMax"/>
              <x14:borderColor rgb="FF008AEF"/>
              <x14:negativeFillColor rgb="FFFF0000"/>
              <x14:negativeBorderColor rgb="FFFF0000"/>
              <x14:axisColor rgb="FF000000"/>
            </x14:dataBar>
          </x14:cfRule>
          <xm:sqref>AB142</xm:sqref>
        </x14:conditionalFormatting>
        <x14:conditionalFormatting xmlns:xm="http://schemas.microsoft.com/office/excel/2006/main">
          <x14:cfRule type="dataBar" id="{A6F2C8E7-E4F9-40A3-8123-0813AE60C4AC}">
            <x14:dataBar minLength="0" maxLength="100" border="1" negativeBarBorderColorSameAsPositive="0">
              <x14:cfvo type="autoMin"/>
              <x14:cfvo type="autoMax"/>
              <x14:borderColor rgb="FF008AEF"/>
              <x14:negativeFillColor rgb="FFFF0000"/>
              <x14:negativeBorderColor rgb="FFFF0000"/>
              <x14:axisColor rgb="FF000000"/>
            </x14:dataBar>
          </x14:cfRule>
          <xm:sqref>AG142</xm:sqref>
        </x14:conditionalFormatting>
        <x14:conditionalFormatting xmlns:xm="http://schemas.microsoft.com/office/excel/2006/main">
          <x14:cfRule type="dataBar" id="{9D3DB648-C4BF-440B-A8AA-885BE550496C}">
            <x14:dataBar minLength="0" maxLength="100" border="1" negativeBarBorderColorSameAsPositive="0">
              <x14:cfvo type="autoMin"/>
              <x14:cfvo type="autoMax"/>
              <x14:borderColor rgb="FF008AEF"/>
              <x14:negativeFillColor rgb="FFFF0000"/>
              <x14:negativeBorderColor rgb="FFFF0000"/>
              <x14:axisColor rgb="FF000000"/>
            </x14:dataBar>
          </x14:cfRule>
          <xm:sqref>AI142</xm:sqref>
        </x14:conditionalFormatting>
        <x14:conditionalFormatting xmlns:xm="http://schemas.microsoft.com/office/excel/2006/main">
          <x14:cfRule type="dataBar" id="{E94831E6-2962-4880-A5EC-24DF91453A44}">
            <x14:dataBar minLength="0" maxLength="100" border="1" negativeBarBorderColorSameAsPositive="0">
              <x14:cfvo type="autoMin"/>
              <x14:cfvo type="autoMax"/>
              <x14:borderColor rgb="FF008AEF"/>
              <x14:negativeFillColor rgb="FFFF0000"/>
              <x14:negativeBorderColor rgb="FFFF0000"/>
              <x14:axisColor rgb="FF000000"/>
            </x14:dataBar>
          </x14:cfRule>
          <xm:sqref>AK142</xm:sqref>
        </x14:conditionalFormatting>
        <x14:conditionalFormatting xmlns:xm="http://schemas.microsoft.com/office/excel/2006/main">
          <x14:cfRule type="dataBar" id="{44B68644-4CF4-41BA-A656-D972A27BB472}">
            <x14:dataBar minLength="0" maxLength="100" border="1" negativeBarBorderColorSameAsPositive="0">
              <x14:cfvo type="autoMin"/>
              <x14:cfvo type="autoMax"/>
              <x14:borderColor rgb="FF008AEF"/>
              <x14:negativeFillColor rgb="FFFF0000"/>
              <x14:negativeBorderColor rgb="FFFF0000"/>
              <x14:axisColor rgb="FF000000"/>
            </x14:dataBar>
          </x14:cfRule>
          <xm:sqref>AA76 Y76 W76 AC76</xm:sqref>
        </x14:conditionalFormatting>
        <x14:conditionalFormatting xmlns:xm="http://schemas.microsoft.com/office/excel/2006/main">
          <x14:cfRule type="dataBar" id="{0C37CD38-BE75-4E8D-987E-CB5DC790730E}">
            <x14:dataBar minLength="0" maxLength="100" border="1" negativeBarBorderColorSameAsPositive="0">
              <x14:cfvo type="autoMin"/>
              <x14:cfvo type="autoMax"/>
              <x14:borderColor rgb="FF008AEF"/>
              <x14:negativeFillColor rgb="FFFF0000"/>
              <x14:negativeBorderColor rgb="FFFF0000"/>
              <x14:axisColor rgb="FF000000"/>
            </x14:dataBar>
          </x14:cfRule>
          <xm:sqref>X76</xm:sqref>
        </x14:conditionalFormatting>
        <x14:conditionalFormatting xmlns:xm="http://schemas.microsoft.com/office/excel/2006/main">
          <x14:cfRule type="dataBar" id="{D90A1884-26BC-4040-B87B-A3948A86F9CC}">
            <x14:dataBar minLength="0" maxLength="100" border="1" negativeBarBorderColorSameAsPositive="0">
              <x14:cfvo type="autoMin"/>
              <x14:cfvo type="autoMax"/>
              <x14:borderColor rgb="FF008AEF"/>
              <x14:negativeFillColor rgb="FFFF0000"/>
              <x14:negativeBorderColor rgb="FFFF0000"/>
              <x14:axisColor rgb="FF000000"/>
            </x14:dataBar>
          </x14:cfRule>
          <xm:sqref>Z76</xm:sqref>
        </x14:conditionalFormatting>
        <x14:conditionalFormatting xmlns:xm="http://schemas.microsoft.com/office/excel/2006/main">
          <x14:cfRule type="dataBar" id="{04F7675C-CD1F-4A41-9C03-20DE76C66EDC}">
            <x14:dataBar minLength="0" maxLength="100" border="1" negativeBarBorderColorSameAsPositive="0">
              <x14:cfvo type="autoMin"/>
              <x14:cfvo type="autoMax"/>
              <x14:borderColor rgb="FF008AEF"/>
              <x14:negativeFillColor rgb="FFFF0000"/>
              <x14:negativeBorderColor rgb="FFFF0000"/>
              <x14:axisColor rgb="FF000000"/>
            </x14:dataBar>
          </x14:cfRule>
          <xm:sqref>AB76</xm:sqref>
        </x14:conditionalFormatting>
        <x14:conditionalFormatting xmlns:xm="http://schemas.microsoft.com/office/excel/2006/main">
          <x14:cfRule type="dataBar" id="{3E4DACA3-2466-4FDD-8143-F311536A804F}">
            <x14:dataBar minLength="0" maxLength="100" border="1" negativeBarBorderColorSameAsPositive="0">
              <x14:cfvo type="autoMin"/>
              <x14:cfvo type="autoMax"/>
              <x14:borderColor rgb="FF008AEF"/>
              <x14:negativeFillColor rgb="FFFF0000"/>
              <x14:negativeBorderColor rgb="FFFF0000"/>
              <x14:axisColor rgb="FF000000"/>
            </x14:dataBar>
          </x14:cfRule>
          <xm:sqref>AH76 AL76 AJ76 AF76</xm:sqref>
        </x14:conditionalFormatting>
        <x14:conditionalFormatting xmlns:xm="http://schemas.microsoft.com/office/excel/2006/main">
          <x14:cfRule type="dataBar" id="{59E718C5-8D62-4B99-9744-BB52864586E6}">
            <x14:dataBar minLength="0" maxLength="100" border="1" negativeBarBorderColorSameAsPositive="0">
              <x14:cfvo type="autoMin"/>
              <x14:cfvo type="autoMax"/>
              <x14:borderColor rgb="FF008AEF"/>
              <x14:negativeFillColor rgb="FFFF0000"/>
              <x14:negativeBorderColor rgb="FFFF0000"/>
              <x14:axisColor rgb="FF000000"/>
            </x14:dataBar>
          </x14:cfRule>
          <xm:sqref>AG76</xm:sqref>
        </x14:conditionalFormatting>
        <x14:conditionalFormatting xmlns:xm="http://schemas.microsoft.com/office/excel/2006/main">
          <x14:cfRule type="dataBar" id="{EB639C9D-1F02-4975-8C03-1EB7723B84E9}">
            <x14:dataBar minLength="0" maxLength="100" border="1" negativeBarBorderColorSameAsPositive="0">
              <x14:cfvo type="autoMin"/>
              <x14:cfvo type="autoMax"/>
              <x14:borderColor rgb="FF008AEF"/>
              <x14:negativeFillColor rgb="FFFF0000"/>
              <x14:negativeBorderColor rgb="FFFF0000"/>
              <x14:axisColor rgb="FF000000"/>
            </x14:dataBar>
          </x14:cfRule>
          <xm:sqref>AI76</xm:sqref>
        </x14:conditionalFormatting>
        <x14:conditionalFormatting xmlns:xm="http://schemas.microsoft.com/office/excel/2006/main">
          <x14:cfRule type="dataBar" id="{5C96AB5B-7679-4C37-887B-8AD636C525DF}">
            <x14:dataBar minLength="0" maxLength="100" border="1" negativeBarBorderColorSameAsPositive="0">
              <x14:cfvo type="autoMin"/>
              <x14:cfvo type="autoMax"/>
              <x14:borderColor rgb="FF008AEF"/>
              <x14:negativeFillColor rgb="FFFF0000"/>
              <x14:negativeBorderColor rgb="FFFF0000"/>
              <x14:axisColor rgb="FF000000"/>
            </x14:dataBar>
          </x14:cfRule>
          <xm:sqref>AK76</xm:sqref>
        </x14:conditionalFormatting>
        <x14:conditionalFormatting xmlns:xm="http://schemas.microsoft.com/office/excel/2006/main">
          <x14:cfRule type="dataBar" id="{91CA5721-B1B9-4AC9-9B67-EED8C2E6827D}">
            <x14:dataBar minLength="0" maxLength="100" border="1" negativeBarBorderColorSameAsPositive="0">
              <x14:cfvo type="autoMin"/>
              <x14:cfvo type="autoMax"/>
              <x14:borderColor rgb="FF008AEF"/>
              <x14:negativeFillColor rgb="FFFF0000"/>
              <x14:negativeBorderColor rgb="FFFF0000"/>
              <x14:axisColor rgb="FF000000"/>
            </x14:dataBar>
          </x14:cfRule>
          <xm:sqref>AA39 Y39 AC39 V39:W39</xm:sqref>
        </x14:conditionalFormatting>
        <x14:conditionalFormatting xmlns:xm="http://schemas.microsoft.com/office/excel/2006/main">
          <x14:cfRule type="dataBar" id="{14B1A98D-F995-47B9-A675-4E2A66763120}">
            <x14:dataBar minLength="0" maxLength="100" border="1" negativeBarBorderColorSameAsPositive="0">
              <x14:cfvo type="autoMin"/>
              <x14:cfvo type="autoMax"/>
              <x14:borderColor rgb="FF008AEF"/>
              <x14:negativeFillColor rgb="FFFF0000"/>
              <x14:negativeBorderColor rgb="FFFF0000"/>
              <x14:axisColor rgb="FF000000"/>
            </x14:dataBar>
          </x14:cfRule>
          <xm:sqref>X39</xm:sqref>
        </x14:conditionalFormatting>
        <x14:conditionalFormatting xmlns:xm="http://schemas.microsoft.com/office/excel/2006/main">
          <x14:cfRule type="dataBar" id="{4B3475B7-D6F1-4542-A14A-D37093C2E51A}">
            <x14:dataBar minLength="0" maxLength="100" border="1" negativeBarBorderColorSameAsPositive="0">
              <x14:cfvo type="autoMin"/>
              <x14:cfvo type="autoMax"/>
              <x14:borderColor rgb="FF008AEF"/>
              <x14:negativeFillColor rgb="FFFF0000"/>
              <x14:negativeBorderColor rgb="FFFF0000"/>
              <x14:axisColor rgb="FF000000"/>
            </x14:dataBar>
          </x14:cfRule>
          <xm:sqref>Z39</xm:sqref>
        </x14:conditionalFormatting>
        <x14:conditionalFormatting xmlns:xm="http://schemas.microsoft.com/office/excel/2006/main">
          <x14:cfRule type="dataBar" id="{0F4D99C0-25C8-42A7-BB8F-885FD876A6A5}">
            <x14:dataBar minLength="0" maxLength="100" border="1" negativeBarBorderColorSameAsPositive="0">
              <x14:cfvo type="autoMin"/>
              <x14:cfvo type="autoMax"/>
              <x14:borderColor rgb="FF008AEF"/>
              <x14:negativeFillColor rgb="FFFF0000"/>
              <x14:negativeBorderColor rgb="FFFF0000"/>
              <x14:axisColor rgb="FF000000"/>
            </x14:dataBar>
          </x14:cfRule>
          <xm:sqref>AB39</xm:sqref>
        </x14:conditionalFormatting>
        <x14:conditionalFormatting xmlns:xm="http://schemas.microsoft.com/office/excel/2006/main">
          <x14:cfRule type="dataBar" id="{D3BFA734-7729-4E9D-9B10-D944B7011C62}">
            <x14:dataBar minLength="0" maxLength="100" border="1" negativeBarBorderColorSameAsPositive="0">
              <x14:cfvo type="autoMin"/>
              <x14:cfvo type="autoMax"/>
              <x14:borderColor rgb="FF008AEF"/>
              <x14:negativeFillColor rgb="FFFF0000"/>
              <x14:negativeBorderColor rgb="FFFF0000"/>
              <x14:axisColor rgb="FF000000"/>
            </x14:dataBar>
          </x14:cfRule>
          <xm:sqref>AA40 Y40 AC40 V40:W40</xm:sqref>
        </x14:conditionalFormatting>
        <x14:conditionalFormatting xmlns:xm="http://schemas.microsoft.com/office/excel/2006/main">
          <x14:cfRule type="dataBar" id="{55D57CA8-79DA-4757-979B-4C8B2C91F156}">
            <x14:dataBar minLength="0" maxLength="100" border="1" negativeBarBorderColorSameAsPositive="0">
              <x14:cfvo type="autoMin"/>
              <x14:cfvo type="autoMax"/>
              <x14:borderColor rgb="FF008AEF"/>
              <x14:negativeFillColor rgb="FFFF0000"/>
              <x14:negativeBorderColor rgb="FFFF0000"/>
              <x14:axisColor rgb="FF000000"/>
            </x14:dataBar>
          </x14:cfRule>
          <xm:sqref>X40</xm:sqref>
        </x14:conditionalFormatting>
        <x14:conditionalFormatting xmlns:xm="http://schemas.microsoft.com/office/excel/2006/main">
          <x14:cfRule type="dataBar" id="{9E25B9E0-63B2-4FBA-ADEB-CCD34BD76E50}">
            <x14:dataBar minLength="0" maxLength="100" border="1" negativeBarBorderColorSameAsPositive="0">
              <x14:cfvo type="autoMin"/>
              <x14:cfvo type="autoMax"/>
              <x14:borderColor rgb="FF008AEF"/>
              <x14:negativeFillColor rgb="FFFF0000"/>
              <x14:negativeBorderColor rgb="FFFF0000"/>
              <x14:axisColor rgb="FF000000"/>
            </x14:dataBar>
          </x14:cfRule>
          <xm:sqref>Z40</xm:sqref>
        </x14:conditionalFormatting>
        <x14:conditionalFormatting xmlns:xm="http://schemas.microsoft.com/office/excel/2006/main">
          <x14:cfRule type="dataBar" id="{FA740780-8AB2-42C0-B8CF-143B602C6AAC}">
            <x14:dataBar minLength="0" maxLength="100" border="1" negativeBarBorderColorSameAsPositive="0">
              <x14:cfvo type="autoMin"/>
              <x14:cfvo type="autoMax"/>
              <x14:borderColor rgb="FF008AEF"/>
              <x14:negativeFillColor rgb="FFFF0000"/>
              <x14:negativeBorderColor rgb="FFFF0000"/>
              <x14:axisColor rgb="FF000000"/>
            </x14:dataBar>
          </x14:cfRule>
          <xm:sqref>AB40</xm:sqref>
        </x14:conditionalFormatting>
        <x14:conditionalFormatting xmlns:xm="http://schemas.microsoft.com/office/excel/2006/main">
          <x14:cfRule type="dataBar" id="{0A4B5523-384B-4DE8-A4BA-9944405CB663}">
            <x14:dataBar minLength="0" maxLength="100" border="1" negativeBarBorderColorSameAsPositive="0">
              <x14:cfvo type="autoMin"/>
              <x14:cfvo type="autoMax"/>
              <x14:borderColor rgb="FF008AEF"/>
              <x14:negativeFillColor rgb="FFFF0000"/>
              <x14:negativeBorderColor rgb="FFFF0000"/>
              <x14:axisColor rgb="FF000000"/>
            </x14:dataBar>
          </x14:cfRule>
          <xm:sqref>AJ39 AL39 AH39 AE39:AF39</xm:sqref>
        </x14:conditionalFormatting>
        <x14:conditionalFormatting xmlns:xm="http://schemas.microsoft.com/office/excel/2006/main">
          <x14:cfRule type="dataBar" id="{22F4D72A-A575-4F80-A405-26E54708BFBB}">
            <x14:dataBar minLength="0" maxLength="100" border="1" negativeBarBorderColorSameAsPositive="0">
              <x14:cfvo type="autoMin"/>
              <x14:cfvo type="autoMax"/>
              <x14:borderColor rgb="FF008AEF"/>
              <x14:negativeFillColor rgb="FFFF0000"/>
              <x14:negativeBorderColor rgb="FFFF0000"/>
              <x14:axisColor rgb="FF000000"/>
            </x14:dataBar>
          </x14:cfRule>
          <xm:sqref>AG39</xm:sqref>
        </x14:conditionalFormatting>
        <x14:conditionalFormatting xmlns:xm="http://schemas.microsoft.com/office/excel/2006/main">
          <x14:cfRule type="dataBar" id="{70A5FF56-66CA-42FC-B882-0641ADF0EDCE}">
            <x14:dataBar minLength="0" maxLength="100" border="1" negativeBarBorderColorSameAsPositive="0">
              <x14:cfvo type="autoMin"/>
              <x14:cfvo type="autoMax"/>
              <x14:borderColor rgb="FF008AEF"/>
              <x14:negativeFillColor rgb="FFFF0000"/>
              <x14:negativeBorderColor rgb="FFFF0000"/>
              <x14:axisColor rgb="FF000000"/>
            </x14:dataBar>
          </x14:cfRule>
          <xm:sqref>AI39</xm:sqref>
        </x14:conditionalFormatting>
        <x14:conditionalFormatting xmlns:xm="http://schemas.microsoft.com/office/excel/2006/main">
          <x14:cfRule type="dataBar" id="{84A1EBD0-E029-44CC-90FF-5D1266DACD2F}">
            <x14:dataBar minLength="0" maxLength="100" border="1" negativeBarBorderColorSameAsPositive="0">
              <x14:cfvo type="autoMin"/>
              <x14:cfvo type="autoMax"/>
              <x14:borderColor rgb="FF008AEF"/>
              <x14:negativeFillColor rgb="FFFF0000"/>
              <x14:negativeBorderColor rgb="FFFF0000"/>
              <x14:axisColor rgb="FF000000"/>
            </x14:dataBar>
          </x14:cfRule>
          <xm:sqref>AK39</xm:sqref>
        </x14:conditionalFormatting>
        <x14:conditionalFormatting xmlns:xm="http://schemas.microsoft.com/office/excel/2006/main">
          <x14:cfRule type="dataBar" id="{F07461E7-FF18-4C71-8E16-01429CEB12CA}">
            <x14:dataBar minLength="0" maxLength="100" border="1" negativeBarBorderColorSameAsPositive="0">
              <x14:cfvo type="autoMin"/>
              <x14:cfvo type="autoMax"/>
              <x14:borderColor rgb="FF008AEF"/>
              <x14:negativeFillColor rgb="FFFF0000"/>
              <x14:negativeBorderColor rgb="FFFF0000"/>
              <x14:axisColor rgb="FF000000"/>
            </x14:dataBar>
          </x14:cfRule>
          <xm:sqref>AJ40 AL40 AH40 AE40:AF40</xm:sqref>
        </x14:conditionalFormatting>
        <x14:conditionalFormatting xmlns:xm="http://schemas.microsoft.com/office/excel/2006/main">
          <x14:cfRule type="dataBar" id="{6BE0C751-65F6-4AAB-9827-A33A7AC9F709}">
            <x14:dataBar minLength="0" maxLength="100" border="1" negativeBarBorderColorSameAsPositive="0">
              <x14:cfvo type="autoMin"/>
              <x14:cfvo type="autoMax"/>
              <x14:borderColor rgb="FF008AEF"/>
              <x14:negativeFillColor rgb="FFFF0000"/>
              <x14:negativeBorderColor rgb="FFFF0000"/>
              <x14:axisColor rgb="FF000000"/>
            </x14:dataBar>
          </x14:cfRule>
          <xm:sqref>AG40</xm:sqref>
        </x14:conditionalFormatting>
        <x14:conditionalFormatting xmlns:xm="http://schemas.microsoft.com/office/excel/2006/main">
          <x14:cfRule type="dataBar" id="{0637ED96-1E12-4D84-922E-9546F2D4FCA4}">
            <x14:dataBar minLength="0" maxLength="100" border="1" negativeBarBorderColorSameAsPositive="0">
              <x14:cfvo type="autoMin"/>
              <x14:cfvo type="autoMax"/>
              <x14:borderColor rgb="FF008AEF"/>
              <x14:negativeFillColor rgb="FFFF0000"/>
              <x14:negativeBorderColor rgb="FFFF0000"/>
              <x14:axisColor rgb="FF000000"/>
            </x14:dataBar>
          </x14:cfRule>
          <xm:sqref>AI40</xm:sqref>
        </x14:conditionalFormatting>
        <x14:conditionalFormatting xmlns:xm="http://schemas.microsoft.com/office/excel/2006/main">
          <x14:cfRule type="dataBar" id="{D2361E97-0BFD-4882-8441-DE2F1358EA34}">
            <x14:dataBar minLength="0" maxLength="100" border="1" negativeBarBorderColorSameAsPositive="0">
              <x14:cfvo type="autoMin"/>
              <x14:cfvo type="autoMax"/>
              <x14:borderColor rgb="FF008AEF"/>
              <x14:negativeFillColor rgb="FFFF0000"/>
              <x14:negativeBorderColor rgb="FFFF0000"/>
              <x14:axisColor rgb="FF000000"/>
            </x14:dataBar>
          </x14:cfRule>
          <xm:sqref>AK40</xm:sqref>
        </x14:conditionalFormatting>
        <x14:conditionalFormatting xmlns:xm="http://schemas.microsoft.com/office/excel/2006/main">
          <x14:cfRule type="dataBar" id="{D4D709DE-E685-474B-AD94-C4B1C3129409}">
            <x14:dataBar minLength="0" maxLength="100" border="1" negativeBarBorderColorSameAsPositive="0">
              <x14:cfvo type="autoMin"/>
              <x14:cfvo type="autoMax"/>
              <x14:borderColor rgb="FF008AEF"/>
              <x14:negativeFillColor rgb="FFFF0000"/>
              <x14:negativeBorderColor rgb="FFFF0000"/>
              <x14:axisColor rgb="FF000000"/>
            </x14:dataBar>
          </x14:cfRule>
          <xm:sqref>AH97 AL97 AJ97 AE97:AF97</xm:sqref>
        </x14:conditionalFormatting>
        <x14:conditionalFormatting xmlns:xm="http://schemas.microsoft.com/office/excel/2006/main">
          <x14:cfRule type="dataBar" id="{397826FF-A415-498B-83F8-4A4DFC299EDE}">
            <x14:dataBar minLength="0" maxLength="100" border="1" negativeBarBorderColorSameAsPositive="0">
              <x14:cfvo type="autoMin"/>
              <x14:cfvo type="autoMax"/>
              <x14:borderColor rgb="FF008AEF"/>
              <x14:negativeFillColor rgb="FFFF0000"/>
              <x14:negativeBorderColor rgb="FFFF0000"/>
              <x14:axisColor rgb="FF000000"/>
            </x14:dataBar>
          </x14:cfRule>
          <xm:sqref>AG97</xm:sqref>
        </x14:conditionalFormatting>
        <x14:conditionalFormatting xmlns:xm="http://schemas.microsoft.com/office/excel/2006/main">
          <x14:cfRule type="dataBar" id="{696171EF-4F3C-4FA9-9818-E38617D6D8FC}">
            <x14:dataBar minLength="0" maxLength="100" border="1" negativeBarBorderColorSameAsPositive="0">
              <x14:cfvo type="autoMin"/>
              <x14:cfvo type="autoMax"/>
              <x14:borderColor rgb="FF008AEF"/>
              <x14:negativeFillColor rgb="FFFF0000"/>
              <x14:negativeBorderColor rgb="FFFF0000"/>
              <x14:axisColor rgb="FF000000"/>
            </x14:dataBar>
          </x14:cfRule>
          <xm:sqref>AI97</xm:sqref>
        </x14:conditionalFormatting>
        <x14:conditionalFormatting xmlns:xm="http://schemas.microsoft.com/office/excel/2006/main">
          <x14:cfRule type="dataBar" id="{246339AC-13B9-4091-99E8-024B85385B4A}">
            <x14:dataBar minLength="0" maxLength="100" border="1" negativeBarBorderColorSameAsPositive="0">
              <x14:cfvo type="autoMin"/>
              <x14:cfvo type="autoMax"/>
              <x14:borderColor rgb="FF008AEF"/>
              <x14:negativeFillColor rgb="FFFF0000"/>
              <x14:negativeBorderColor rgb="FFFF0000"/>
              <x14:axisColor rgb="FF000000"/>
            </x14:dataBar>
          </x14:cfRule>
          <xm:sqref>AK97</xm:sqref>
        </x14:conditionalFormatting>
        <x14:conditionalFormatting xmlns:xm="http://schemas.microsoft.com/office/excel/2006/main">
          <x14:cfRule type="dataBar" id="{95783CE1-AFC5-4B7E-85F5-0833B19EC2B8}">
            <x14:dataBar minLength="0" maxLength="100" border="1" negativeBarBorderColorSameAsPositive="0">
              <x14:cfvo type="autoMin"/>
              <x14:cfvo type="autoMax"/>
              <x14:borderColor rgb="FF008AEF"/>
              <x14:negativeFillColor rgb="FFFF0000"/>
              <x14:negativeBorderColor rgb="FFFF0000"/>
              <x14:axisColor rgb="FF000000"/>
            </x14:dataBar>
          </x14:cfRule>
          <xm:sqref>V78</xm:sqref>
        </x14:conditionalFormatting>
        <x14:conditionalFormatting xmlns:xm="http://schemas.microsoft.com/office/excel/2006/main">
          <x14:cfRule type="dataBar" id="{84E1CD34-332D-4607-BE87-08642E4486C2}">
            <x14:dataBar minLength="0" maxLength="100" border="1" negativeBarBorderColorSameAsPositive="0">
              <x14:cfvo type="autoMin"/>
              <x14:cfvo type="autoMax"/>
              <x14:borderColor rgb="FF008AEF"/>
              <x14:negativeFillColor rgb="FFFF0000"/>
              <x14:negativeBorderColor rgb="FFFF0000"/>
              <x14:axisColor rgb="FF000000"/>
            </x14:dataBar>
          </x14:cfRule>
          <xm:sqref>AE78</xm:sqref>
        </x14:conditionalFormatting>
        <x14:conditionalFormatting xmlns:xm="http://schemas.microsoft.com/office/excel/2006/main">
          <x14:cfRule type="dataBar" id="{F42840A2-13E0-43B6-B635-154F136B66A1}">
            <x14:dataBar minLength="0" maxLength="100" border="1" negativeBarBorderColorSameAsPositive="0">
              <x14:cfvo type="autoMin"/>
              <x14:cfvo type="autoMax"/>
              <x14:borderColor rgb="FF008AEF"/>
              <x14:negativeFillColor rgb="FFFF0000"/>
              <x14:negativeBorderColor rgb="FFFF0000"/>
              <x14:axisColor rgb="FF000000"/>
            </x14:dataBar>
          </x14:cfRule>
          <xm:sqref>V51</xm:sqref>
        </x14:conditionalFormatting>
        <x14:conditionalFormatting xmlns:xm="http://schemas.microsoft.com/office/excel/2006/main">
          <x14:cfRule type="dataBar" id="{4EBAD116-F9B4-45D5-9717-51C6D5C43D4B}">
            <x14:dataBar minLength="0" maxLength="100" border="1" negativeBarBorderColorSameAsPositive="0">
              <x14:cfvo type="autoMin"/>
              <x14:cfvo type="autoMax"/>
              <x14:borderColor rgb="FF008AEF"/>
              <x14:negativeFillColor rgb="FFFF0000"/>
              <x14:negativeBorderColor rgb="FFFF0000"/>
              <x14:axisColor rgb="FF000000"/>
            </x14:dataBar>
          </x14:cfRule>
          <xm:sqref>V52</xm:sqref>
        </x14:conditionalFormatting>
        <x14:conditionalFormatting xmlns:xm="http://schemas.microsoft.com/office/excel/2006/main">
          <x14:cfRule type="dataBar" id="{3756683D-6607-48A4-9176-6375A8EE90E6}">
            <x14:dataBar minLength="0" maxLength="100" border="1" negativeBarBorderColorSameAsPositive="0">
              <x14:cfvo type="autoMin"/>
              <x14:cfvo type="autoMax"/>
              <x14:borderColor rgb="FF008AEF"/>
              <x14:negativeFillColor rgb="FFFF0000"/>
              <x14:negativeBorderColor rgb="FFFF0000"/>
              <x14:axisColor rgb="FF000000"/>
            </x14:dataBar>
          </x14:cfRule>
          <xm:sqref>V53</xm:sqref>
        </x14:conditionalFormatting>
        <x14:conditionalFormatting xmlns:xm="http://schemas.microsoft.com/office/excel/2006/main">
          <x14:cfRule type="dataBar" id="{2D98BC02-5CE6-4442-BC05-BD66C566D0E1}">
            <x14:dataBar minLength="0" maxLength="100" border="1" negativeBarBorderColorSameAsPositive="0">
              <x14:cfvo type="autoMin"/>
              <x14:cfvo type="autoMax"/>
              <x14:borderColor rgb="FF008AEF"/>
              <x14:negativeFillColor rgb="FFFF0000"/>
              <x14:negativeBorderColor rgb="FFFF0000"/>
              <x14:axisColor rgb="FF000000"/>
            </x14:dataBar>
          </x14:cfRule>
          <xm:sqref>V54</xm:sqref>
        </x14:conditionalFormatting>
        <x14:conditionalFormatting xmlns:xm="http://schemas.microsoft.com/office/excel/2006/main">
          <x14:cfRule type="dataBar" id="{F0C8AC35-EFE4-4BF6-9062-2D68E6F48305}">
            <x14:dataBar minLength="0" maxLength="100" border="1" negativeBarBorderColorSameAsPositive="0">
              <x14:cfvo type="autoMin"/>
              <x14:cfvo type="autoMax"/>
              <x14:borderColor rgb="FF008AEF"/>
              <x14:negativeFillColor rgb="FFFF0000"/>
              <x14:negativeBorderColor rgb="FFFF0000"/>
              <x14:axisColor rgb="FF000000"/>
            </x14:dataBar>
          </x14:cfRule>
          <xm:sqref>AE51</xm:sqref>
        </x14:conditionalFormatting>
        <x14:conditionalFormatting xmlns:xm="http://schemas.microsoft.com/office/excel/2006/main">
          <x14:cfRule type="dataBar" id="{092998ED-A909-4702-AB80-DCE199D47D32}">
            <x14:dataBar minLength="0" maxLength="100" border="1" negativeBarBorderColorSameAsPositive="0">
              <x14:cfvo type="autoMin"/>
              <x14:cfvo type="autoMax"/>
              <x14:borderColor rgb="FF008AEF"/>
              <x14:negativeFillColor rgb="FFFF0000"/>
              <x14:negativeBorderColor rgb="FFFF0000"/>
              <x14:axisColor rgb="FF000000"/>
            </x14:dataBar>
          </x14:cfRule>
          <xm:sqref>AE52</xm:sqref>
        </x14:conditionalFormatting>
        <x14:conditionalFormatting xmlns:xm="http://schemas.microsoft.com/office/excel/2006/main">
          <x14:cfRule type="dataBar" id="{CB849FB4-16DF-4EB0-96C5-F0AB29802FCB}">
            <x14:dataBar minLength="0" maxLength="100" border="1" negativeBarBorderColorSameAsPositive="0">
              <x14:cfvo type="autoMin"/>
              <x14:cfvo type="autoMax"/>
              <x14:borderColor rgb="FF008AEF"/>
              <x14:negativeFillColor rgb="FFFF0000"/>
              <x14:negativeBorderColor rgb="FFFF0000"/>
              <x14:axisColor rgb="FF000000"/>
            </x14:dataBar>
          </x14:cfRule>
          <xm:sqref>AE53</xm:sqref>
        </x14:conditionalFormatting>
        <x14:conditionalFormatting xmlns:xm="http://schemas.microsoft.com/office/excel/2006/main">
          <x14:cfRule type="dataBar" id="{02640A28-4CDB-4388-8F51-046B08B7D25C}">
            <x14:dataBar minLength="0" maxLength="100" border="1" negativeBarBorderColorSameAsPositive="0">
              <x14:cfvo type="autoMin"/>
              <x14:cfvo type="autoMax"/>
              <x14:borderColor rgb="FF008AEF"/>
              <x14:negativeFillColor rgb="FFFF0000"/>
              <x14:negativeBorderColor rgb="FFFF0000"/>
              <x14:axisColor rgb="FF000000"/>
            </x14:dataBar>
          </x14:cfRule>
          <xm:sqref>AE54</xm:sqref>
        </x14:conditionalFormatting>
        <x14:conditionalFormatting xmlns:xm="http://schemas.microsoft.com/office/excel/2006/main">
          <x14:cfRule type="dataBar" id="{3497CE33-00F1-B449-9504-61031EF13547}">
            <x14:dataBar minLength="0" maxLength="100" border="1" negativeBarBorderColorSameAsPositive="0">
              <x14:cfvo type="autoMin"/>
              <x14:cfvo type="autoMax"/>
              <x14:borderColor rgb="FF008AEF"/>
              <x14:negativeFillColor rgb="FFFF0000"/>
              <x14:negativeBorderColor rgb="FFFF0000"/>
              <x14:axisColor rgb="FF000000"/>
            </x14:dataBar>
          </x14:cfRule>
          <xm:sqref>V45</xm:sqref>
        </x14:conditionalFormatting>
        <x14:conditionalFormatting xmlns:xm="http://schemas.microsoft.com/office/excel/2006/main">
          <x14:cfRule type="dataBar" id="{F777EFD0-1D13-DD48-88EE-A84F03EACFF4}">
            <x14:dataBar minLength="0" maxLength="100" border="1" negativeBarBorderColorSameAsPositive="0">
              <x14:cfvo type="autoMin"/>
              <x14:cfvo type="autoMax"/>
              <x14:borderColor rgb="FF008AEF"/>
              <x14:negativeFillColor rgb="FFFF0000"/>
              <x14:negativeBorderColor rgb="FFFF0000"/>
              <x14:axisColor rgb="FF000000"/>
            </x14:dataBar>
          </x14:cfRule>
          <xm:sqref>V44</xm:sqref>
        </x14:conditionalFormatting>
        <x14:conditionalFormatting xmlns:xm="http://schemas.microsoft.com/office/excel/2006/main">
          <x14:cfRule type="dataBar" id="{FFAF5235-788E-E546-BD22-7E6A7E048107}">
            <x14:dataBar minLength="0" maxLength="100" border="1" negativeBarBorderColorSameAsPositive="0">
              <x14:cfvo type="autoMin"/>
              <x14:cfvo type="autoMax"/>
              <x14:borderColor rgb="FF008AEF"/>
              <x14:negativeFillColor rgb="FFFF0000"/>
              <x14:negativeBorderColor rgb="FFFF0000"/>
              <x14:axisColor rgb="FF000000"/>
            </x14:dataBar>
          </x14:cfRule>
          <xm:sqref>V43</xm:sqref>
        </x14:conditionalFormatting>
        <x14:conditionalFormatting xmlns:xm="http://schemas.microsoft.com/office/excel/2006/main">
          <x14:cfRule type="dataBar" id="{0E7BB212-09CD-424F-AC61-63443D7272E6}">
            <x14:dataBar minLength="0" maxLength="100" border="1" negativeBarBorderColorSameAsPositive="0">
              <x14:cfvo type="autoMin"/>
              <x14:cfvo type="autoMax"/>
              <x14:borderColor rgb="FF008AEF"/>
              <x14:negativeFillColor rgb="FFFF0000"/>
              <x14:negativeBorderColor rgb="FFFF0000"/>
              <x14:axisColor rgb="FF000000"/>
            </x14:dataBar>
          </x14:cfRule>
          <xm:sqref>V46</xm:sqref>
        </x14:conditionalFormatting>
        <x14:conditionalFormatting xmlns:xm="http://schemas.microsoft.com/office/excel/2006/main">
          <x14:cfRule type="dataBar" id="{40C34317-5702-C945-8D1A-2020D77C086B}">
            <x14:dataBar minLength="0" maxLength="100" border="1" negativeBarBorderColorSameAsPositive="0">
              <x14:cfvo type="autoMin"/>
              <x14:cfvo type="autoMax"/>
              <x14:borderColor rgb="FF008AEF"/>
              <x14:negativeFillColor rgb="FFFF0000"/>
              <x14:negativeBorderColor rgb="FFFF0000"/>
              <x14:axisColor rgb="FF000000"/>
            </x14:dataBar>
          </x14:cfRule>
          <xm:sqref>V47</xm:sqref>
        </x14:conditionalFormatting>
        <x14:conditionalFormatting xmlns:xm="http://schemas.microsoft.com/office/excel/2006/main">
          <x14:cfRule type="dataBar" id="{9C309087-31FB-424B-946D-B44288167DDA}">
            <x14:dataBar minLength="0" maxLength="100" border="1" negativeBarBorderColorSameAsPositive="0">
              <x14:cfvo type="autoMin"/>
              <x14:cfvo type="autoMax"/>
              <x14:borderColor rgb="FF008AEF"/>
              <x14:negativeFillColor rgb="FFFF0000"/>
              <x14:negativeBorderColor rgb="FFFF0000"/>
              <x14:axisColor rgb="FF000000"/>
            </x14:dataBar>
          </x14:cfRule>
          <xm:sqref>AE47</xm:sqref>
        </x14:conditionalFormatting>
        <x14:conditionalFormatting xmlns:xm="http://schemas.microsoft.com/office/excel/2006/main">
          <x14:cfRule type="dataBar" id="{2523F993-8B58-8840-B7B4-57D791F68C94}">
            <x14:dataBar minLength="0" maxLength="100" border="1" negativeBarBorderColorSameAsPositive="0">
              <x14:cfvo type="autoMin"/>
              <x14:cfvo type="autoMax"/>
              <x14:borderColor rgb="FF008AEF"/>
              <x14:negativeFillColor rgb="FFFF0000"/>
              <x14:negativeBorderColor rgb="FFFF0000"/>
              <x14:axisColor rgb="FF000000"/>
            </x14:dataBar>
          </x14:cfRule>
          <xm:sqref>AE46</xm:sqref>
        </x14:conditionalFormatting>
        <x14:conditionalFormatting xmlns:xm="http://schemas.microsoft.com/office/excel/2006/main">
          <x14:cfRule type="dataBar" id="{A912590A-4A7A-F147-87A3-440074D0CFEA}">
            <x14:dataBar minLength="0" maxLength="100" border="1" negativeBarBorderColorSameAsPositive="0">
              <x14:cfvo type="autoMin"/>
              <x14:cfvo type="autoMax"/>
              <x14:borderColor rgb="FF008AEF"/>
              <x14:negativeFillColor rgb="FFFF0000"/>
              <x14:negativeBorderColor rgb="FFFF0000"/>
              <x14:axisColor rgb="FF000000"/>
            </x14:dataBar>
          </x14:cfRule>
          <xm:sqref>AE45</xm:sqref>
        </x14:conditionalFormatting>
        <x14:conditionalFormatting xmlns:xm="http://schemas.microsoft.com/office/excel/2006/main">
          <x14:cfRule type="dataBar" id="{E0377A01-A334-2F47-A373-19EED9C34DA6}">
            <x14:dataBar minLength="0" maxLength="100" border="1" negativeBarBorderColorSameAsPositive="0">
              <x14:cfvo type="autoMin"/>
              <x14:cfvo type="autoMax"/>
              <x14:borderColor rgb="FF008AEF"/>
              <x14:negativeFillColor rgb="FFFF0000"/>
              <x14:negativeBorderColor rgb="FFFF0000"/>
              <x14:axisColor rgb="FF000000"/>
            </x14:dataBar>
          </x14:cfRule>
          <xm:sqref>AE44</xm:sqref>
        </x14:conditionalFormatting>
        <x14:conditionalFormatting xmlns:xm="http://schemas.microsoft.com/office/excel/2006/main">
          <x14:cfRule type="dataBar" id="{BAAAB51B-9649-B54E-9AA8-B209A69B2F7C}">
            <x14:dataBar minLength="0" maxLength="100" border="1" negativeBarBorderColorSameAsPositive="0">
              <x14:cfvo type="autoMin"/>
              <x14:cfvo type="autoMax"/>
              <x14:borderColor rgb="FF008AEF"/>
              <x14:negativeFillColor rgb="FFFF0000"/>
              <x14:negativeBorderColor rgb="FFFF0000"/>
              <x14:axisColor rgb="FF000000"/>
            </x14:dataBar>
          </x14:cfRule>
          <xm:sqref>AE43</xm:sqref>
        </x14:conditionalFormatting>
        <x14:conditionalFormatting xmlns:xm="http://schemas.microsoft.com/office/excel/2006/main">
          <x14:cfRule type="dataBar" id="{19932520-DFA0-0B4B-950E-61A0C539C8B4}">
            <x14:dataBar minLength="0" maxLength="100" border="1" negativeBarBorderColorSameAsPositive="0">
              <x14:cfvo type="autoMin"/>
              <x14:cfvo type="autoMax"/>
              <x14:borderColor rgb="FF008AEF"/>
              <x14:negativeFillColor rgb="FFFF0000"/>
              <x14:negativeBorderColor rgb="FFFF0000"/>
              <x14:axisColor rgb="FF000000"/>
            </x14:dataBar>
          </x14:cfRule>
          <xm:sqref>V117:V121</xm:sqref>
        </x14:conditionalFormatting>
        <x14:conditionalFormatting xmlns:xm="http://schemas.microsoft.com/office/excel/2006/main">
          <x14:cfRule type="dataBar" id="{A218E4D2-9BB8-2C4B-AC92-3D829606906A}">
            <x14:dataBar minLength="0" maxLength="100" border="1" negativeBarBorderColorSameAsPositive="0">
              <x14:cfvo type="autoMin"/>
              <x14:cfvo type="autoMax"/>
              <x14:borderColor rgb="FF008AEF"/>
              <x14:negativeFillColor rgb="FFFF0000"/>
              <x14:negativeBorderColor rgb="FFFF0000"/>
              <x14:axisColor rgb="FF000000"/>
            </x14:dataBar>
          </x14:cfRule>
          <xm:sqref>AE117:AE121</xm:sqref>
        </x14:conditionalFormatting>
        <x14:conditionalFormatting xmlns:xm="http://schemas.microsoft.com/office/excel/2006/main">
          <x14:cfRule type="dataBar" id="{890E40C9-80FE-0947-B67C-8DE627A2F0AA}">
            <x14:dataBar minLength="0" maxLength="100" border="1" negativeBarBorderColorSameAsPositive="0">
              <x14:cfvo type="autoMin"/>
              <x14:cfvo type="autoMax"/>
              <x14:borderColor rgb="FF008AEF"/>
              <x14:negativeFillColor rgb="FFFF0000"/>
              <x14:negativeBorderColor rgb="FFFF0000"/>
              <x14:axisColor rgb="FF000000"/>
            </x14:dataBar>
          </x14:cfRule>
          <xm:sqref>AN124:AN129 U143:U145 AH99:AH105 AJ99:AJ105 AL99:AL105 AH61:AH65 AF58:AI58 U61:U65 AA61:AA65 Y61:Y65 W61:W65 AL61:AL65 AJ61:AJ65 AC61:AD65 AJ68:AJ69 AL68:AL69 W68:W69 Y68:Y69 AA68:AA69 U68:U69 AH68:AH69 AC68:AD69 AJ71:AJ72 AL71:AL72 W71:W72 Y71:Y72 AA71:AA72 U71:U72 AH71:AH72 AC71:AD72 AH75 U75 AA75 Y75 W75 AL75 AJ75 AC75:AD75 U57:U58 AA57:AA58 Y57:Y58 W57:W58 AL57:AL58 AJ57:AJ58 AH57 AF57 AC57:AD58 AH41:AH47 AJ41:AJ47 AL41:AL47 W41:W47 Y41:Y47 AA41:AA47 U41:U47 AH79:AH84 U79:U84 AA79:AA84 Y79:Y84 W79:W84 AL79:AL84 AJ79:AJ84 AC79:AD84 AJ87:AJ93 AL87:AL93 W87:W93 Y87:Y93 AA87:AA93 U87:U93 AH87:AH93 AC87:AD93 AH95:AH96 U95:U97 AA95:AA97 Y95:Y97 W95:W97 AL95:AL96 AJ95:AJ96 AC95:AD97 AC99:AD105 W99:W105 Y99:Y105 AA99:AA105 U99:U105 U107:U108 AA107:AA108 Y107:Y108 W107:W108 AL107:AL108 AJ107:AJ108 AH107:AH108 AC107:AD108 U110:U111 AA110:AA111 Y110:Y111 W110:W111 AL110:AL111 AJ110:AJ111 AH110:AH111 AC110:AD111 AH114 AJ114 AL114 AC114:AD114 W114 Y114 AA114 U114 AH117:AH121 AJ117:AJ121 AL117:AL121 AC117:AD121 W117:W121 Y117:Y121 AA117:AA121 U117:U121 AH124:AH129 AJ124:AJ129 AL124:AL129 AC124:AD129 W124:W129 Y124:Y129 AA124:AA129 U124:U129 AH140 AJ140 AL140 AC140:AD140 W140 Y140 AA140 U140 AA143:AA145 Y143:Y145 W143:W145 AC143:AD145 AL143:AL145 AJ143:AJ145 AH143:AH145 AF143:AF145 AC43:AD47 AF140 AF124:AF129 AF117:AF121 AF114 AF110:AF111 AF107:AF108 AF99:AF105 AF87:AF93 AF79:AF84 AF75 AF71:AF72 AF68:AF69 AF61:AF65 AF41:AF47 V41:V42 AC41:AE42 U39 AD39:AD40 V48:V49 AE48:AE49 V138:V143 AE138:AE143 U50:U55 W50:W55 Y50:Y55 AA50:AA55 AC50:AD55 AH50:AH55 AJ50:AJ55 AL50:AL55 AF50:AF55 V55:V77 AE55:AE77 V85:V116 AE95:AF96 AE99:AE116 AE85:AE93 V122:V131 AE122:AE131 AH132:AH134 AJ132:AJ134 AL132:AL134 Y132:Y134 AA132:AA134 U132:W134 AC132:AF134 U135:AL137</xm:sqref>
        </x14:conditionalFormatting>
        <x14:conditionalFormatting xmlns:xm="http://schemas.microsoft.com/office/excel/2006/main">
          <x14:cfRule type="dataBar" id="{45B38E78-83FD-436C-B83B-87CB1779F340}">
            <x14:dataBar minLength="0" maxLength="100" border="1" negativeBarBorderColorSameAsPositive="0">
              <x14:cfvo type="autoMin"/>
              <x14:cfvo type="autoMax"/>
              <x14:borderColor rgb="FF008AEF"/>
              <x14:negativeFillColor rgb="FFFF0000"/>
              <x14:negativeBorderColor rgb="FFFF0000"/>
              <x14:axisColor rgb="FF000000"/>
            </x14:dataBar>
          </x14:cfRule>
          <xm:sqref>X143:X145 X117:X121 X95:X97 X110:X111 X79:X84 X61:X65 X71:X72 X68:X69 X75 X57:X58 X41:X47 X87:X93 X99:X105 X107:X108 X114 X124:X129 X140 X50:X55</xm:sqref>
        </x14:conditionalFormatting>
        <x14:conditionalFormatting xmlns:xm="http://schemas.microsoft.com/office/excel/2006/main">
          <x14:cfRule type="dataBar" id="{4007CAFC-855C-43A4-9A21-C9A5BDD059D8}">
            <x14:dataBar minLength="0" maxLength="100" border="1" negativeBarBorderColorSameAsPositive="0">
              <x14:cfvo type="autoMin"/>
              <x14:cfvo type="autoMax"/>
              <x14:borderColor rgb="FF008AEF"/>
              <x14:negativeFillColor rgb="FFFF0000"/>
              <x14:negativeBorderColor rgb="FFFF0000"/>
              <x14:axisColor rgb="FF000000"/>
            </x14:dataBar>
          </x14:cfRule>
          <xm:sqref>Z143:Z145 Z117:Z121 Z95:Z97 Z110:Z111 Z79:Z84 Z61:Z65 Z71:Z72 Z68:Z69 Z75 Z57:Z58 Z41:Z47 Z87:Z93 Z99:Z105 Z107:Z108 Z114 Z124:Z129 Z140 Z50:Z55</xm:sqref>
        </x14:conditionalFormatting>
        <x14:conditionalFormatting xmlns:xm="http://schemas.microsoft.com/office/excel/2006/main">
          <x14:cfRule type="dataBar" id="{F4352BE7-67B9-4AE0-84A1-8A7B3B37BA72}">
            <x14:dataBar minLength="0" maxLength="100" border="1" negativeBarBorderColorSameAsPositive="0">
              <x14:cfvo type="autoMin"/>
              <x14:cfvo type="autoMax"/>
              <x14:borderColor rgb="FF008AEF"/>
              <x14:negativeFillColor rgb="FFFF0000"/>
              <x14:negativeBorderColor rgb="FFFF0000"/>
              <x14:axisColor rgb="FF000000"/>
            </x14:dataBar>
          </x14:cfRule>
          <xm:sqref>AB143:AB145 AB117:AB121 AB95:AB97 AB110:AB111 AB79:AB84 AB61:AB65 AB71:AB72 AB68:AB69 AB75 AB57:AB58 AB41:AB47 AB87:AB93 AB99:AB105 AB107:AB108 AB114 AB124:AB129 AB140 AB50:AB55</xm:sqref>
        </x14:conditionalFormatting>
        <x14:conditionalFormatting xmlns:xm="http://schemas.microsoft.com/office/excel/2006/main">
          <x14:cfRule type="dataBar" id="{D9C21E73-85B4-4EB9-9B01-BA8A541E34E5}">
            <x14:dataBar minLength="0" maxLength="100" border="1" negativeBarBorderColorSameAsPositive="0">
              <x14:cfvo type="autoMin"/>
              <x14:cfvo type="autoMax"/>
              <x14:borderColor rgb="FF008AEF"/>
              <x14:negativeFillColor rgb="FFFF0000"/>
              <x14:negativeBorderColor rgb="FFFF0000"/>
              <x14:axisColor rgb="FF000000"/>
            </x14:dataBar>
          </x14:cfRule>
          <xm:sqref>AG143:AG145 AG117:AG121 AG99:AG105 AG110:AG111 AG61:AG65 AG68:AG69 AG71:AG72 AG75 AG57 AG41:AG47 AG79:AG84 AG87:AG93 AG95:AG96 AG107:AG108 AG114 AG124:AG129 AG140 AG50:AG55</xm:sqref>
        </x14:conditionalFormatting>
        <x14:conditionalFormatting xmlns:xm="http://schemas.microsoft.com/office/excel/2006/main">
          <x14:cfRule type="dataBar" id="{6260CB01-4863-4D7D-B360-1E844CA6C140}">
            <x14:dataBar minLength="0" maxLength="100" border="1" negativeBarBorderColorSameAsPositive="0">
              <x14:cfvo type="autoMin"/>
              <x14:cfvo type="autoMax"/>
              <x14:borderColor rgb="FF008AEF"/>
              <x14:negativeFillColor rgb="FFFF0000"/>
              <x14:negativeBorderColor rgb="FFFF0000"/>
              <x14:axisColor rgb="FF000000"/>
            </x14:dataBar>
          </x14:cfRule>
          <xm:sqref>AI143:AI145 AI117:AI121 AI99:AI105 AI110:AI111 AI61:AI65 AI68:AI69 AI71:AI72 AI75 AI57 AI41:AI47 AI79:AI84 AI87:AI93 AI95:AI96 AI107:AI108 AI114 AI124:AI129 AI140 AI50:AI55</xm:sqref>
        </x14:conditionalFormatting>
        <x14:conditionalFormatting xmlns:xm="http://schemas.microsoft.com/office/excel/2006/main">
          <x14:cfRule type="dataBar" id="{D4AE572D-B452-4C29-ADE7-335B20997090}">
            <x14:dataBar minLength="0" maxLength="100" border="1" negativeBarBorderColorSameAsPositive="0">
              <x14:cfvo type="autoMin"/>
              <x14:cfvo type="autoMax"/>
              <x14:borderColor rgb="FF008AEF"/>
              <x14:negativeFillColor rgb="FFFF0000"/>
              <x14:negativeBorderColor rgb="FFFF0000"/>
              <x14:axisColor rgb="FF000000"/>
            </x14:dataBar>
          </x14:cfRule>
          <xm:sqref>AK143:AK145 AK117:AK121 AK99:AK105 AK110:AK111 AK61:AK65 AK68:AK69 AK71:AK72 AK75 AK57:AK58 AK41:AK47 AK79:AK84 AK87:AK93 AK95:AK96 AK107:AK108 AK114 AK124:AK129 AK140 AK50:AK55</xm:sqref>
        </x14:conditionalFormatting>
        <x14:conditionalFormatting xmlns:xm="http://schemas.microsoft.com/office/excel/2006/main">
          <x14:cfRule type="dataBar" id="{2A16D74A-30B0-4E53-AC5D-22534D7A58BB}">
            <x14:dataBar minLength="0" maxLength="100" border="1" negativeBarBorderColorSameAsPositive="0">
              <x14:cfvo type="autoMin"/>
              <x14:cfvo type="autoMax"/>
              <x14:borderColor rgb="FF008AEF"/>
              <x14:negativeFillColor rgb="FFFF0000"/>
              <x14:negativeBorderColor rgb="FFFF0000"/>
              <x14:axisColor rgb="FF000000"/>
            </x14:dataBar>
          </x14:cfRule>
          <xm:sqref>AE144:AE145</xm:sqref>
        </x14:conditionalFormatting>
        <x14:conditionalFormatting xmlns:xm="http://schemas.microsoft.com/office/excel/2006/main">
          <x14:cfRule type="dataBar" id="{A8FD9F17-E703-476D-8E7A-AC1CE5DAFC71}">
            <x14:dataBar minLength="0" maxLength="100" border="1" negativeBarBorderColorSameAsPositive="0">
              <x14:cfvo type="autoMin"/>
              <x14:cfvo type="autoMax"/>
              <x14:borderColor rgb="FF008AEF"/>
              <x14:negativeFillColor rgb="FFFF0000"/>
              <x14:negativeBorderColor rgb="FFFF0000"/>
              <x14:axisColor rgb="FF000000"/>
            </x14:dataBar>
          </x14:cfRule>
          <xm:sqref>AD76 U76</xm:sqref>
        </x14:conditionalFormatting>
        <x14:conditionalFormatting xmlns:xm="http://schemas.microsoft.com/office/excel/2006/main">
          <x14:cfRule type="dataBar" id="{789A2993-C633-4BBB-AC6F-E96586E63AAF}">
            <x14:dataBar minLength="0" maxLength="100" border="1" negativeBarBorderColorSameAsPositive="0">
              <x14:cfvo type="autoMin"/>
              <x14:cfvo type="autoMax"/>
              <x14:borderColor rgb="FF008AEF"/>
              <x14:negativeFillColor rgb="FFFF0000"/>
              <x14:negativeBorderColor rgb="FFFF0000"/>
              <x14:axisColor rgb="FF000000"/>
            </x14:dataBar>
          </x14:cfRule>
          <xm:sqref>U40</xm:sqref>
        </x14:conditionalFormatting>
        <x14:conditionalFormatting xmlns:xm="http://schemas.microsoft.com/office/excel/2006/main">
          <x14:cfRule type="dataBar" id="{1EC0837E-0004-44FD-A1EB-E9DE9076D929}">
            <x14:dataBar minLength="0" maxLength="100" border="1" negativeBarBorderColorSameAsPositive="0">
              <x14:cfvo type="autoMin"/>
              <x14:cfvo type="autoMax"/>
              <x14:borderColor rgb="FF008AEF"/>
              <x14:negativeFillColor rgb="FFFF0000"/>
              <x14:negativeBorderColor rgb="FFFF0000"/>
              <x14:axisColor rgb="FF000000"/>
            </x14:dataBar>
          </x14:cfRule>
          <xm:sqref>U77</xm:sqref>
        </x14:conditionalFormatting>
        <x14:conditionalFormatting xmlns:xm="http://schemas.microsoft.com/office/excel/2006/main">
          <x14:cfRule type="dataBar" id="{A93EE0A6-75B4-4853-93BE-D7DE973BB5EC}">
            <x14:dataBar minLength="0" maxLength="100" border="1" negativeBarBorderColorSameAsPositive="0">
              <x14:cfvo type="autoMin"/>
              <x14:cfvo type="autoMax"/>
              <x14:borderColor rgb="FF008AEF"/>
              <x14:negativeFillColor rgb="FFFF0000"/>
              <x14:negativeBorderColor rgb="FFFF0000"/>
              <x14:axisColor rgb="FF000000"/>
            </x14:dataBar>
          </x14:cfRule>
          <xm:sqref>U48</xm:sqref>
        </x14:conditionalFormatting>
        <x14:conditionalFormatting xmlns:xm="http://schemas.microsoft.com/office/excel/2006/main">
          <x14:cfRule type="dataBar" id="{B7738A2E-37EC-49D2-97A4-6F4BE74163B1}">
            <x14:dataBar minLength="0" maxLength="100" border="1" negativeBarBorderColorSameAsPositive="0">
              <x14:cfvo type="autoMin"/>
              <x14:cfvo type="autoMax"/>
              <x14:borderColor rgb="FF008AEF"/>
              <x14:negativeFillColor rgb="FFFF0000"/>
              <x14:negativeBorderColor rgb="FFFF0000"/>
              <x14:axisColor rgb="FF000000"/>
            </x14:dataBar>
          </x14:cfRule>
          <xm:sqref>U49</xm:sqref>
        </x14:conditionalFormatting>
        <x14:conditionalFormatting xmlns:xm="http://schemas.microsoft.com/office/excel/2006/main">
          <x14:cfRule type="dataBar" id="{B9F4C0CC-A4BA-4A0C-8D22-7F6C7753F9F1}">
            <x14:dataBar minLength="0" maxLength="100" border="1" negativeBarBorderColorSameAsPositive="0">
              <x14:cfvo type="autoMin"/>
              <x14:cfvo type="autoMax"/>
              <x14:borderColor rgb="FF008AEF"/>
              <x14:negativeFillColor rgb="FFFF0000"/>
              <x14:negativeBorderColor rgb="FFFF0000"/>
              <x14:axisColor rgb="FF000000"/>
            </x14:dataBar>
          </x14:cfRule>
          <xm:sqref>U85</xm:sqref>
        </x14:conditionalFormatting>
        <x14:conditionalFormatting xmlns:xm="http://schemas.microsoft.com/office/excel/2006/main">
          <x14:cfRule type="dataBar" id="{77B900E0-56CD-4FA5-91E9-43CEDC45ADEA}">
            <x14:dataBar minLength="0" maxLength="100" border="1" negativeBarBorderColorSameAsPositive="0">
              <x14:cfvo type="autoMin"/>
              <x14:cfvo type="autoMax"/>
              <x14:borderColor rgb="FF008AEF"/>
              <x14:negativeFillColor rgb="FFFF0000"/>
              <x14:negativeBorderColor rgb="FFFF0000"/>
              <x14:axisColor rgb="FF000000"/>
            </x14:dataBar>
          </x14:cfRule>
          <xm:sqref>U86</xm:sqref>
        </x14:conditionalFormatting>
        <x14:conditionalFormatting xmlns:xm="http://schemas.microsoft.com/office/excel/2006/main">
          <x14:cfRule type="dataBar" id="{374AC314-C101-48B4-8AB5-EDB019A25176}">
            <x14:dataBar minLength="0" maxLength="100" border="1" negativeBarBorderColorSameAsPositive="0">
              <x14:cfvo type="autoMin"/>
              <x14:cfvo type="autoMax"/>
              <x14:borderColor rgb="FF008AEF"/>
              <x14:negativeFillColor rgb="FFFF0000"/>
              <x14:negativeBorderColor rgb="FFFF0000"/>
              <x14:axisColor rgb="FF000000"/>
            </x14:dataBar>
          </x14:cfRule>
          <xm:sqref>U115</xm:sqref>
        </x14:conditionalFormatting>
        <x14:conditionalFormatting xmlns:xm="http://schemas.microsoft.com/office/excel/2006/main">
          <x14:cfRule type="dataBar" id="{8931CE58-0567-492A-A817-0455B353B31F}">
            <x14:dataBar minLength="0" maxLength="100" border="1" negativeBarBorderColorSameAsPositive="0">
              <x14:cfvo type="autoMin"/>
              <x14:cfvo type="autoMax"/>
              <x14:borderColor rgb="FF008AEF"/>
              <x14:negativeFillColor rgb="FFFF0000"/>
              <x14:negativeBorderColor rgb="FFFF0000"/>
              <x14:axisColor rgb="FF000000"/>
            </x14:dataBar>
          </x14:cfRule>
          <xm:sqref>U116</xm:sqref>
        </x14:conditionalFormatting>
        <x14:conditionalFormatting xmlns:xm="http://schemas.microsoft.com/office/excel/2006/main">
          <x14:cfRule type="dataBar" id="{9663E0F3-8A93-4DE8-AAAF-438DE1206169}">
            <x14:dataBar minLength="0" maxLength="100" border="1" negativeBarBorderColorSameAsPositive="0">
              <x14:cfvo type="autoMin"/>
              <x14:cfvo type="autoMax"/>
              <x14:borderColor rgb="FF008AEF"/>
              <x14:negativeFillColor rgb="FFFF0000"/>
              <x14:negativeBorderColor rgb="FFFF0000"/>
              <x14:axisColor rgb="FF000000"/>
            </x14:dataBar>
          </x14:cfRule>
          <xm:sqref>U130</xm:sqref>
        </x14:conditionalFormatting>
        <x14:conditionalFormatting xmlns:xm="http://schemas.microsoft.com/office/excel/2006/main">
          <x14:cfRule type="dataBar" id="{A1B4507D-AD8E-4EC1-968B-1F4689D09F6A}">
            <x14:dataBar minLength="0" maxLength="100" border="1" negativeBarBorderColorSameAsPositive="0">
              <x14:cfvo type="autoMin"/>
              <x14:cfvo type="autoMax"/>
              <x14:borderColor rgb="FF008AEF"/>
              <x14:negativeFillColor rgb="FFFF0000"/>
              <x14:negativeBorderColor rgb="FFFF0000"/>
              <x14:axisColor rgb="FF000000"/>
            </x14:dataBar>
          </x14:cfRule>
          <xm:sqref>U141</xm:sqref>
        </x14:conditionalFormatting>
        <x14:conditionalFormatting xmlns:xm="http://schemas.microsoft.com/office/excel/2006/main">
          <x14:cfRule type="dataBar" id="{864F7EEF-5DB7-481A-9685-B5B7547E0D47}">
            <x14:dataBar minLength="0" maxLength="100" border="1" negativeBarBorderColorSameAsPositive="0">
              <x14:cfvo type="autoMin"/>
              <x14:cfvo type="autoMax"/>
              <x14:borderColor rgb="FF008AEF"/>
              <x14:negativeFillColor rgb="FFFF0000"/>
              <x14:negativeBorderColor rgb="FFFF0000"/>
              <x14:axisColor rgb="FF000000"/>
            </x14:dataBar>
          </x14:cfRule>
          <xm:sqref>U142</xm:sqref>
        </x14:conditionalFormatting>
        <x14:conditionalFormatting xmlns:xm="http://schemas.microsoft.com/office/excel/2006/main">
          <x14:cfRule type="dataBar" id="{09A3E289-3491-451C-AE88-3C58137BD597}">
            <x14:dataBar minLength="0" maxLength="100" border="1" negativeBarBorderColorSameAsPositive="0">
              <x14:cfvo type="autoMin"/>
              <x14:cfvo type="autoMax"/>
              <x14:borderColor rgb="FF008AEF"/>
              <x14:negativeFillColor rgb="FFFF0000"/>
              <x14:negativeBorderColor rgb="FFFF0000"/>
              <x14:axisColor rgb="FF000000"/>
            </x14:dataBar>
          </x14:cfRule>
          <xm:sqref>V144:V145</xm:sqref>
        </x14:conditionalFormatting>
        <x14:conditionalFormatting xmlns:xm="http://schemas.microsoft.com/office/excel/2006/main">
          <x14:cfRule type="dataBar" id="{2A882E1B-22E0-4741-ACA3-1F829B4A161D}">
            <x14:dataBar minLength="0" maxLength="100" border="1" negativeBarBorderColorSameAsPositive="0">
              <x14:cfvo type="autoMin"/>
              <x14:cfvo type="autoMax"/>
              <x14:borderColor rgb="FF008AEF"/>
              <x14:negativeFillColor rgb="FFFF0000"/>
              <x14:negativeBorderColor rgb="FFFF0000"/>
              <x14:axisColor rgb="FF000000"/>
            </x14:dataBar>
          </x14:cfRule>
          <xm:sqref>V50</xm:sqref>
        </x14:conditionalFormatting>
        <x14:conditionalFormatting xmlns:xm="http://schemas.microsoft.com/office/excel/2006/main">
          <x14:cfRule type="dataBar" id="{8D7DF306-1AFE-43CC-A6DE-676C0D9707E8}">
            <x14:dataBar minLength="0" maxLength="100" border="1" negativeBarBorderColorSameAsPositive="0">
              <x14:cfvo type="autoMin"/>
              <x14:cfvo type="autoMax"/>
              <x14:borderColor rgb="FF008AEF"/>
              <x14:negativeFillColor rgb="FFFF0000"/>
              <x14:negativeBorderColor rgb="FFFF0000"/>
              <x14:axisColor rgb="FF000000"/>
            </x14:dataBar>
          </x14:cfRule>
          <xm:sqref>AE50</xm:sqref>
        </x14:conditionalFormatting>
        <x14:conditionalFormatting xmlns:xm="http://schemas.microsoft.com/office/excel/2006/main">
          <x14:cfRule type="dataBar" id="{BF90F7BB-4F6A-4912-BB7D-B049B469B9BF}">
            <x14:dataBar minLength="0" maxLength="100" border="1" negativeBarBorderColorSameAsPositive="0">
              <x14:cfvo type="autoMin"/>
              <x14:cfvo type="autoMax"/>
              <x14:borderColor rgb="FF008AEF"/>
              <x14:negativeFillColor rgb="FFFF0000"/>
              <x14:negativeBorderColor rgb="FFFF0000"/>
              <x14:axisColor rgb="FF000000"/>
            </x14:dataBar>
          </x14:cfRule>
          <xm:sqref>V79:V84</xm:sqref>
        </x14:conditionalFormatting>
        <x14:conditionalFormatting xmlns:xm="http://schemas.microsoft.com/office/excel/2006/main">
          <x14:cfRule type="dataBar" id="{220B736E-BF28-4497-AAB0-AE5BB2520F6A}">
            <x14:dataBar minLength="0" maxLength="100" border="1" negativeBarBorderColorSameAsPositive="0">
              <x14:cfvo type="autoMin"/>
              <x14:cfvo type="autoMax"/>
              <x14:borderColor rgb="FF008AEF"/>
              <x14:negativeFillColor rgb="FFFF0000"/>
              <x14:negativeBorderColor rgb="FFFF0000"/>
              <x14:axisColor rgb="FF000000"/>
            </x14:dataBar>
          </x14:cfRule>
          <xm:sqref>AE79:AE84</xm:sqref>
        </x14:conditionalFormatting>
        <x14:conditionalFormatting xmlns:xm="http://schemas.microsoft.com/office/excel/2006/main">
          <x14:cfRule type="dataBar" id="{2522F17E-B1D8-4548-8C93-771F8044A7B9}">
            <x14:dataBar minLength="0" maxLength="100" border="1" negativeBarBorderColorSameAsPositive="0">
              <x14:cfvo type="autoMin"/>
              <x14:cfvo type="autoMax"/>
              <x14:borderColor rgb="FF008AEF"/>
              <x14:negativeFillColor rgb="FFFF0000"/>
              <x14:negativeBorderColor rgb="FFFF0000"/>
              <x14:axisColor rgb="FF000000"/>
            </x14:dataBar>
          </x14:cfRule>
          <xm:sqref>X132</xm:sqref>
        </x14:conditionalFormatting>
        <x14:conditionalFormatting xmlns:xm="http://schemas.microsoft.com/office/excel/2006/main">
          <x14:cfRule type="dataBar" id="{B524CDDB-0782-4FE9-9425-ADBEFA719CBF}">
            <x14:dataBar minLength="0" maxLength="100" border="1" negativeBarBorderColorSameAsPositive="0">
              <x14:cfvo type="autoMin"/>
              <x14:cfvo type="autoMax"/>
              <x14:borderColor rgb="FF008AEF"/>
              <x14:negativeFillColor rgb="FFFF0000"/>
              <x14:negativeBorderColor rgb="FFFF0000"/>
              <x14:axisColor rgb="FF000000"/>
            </x14:dataBar>
          </x14:cfRule>
          <xm:sqref>Z132</xm:sqref>
        </x14:conditionalFormatting>
        <x14:conditionalFormatting xmlns:xm="http://schemas.microsoft.com/office/excel/2006/main">
          <x14:cfRule type="dataBar" id="{1BFE3B73-A4B3-4DE1-AF65-E6707910EA52}">
            <x14:dataBar minLength="0" maxLength="100" border="1" negativeBarBorderColorSameAsPositive="0">
              <x14:cfvo type="autoMin"/>
              <x14:cfvo type="autoMax"/>
              <x14:borderColor rgb="FF008AEF"/>
              <x14:negativeFillColor rgb="FFFF0000"/>
              <x14:negativeBorderColor rgb="FFFF0000"/>
              <x14:axisColor rgb="FF000000"/>
            </x14:dataBar>
          </x14:cfRule>
          <xm:sqref>AB132</xm:sqref>
        </x14:conditionalFormatting>
        <x14:conditionalFormatting xmlns:xm="http://schemas.microsoft.com/office/excel/2006/main">
          <x14:cfRule type="dataBar" id="{0C620BB6-A28F-4B37-BB53-B323A0AD05FC}">
            <x14:dataBar minLength="0" maxLength="100" border="1" negativeBarBorderColorSameAsPositive="0">
              <x14:cfvo type="autoMin"/>
              <x14:cfvo type="autoMax"/>
              <x14:borderColor rgb="FF008AEF"/>
              <x14:negativeFillColor rgb="FFFF0000"/>
              <x14:negativeBorderColor rgb="FFFF0000"/>
              <x14:axisColor rgb="FF000000"/>
            </x14:dataBar>
          </x14:cfRule>
          <xm:sqref>AG132</xm:sqref>
        </x14:conditionalFormatting>
        <x14:conditionalFormatting xmlns:xm="http://schemas.microsoft.com/office/excel/2006/main">
          <x14:cfRule type="dataBar" id="{BF2EB3A6-3E0F-4E5F-BAA6-1670FCC8D5A1}">
            <x14:dataBar minLength="0" maxLength="100" border="1" negativeBarBorderColorSameAsPositive="0">
              <x14:cfvo type="autoMin"/>
              <x14:cfvo type="autoMax"/>
              <x14:borderColor rgb="FF008AEF"/>
              <x14:negativeFillColor rgb="FFFF0000"/>
              <x14:negativeBorderColor rgb="FFFF0000"/>
              <x14:axisColor rgb="FF000000"/>
            </x14:dataBar>
          </x14:cfRule>
          <xm:sqref>AI132</xm:sqref>
        </x14:conditionalFormatting>
        <x14:conditionalFormatting xmlns:xm="http://schemas.microsoft.com/office/excel/2006/main">
          <x14:cfRule type="dataBar" id="{A4454477-7EAC-4261-BDDF-CCF99196EB2D}">
            <x14:dataBar minLength="0" maxLength="100" border="1" negativeBarBorderColorSameAsPositive="0">
              <x14:cfvo type="autoMin"/>
              <x14:cfvo type="autoMax"/>
              <x14:borderColor rgb="FF008AEF"/>
              <x14:negativeFillColor rgb="FFFF0000"/>
              <x14:negativeBorderColor rgb="FFFF0000"/>
              <x14:axisColor rgb="FF000000"/>
            </x14:dataBar>
          </x14:cfRule>
          <xm:sqref>AK132</xm:sqref>
        </x14:conditionalFormatting>
        <x14:conditionalFormatting xmlns:xm="http://schemas.microsoft.com/office/excel/2006/main">
          <x14:cfRule type="dataBar" id="{399A4B0C-FC86-4DE6-AD4C-3E8F960DC452}">
            <x14:dataBar minLength="0" maxLength="100" border="1" negativeBarBorderColorSameAsPositive="0">
              <x14:cfvo type="autoMin"/>
              <x14:cfvo type="autoMax"/>
              <x14:borderColor rgb="FF008AEF"/>
              <x14:negativeFillColor rgb="FFFF0000"/>
              <x14:negativeBorderColor rgb="FFFF0000"/>
              <x14:axisColor rgb="FF000000"/>
            </x14:dataBar>
          </x14:cfRule>
          <xm:sqref>X133</xm:sqref>
        </x14:conditionalFormatting>
        <x14:conditionalFormatting xmlns:xm="http://schemas.microsoft.com/office/excel/2006/main">
          <x14:cfRule type="dataBar" id="{10D65AF0-C8B7-4ED6-9BF0-EBF859D0CA30}">
            <x14:dataBar minLength="0" maxLength="100" border="1" negativeBarBorderColorSameAsPositive="0">
              <x14:cfvo type="autoMin"/>
              <x14:cfvo type="autoMax"/>
              <x14:borderColor rgb="FF008AEF"/>
              <x14:negativeFillColor rgb="FFFF0000"/>
              <x14:negativeBorderColor rgb="FFFF0000"/>
              <x14:axisColor rgb="FF000000"/>
            </x14:dataBar>
          </x14:cfRule>
          <xm:sqref>Z133</xm:sqref>
        </x14:conditionalFormatting>
        <x14:conditionalFormatting xmlns:xm="http://schemas.microsoft.com/office/excel/2006/main">
          <x14:cfRule type="dataBar" id="{CB9D1B79-A9CC-491C-B4B8-3C597DB0BA00}">
            <x14:dataBar minLength="0" maxLength="100" border="1" negativeBarBorderColorSameAsPositive="0">
              <x14:cfvo type="autoMin"/>
              <x14:cfvo type="autoMax"/>
              <x14:borderColor rgb="FF008AEF"/>
              <x14:negativeFillColor rgb="FFFF0000"/>
              <x14:negativeBorderColor rgb="FFFF0000"/>
              <x14:axisColor rgb="FF000000"/>
            </x14:dataBar>
          </x14:cfRule>
          <xm:sqref>AB133</xm:sqref>
        </x14:conditionalFormatting>
        <x14:conditionalFormatting xmlns:xm="http://schemas.microsoft.com/office/excel/2006/main">
          <x14:cfRule type="dataBar" id="{9980F1F4-547F-46C7-9C52-B6E49C3512D1}">
            <x14:dataBar minLength="0" maxLength="100" border="1" negativeBarBorderColorSameAsPositive="0">
              <x14:cfvo type="autoMin"/>
              <x14:cfvo type="autoMax"/>
              <x14:borderColor rgb="FF008AEF"/>
              <x14:negativeFillColor rgb="FFFF0000"/>
              <x14:negativeBorderColor rgb="FFFF0000"/>
              <x14:axisColor rgb="FF000000"/>
            </x14:dataBar>
          </x14:cfRule>
          <xm:sqref>AG133</xm:sqref>
        </x14:conditionalFormatting>
        <x14:conditionalFormatting xmlns:xm="http://schemas.microsoft.com/office/excel/2006/main">
          <x14:cfRule type="dataBar" id="{B1689A4D-FE44-4F5C-B487-2AA752FFA8AF}">
            <x14:dataBar minLength="0" maxLength="100" border="1" negativeBarBorderColorSameAsPositive="0">
              <x14:cfvo type="autoMin"/>
              <x14:cfvo type="autoMax"/>
              <x14:borderColor rgb="FF008AEF"/>
              <x14:negativeFillColor rgb="FFFF0000"/>
              <x14:negativeBorderColor rgb="FFFF0000"/>
              <x14:axisColor rgb="FF000000"/>
            </x14:dataBar>
          </x14:cfRule>
          <xm:sqref>AI133</xm:sqref>
        </x14:conditionalFormatting>
        <x14:conditionalFormatting xmlns:xm="http://schemas.microsoft.com/office/excel/2006/main">
          <x14:cfRule type="dataBar" id="{7625CFF5-CAB6-4C52-ABA3-57B0FC52D974}">
            <x14:dataBar minLength="0" maxLength="100" border="1" negativeBarBorderColorSameAsPositive="0">
              <x14:cfvo type="autoMin"/>
              <x14:cfvo type="autoMax"/>
              <x14:borderColor rgb="FF008AEF"/>
              <x14:negativeFillColor rgb="FFFF0000"/>
              <x14:negativeBorderColor rgb="FFFF0000"/>
              <x14:axisColor rgb="FF000000"/>
            </x14:dataBar>
          </x14:cfRule>
          <xm:sqref>AK133</xm:sqref>
        </x14:conditionalFormatting>
        <x14:conditionalFormatting xmlns:xm="http://schemas.microsoft.com/office/excel/2006/main">
          <x14:cfRule type="dataBar" id="{9A278261-CDE5-4143-90E8-C2C1DF86CE86}">
            <x14:dataBar minLength="0" maxLength="100" border="1" negativeBarBorderColorSameAsPositive="0">
              <x14:cfvo type="autoMin"/>
              <x14:cfvo type="autoMax"/>
              <x14:borderColor rgb="FF008AEF"/>
              <x14:negativeFillColor rgb="FFFF0000"/>
              <x14:negativeBorderColor rgb="FFFF0000"/>
              <x14:axisColor rgb="FF000000"/>
            </x14:dataBar>
          </x14:cfRule>
          <xm:sqref>X134</xm:sqref>
        </x14:conditionalFormatting>
        <x14:conditionalFormatting xmlns:xm="http://schemas.microsoft.com/office/excel/2006/main">
          <x14:cfRule type="dataBar" id="{76459E54-4C00-443F-ADAE-128B48B866A0}">
            <x14:dataBar minLength="0" maxLength="100" border="1" negativeBarBorderColorSameAsPositive="0">
              <x14:cfvo type="autoMin"/>
              <x14:cfvo type="autoMax"/>
              <x14:borderColor rgb="FF008AEF"/>
              <x14:negativeFillColor rgb="FFFF0000"/>
              <x14:negativeBorderColor rgb="FFFF0000"/>
              <x14:axisColor rgb="FF000000"/>
            </x14:dataBar>
          </x14:cfRule>
          <xm:sqref>Z134</xm:sqref>
        </x14:conditionalFormatting>
        <x14:conditionalFormatting xmlns:xm="http://schemas.microsoft.com/office/excel/2006/main">
          <x14:cfRule type="dataBar" id="{97B26D2D-F328-4AA0-A9EA-8945B8F46D6C}">
            <x14:dataBar minLength="0" maxLength="100" border="1" negativeBarBorderColorSameAsPositive="0">
              <x14:cfvo type="autoMin"/>
              <x14:cfvo type="autoMax"/>
              <x14:borderColor rgb="FF008AEF"/>
              <x14:negativeFillColor rgb="FFFF0000"/>
              <x14:negativeBorderColor rgb="FFFF0000"/>
              <x14:axisColor rgb="FF000000"/>
            </x14:dataBar>
          </x14:cfRule>
          <xm:sqref>AB134</xm:sqref>
        </x14:conditionalFormatting>
        <x14:conditionalFormatting xmlns:xm="http://schemas.microsoft.com/office/excel/2006/main">
          <x14:cfRule type="dataBar" id="{4B9D6CF0-B907-41D4-B8AF-23C59A51FD21}">
            <x14:dataBar minLength="0" maxLength="100" border="1" negativeBarBorderColorSameAsPositive="0">
              <x14:cfvo type="autoMin"/>
              <x14:cfvo type="autoMax"/>
              <x14:borderColor rgb="FF008AEF"/>
              <x14:negativeFillColor rgb="FFFF0000"/>
              <x14:negativeBorderColor rgb="FFFF0000"/>
              <x14:axisColor rgb="FF000000"/>
            </x14:dataBar>
          </x14:cfRule>
          <xm:sqref>AG134</xm:sqref>
        </x14:conditionalFormatting>
        <x14:conditionalFormatting xmlns:xm="http://schemas.microsoft.com/office/excel/2006/main">
          <x14:cfRule type="dataBar" id="{EDC7B162-A240-41F4-BDF6-64B3B7BAE70F}">
            <x14:dataBar minLength="0" maxLength="100" border="1" negativeBarBorderColorSameAsPositive="0">
              <x14:cfvo type="autoMin"/>
              <x14:cfvo type="autoMax"/>
              <x14:borderColor rgb="FF008AEF"/>
              <x14:negativeFillColor rgb="FFFF0000"/>
              <x14:negativeBorderColor rgb="FFFF0000"/>
              <x14:axisColor rgb="FF000000"/>
            </x14:dataBar>
          </x14:cfRule>
          <xm:sqref>AI134</xm:sqref>
        </x14:conditionalFormatting>
        <x14:conditionalFormatting xmlns:xm="http://schemas.microsoft.com/office/excel/2006/main">
          <x14:cfRule type="dataBar" id="{5D7F923F-2CD2-448F-B867-A8A7CFBA2085}">
            <x14:dataBar minLength="0" maxLength="100" border="1" negativeBarBorderColorSameAsPositive="0">
              <x14:cfvo type="autoMin"/>
              <x14:cfvo type="autoMax"/>
              <x14:borderColor rgb="FF008AEF"/>
              <x14:negativeFillColor rgb="FFFF0000"/>
              <x14:negativeBorderColor rgb="FFFF0000"/>
              <x14:axisColor rgb="FF000000"/>
            </x14:dataBar>
          </x14:cfRule>
          <xm:sqref>AK134</xm:sqref>
        </x14:conditionalFormatting>
      </x14:conditionalFormattings>
    </ex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5CC47-3C9E-E247-8B0E-E5C6169FA16A}">
  <sheetPr>
    <tabColor theme="9" tint="-0.249977111117893"/>
  </sheetPr>
  <dimension ref="A4:K403"/>
  <sheetViews>
    <sheetView topLeftCell="A6" workbookViewId="0">
      <selection activeCell="A6" sqref="A6:A23"/>
    </sheetView>
  </sheetViews>
  <sheetFormatPr defaultColWidth="11.46875" defaultRowHeight="10.35"/>
  <cols>
    <col min="1" max="1" width="12.46875" style="21" customWidth="1"/>
    <col min="2" max="2" width="26.17578125" style="21" customWidth="1"/>
    <col min="3" max="3" width="54.3515625" style="21" customWidth="1"/>
    <col min="4" max="4" width="10.17578125" style="21" customWidth="1"/>
    <col min="5" max="5" width="28.64453125" style="21" customWidth="1"/>
    <col min="6" max="16384" width="11.46875" style="21"/>
  </cols>
  <sheetData>
    <row r="4" spans="1:11">
      <c r="B4" s="21" t="s">
        <v>954</v>
      </c>
    </row>
    <row r="5" spans="1:11">
      <c r="B5" s="20" t="s">
        <v>82</v>
      </c>
      <c r="C5" s="20" t="s">
        <v>81</v>
      </c>
      <c r="D5" s="20" t="s">
        <v>955</v>
      </c>
      <c r="E5" s="20" t="s">
        <v>956</v>
      </c>
      <c r="F5" s="20" t="s">
        <v>957</v>
      </c>
      <c r="G5" s="20" t="s">
        <v>958</v>
      </c>
      <c r="H5" s="20"/>
      <c r="I5" s="20"/>
      <c r="J5" s="20"/>
      <c r="K5" s="20"/>
    </row>
    <row r="6" spans="1:11">
      <c r="A6" s="21" t="s">
        <v>110</v>
      </c>
      <c r="B6" s="540"/>
      <c r="C6" s="540"/>
      <c r="D6" s="32"/>
      <c r="E6" s="32"/>
      <c r="F6" s="20"/>
    </row>
    <row r="7" spans="1:11">
      <c r="A7" s="21" t="s">
        <v>110</v>
      </c>
      <c r="B7" s="540" t="str">
        <f>"ZZ"&amp;ITEMS_Comm!C12</f>
        <v>ZZResidential - Refrigeration - Low income</v>
      </c>
      <c r="C7" s="540" t="str">
        <f>"Backstop - "&amp;ITEMS_Comm!D12</f>
        <v>Backstop - PJ</v>
      </c>
      <c r="D7" s="32" t="s">
        <v>969</v>
      </c>
      <c r="E7" s="32" t="str">
        <f>IF(A7="*","","Pja")</f>
        <v/>
      </c>
      <c r="F7" s="32" t="str">
        <f>IF(A7="*","","DAYNITE")</f>
        <v/>
      </c>
      <c r="G7" s="32" t="str">
        <f>IF(A7="*","","DMD")</f>
        <v/>
      </c>
    </row>
    <row r="8" spans="1:11">
      <c r="A8" s="21" t="s">
        <v>110</v>
      </c>
      <c r="B8" s="540" t="str">
        <f>"ZZ"&amp;ITEMS_Comm!C13</f>
        <v>ZZResidential - Other - Low income</v>
      </c>
      <c r="C8" s="540" t="str">
        <f>"Backstop - "&amp;ITEMS_Comm!D13</f>
        <v>Backstop - PJ</v>
      </c>
      <c r="D8" s="32" t="s">
        <v>969</v>
      </c>
      <c r="E8" s="32" t="str">
        <f t="shared" ref="E8:E27" si="0">IF(A8="*","","Pja")</f>
        <v/>
      </c>
      <c r="F8" s="32" t="str">
        <f t="shared" ref="F8:F27" si="1">IF(A8="*","","DAYNITE")</f>
        <v/>
      </c>
      <c r="G8" s="32" t="str">
        <f t="shared" ref="G8:G27" si="2">IF(A8="*","","DMD")</f>
        <v/>
      </c>
    </row>
    <row r="9" spans="1:11">
      <c r="A9" s="21" t="s">
        <v>110</v>
      </c>
      <c r="B9" s="540" t="str">
        <f>"ZZ"&amp;ITEMS_Comm!C14</f>
        <v>ZZResidential - Lighting - Middle income</v>
      </c>
      <c r="C9" s="540" t="str">
        <f>"Backstop - "&amp;ITEMS_Comm!D14</f>
        <v>Backstop - PJ</v>
      </c>
      <c r="D9" s="32" t="s">
        <v>969</v>
      </c>
      <c r="E9" s="32" t="str">
        <f t="shared" si="0"/>
        <v/>
      </c>
      <c r="F9" s="32" t="str">
        <f t="shared" si="1"/>
        <v/>
      </c>
      <c r="G9" s="32" t="str">
        <f t="shared" si="2"/>
        <v/>
      </c>
    </row>
    <row r="10" spans="1:11">
      <c r="A10" s="21" t="s">
        <v>110</v>
      </c>
      <c r="B10" s="540" t="str">
        <f>"ZZ"&amp;ITEMS_Comm!C15</f>
        <v>ZZResidential - Lighting - Middle income</v>
      </c>
      <c r="C10" s="540" t="str">
        <f>"Backstop - "&amp;ITEMS_Comm!D15</f>
        <v>Backstop - PJ</v>
      </c>
      <c r="D10" s="32" t="s">
        <v>969</v>
      </c>
      <c r="E10" s="32" t="str">
        <f t="shared" si="0"/>
        <v/>
      </c>
      <c r="F10" s="32" t="str">
        <f t="shared" si="1"/>
        <v/>
      </c>
      <c r="G10" s="32" t="str">
        <f t="shared" si="2"/>
        <v/>
      </c>
    </row>
    <row r="11" spans="1:11">
      <c r="A11" s="21" t="s">
        <v>110</v>
      </c>
      <c r="B11" s="540" t="str">
        <f>"ZZ"&amp;ITEMS_Comm!C16</f>
        <v>ZZResidential - Cooking - Middle income</v>
      </c>
      <c r="C11" s="540" t="str">
        <f>"Backstop - "&amp;ITEMS_Comm!D16</f>
        <v>Backstop - PJ</v>
      </c>
      <c r="D11" s="32" t="s">
        <v>969</v>
      </c>
      <c r="E11" s="32" t="str">
        <f t="shared" si="0"/>
        <v/>
      </c>
      <c r="F11" s="32" t="str">
        <f t="shared" si="1"/>
        <v/>
      </c>
      <c r="G11" s="32" t="str">
        <f t="shared" si="2"/>
        <v/>
      </c>
    </row>
    <row r="12" spans="1:11">
      <c r="A12" s="21" t="s">
        <v>110</v>
      </c>
      <c r="B12" s="540" t="str">
        <f>"ZZ"&amp;ITEMS_Comm!C17</f>
        <v>ZZResidential - Heating - Middle income</v>
      </c>
      <c r="C12" s="540" t="str">
        <f>"Backstop - "&amp;ITEMS_Comm!D17</f>
        <v>Backstop - PJ</v>
      </c>
      <c r="D12" s="32" t="s">
        <v>969</v>
      </c>
      <c r="E12" s="32" t="str">
        <f t="shared" si="0"/>
        <v/>
      </c>
      <c r="F12" s="32" t="str">
        <f t="shared" si="1"/>
        <v/>
      </c>
      <c r="G12" s="32" t="str">
        <f t="shared" si="2"/>
        <v/>
      </c>
    </row>
    <row r="13" spans="1:11">
      <c r="A13" s="21" t="s">
        <v>110</v>
      </c>
      <c r="B13" s="540" t="str">
        <f>"ZZ"&amp;ITEMS_Comm!C18</f>
        <v>ZZResidential - Water heating - Middle income</v>
      </c>
      <c r="C13" s="540" t="str">
        <f>"Backstop - "&amp;ITEMS_Comm!D18</f>
        <v>Backstop - PJ</v>
      </c>
      <c r="D13" s="32" t="s">
        <v>969</v>
      </c>
      <c r="E13" s="32" t="str">
        <f t="shared" si="0"/>
        <v/>
      </c>
      <c r="F13" s="32" t="str">
        <f t="shared" si="1"/>
        <v/>
      </c>
      <c r="G13" s="32" t="str">
        <f t="shared" si="2"/>
        <v/>
      </c>
    </row>
    <row r="14" spans="1:11">
      <c r="A14" s="21" t="s">
        <v>110</v>
      </c>
      <c r="B14" s="540" t="str">
        <f>"ZZ"&amp;ITEMS_Comm!C19</f>
        <v>ZZResidential - Water heating - Middle income</v>
      </c>
      <c r="C14" s="540" t="str">
        <f>"Backstop - "&amp;ITEMS_Comm!D19</f>
        <v>Backstop - PJ</v>
      </c>
      <c r="D14" s="32" t="s">
        <v>969</v>
      </c>
      <c r="E14" s="32" t="str">
        <f t="shared" si="0"/>
        <v/>
      </c>
      <c r="F14" s="32" t="str">
        <f t="shared" si="1"/>
        <v/>
      </c>
      <c r="G14" s="32" t="str">
        <f t="shared" si="2"/>
        <v/>
      </c>
    </row>
    <row r="15" spans="1:11">
      <c r="A15" s="21" t="s">
        <v>110</v>
      </c>
      <c r="B15" s="540" t="str">
        <f>"ZZ"&amp;ITEMS_Comm!C20</f>
        <v>ZZResidential - Refrigeration - Middle income</v>
      </c>
      <c r="C15" s="540" t="str">
        <f>"Backstop - "&amp;ITEMS_Comm!D20</f>
        <v>Backstop - PJ</v>
      </c>
      <c r="D15" s="32" t="s">
        <v>969</v>
      </c>
      <c r="E15" s="32" t="str">
        <f t="shared" si="0"/>
        <v/>
      </c>
      <c r="F15" s="32" t="str">
        <f t="shared" si="1"/>
        <v/>
      </c>
      <c r="G15" s="32" t="str">
        <f t="shared" si="2"/>
        <v/>
      </c>
    </row>
    <row r="16" spans="1:11">
      <c r="A16" s="21" t="s">
        <v>110</v>
      </c>
      <c r="B16" s="540" t="str">
        <f>"ZZ"&amp;ITEMS_Comm!C21</f>
        <v>ZZResidential - Other - Middle income</v>
      </c>
      <c r="C16" s="540" t="str">
        <f>"Backstop - "&amp;ITEMS_Comm!D21</f>
        <v>Backstop - PJ</v>
      </c>
      <c r="D16" s="32" t="s">
        <v>969</v>
      </c>
      <c r="E16" s="32" t="str">
        <f t="shared" si="0"/>
        <v/>
      </c>
      <c r="F16" s="32" t="str">
        <f t="shared" si="1"/>
        <v/>
      </c>
      <c r="G16" s="32" t="str">
        <f t="shared" si="2"/>
        <v/>
      </c>
    </row>
    <row r="17" spans="1:7">
      <c r="A17" s="21" t="s">
        <v>110</v>
      </c>
      <c r="B17" s="540" t="str">
        <f>"ZZ"&amp;ITEMS_Comm!C22</f>
        <v>ZZResidential - Lighting - High income</v>
      </c>
      <c r="C17" s="540" t="str">
        <f>"Backstop - "&amp;ITEMS_Comm!D22</f>
        <v>Backstop - PJ</v>
      </c>
      <c r="D17" s="32" t="s">
        <v>969</v>
      </c>
      <c r="E17" s="32" t="str">
        <f t="shared" si="0"/>
        <v/>
      </c>
      <c r="F17" s="32" t="str">
        <f t="shared" si="1"/>
        <v/>
      </c>
      <c r="G17" s="32" t="str">
        <f t="shared" si="2"/>
        <v/>
      </c>
    </row>
    <row r="18" spans="1:7">
      <c r="A18" s="21" t="s">
        <v>110</v>
      </c>
      <c r="B18" s="540" t="str">
        <f>"ZZ"&amp;ITEMS_Comm!C23</f>
        <v>ZZResidential - Cooking - High income</v>
      </c>
      <c r="C18" s="540" t="str">
        <f>"Backstop - "&amp;ITEMS_Comm!D23</f>
        <v>Backstop - PJ</v>
      </c>
      <c r="D18" s="32" t="s">
        <v>969</v>
      </c>
      <c r="E18" s="32" t="str">
        <f t="shared" si="0"/>
        <v/>
      </c>
      <c r="F18" s="32" t="str">
        <f t="shared" si="1"/>
        <v/>
      </c>
      <c r="G18" s="32" t="str">
        <f t="shared" si="2"/>
        <v/>
      </c>
    </row>
    <row r="19" spans="1:7">
      <c r="A19" s="21" t="s">
        <v>110</v>
      </c>
      <c r="B19" s="540" t="str">
        <f>"ZZ"&amp;ITEMS_Comm!C24</f>
        <v>ZZResidential - Heating - High income</v>
      </c>
      <c r="C19" s="540" t="str">
        <f>"Backstop - "&amp;ITEMS_Comm!D24</f>
        <v>Backstop - PJ</v>
      </c>
      <c r="D19" s="32" t="s">
        <v>969</v>
      </c>
      <c r="E19" s="32" t="str">
        <f t="shared" si="0"/>
        <v/>
      </c>
      <c r="F19" s="32" t="str">
        <f t="shared" si="1"/>
        <v/>
      </c>
      <c r="G19" s="32" t="str">
        <f t="shared" si="2"/>
        <v/>
      </c>
    </row>
    <row r="20" spans="1:7">
      <c r="A20" s="21" t="s">
        <v>110</v>
      </c>
      <c r="B20" s="540" t="str">
        <f>"ZZ"&amp;ITEMS_Comm!C25</f>
        <v>ZZResidential - Water heating - High income</v>
      </c>
      <c r="C20" s="540" t="str">
        <f>"Backstop - "&amp;ITEMS_Comm!D25</f>
        <v>Backstop - PJ</v>
      </c>
      <c r="D20" s="32" t="s">
        <v>969</v>
      </c>
      <c r="E20" s="32" t="str">
        <f t="shared" si="0"/>
        <v/>
      </c>
      <c r="F20" s="32" t="str">
        <f t="shared" si="1"/>
        <v/>
      </c>
      <c r="G20" s="32" t="str">
        <f t="shared" si="2"/>
        <v/>
      </c>
    </row>
    <row r="21" spans="1:7">
      <c r="A21" s="21" t="s">
        <v>110</v>
      </c>
      <c r="B21" s="540" t="str">
        <f>"ZZ"&amp;ITEMS_Comm!C26</f>
        <v>ZZResidential - Water heating - High income</v>
      </c>
      <c r="C21" s="540" t="str">
        <f>"Backstop - "&amp;ITEMS_Comm!D26</f>
        <v>Backstop - PJ</v>
      </c>
      <c r="D21" s="32" t="s">
        <v>969</v>
      </c>
      <c r="E21" s="32" t="str">
        <f t="shared" si="0"/>
        <v/>
      </c>
      <c r="F21" s="32" t="str">
        <f t="shared" si="1"/>
        <v/>
      </c>
      <c r="G21" s="32" t="str">
        <f t="shared" si="2"/>
        <v/>
      </c>
    </row>
    <row r="22" spans="1:7">
      <c r="A22" s="21" t="s">
        <v>110</v>
      </c>
      <c r="B22" s="540" t="str">
        <f>"ZZ"&amp;ITEMS_Comm!C27</f>
        <v>ZZResidential - Refrigeration - High income</v>
      </c>
      <c r="C22" s="540" t="str">
        <f>"Backstop - "&amp;ITEMS_Comm!D27</f>
        <v>Backstop - PJ</v>
      </c>
      <c r="D22" s="32" t="s">
        <v>969</v>
      </c>
      <c r="E22" s="32" t="str">
        <f t="shared" si="0"/>
        <v/>
      </c>
      <c r="F22" s="32" t="str">
        <f t="shared" si="1"/>
        <v/>
      </c>
      <c r="G22" s="32" t="str">
        <f t="shared" si="2"/>
        <v/>
      </c>
    </row>
    <row r="23" spans="1:7">
      <c r="A23" s="21" t="s">
        <v>110</v>
      </c>
      <c r="B23" s="540" t="str">
        <f>"ZZ"&amp;ITEMS_Comm!C28</f>
        <v>ZZResidential - Other - High income</v>
      </c>
      <c r="C23" s="540" t="str">
        <f>"Backstop - "&amp;ITEMS_Comm!D28</f>
        <v>Backstop - PJ</v>
      </c>
      <c r="D23" s="32" t="s">
        <v>969</v>
      </c>
      <c r="E23" s="32" t="str">
        <f t="shared" si="0"/>
        <v/>
      </c>
      <c r="F23" s="32" t="str">
        <f t="shared" si="1"/>
        <v/>
      </c>
      <c r="G23" s="32" t="str">
        <f t="shared" si="2"/>
        <v/>
      </c>
    </row>
    <row r="24" spans="1:7">
      <c r="A24" s="21" t="str">
        <f>ITEMS_Comm!A29</f>
        <v>*</v>
      </c>
      <c r="B24" s="540"/>
      <c r="C24" s="540"/>
      <c r="D24" s="540"/>
      <c r="E24" s="540"/>
      <c r="F24" s="540"/>
      <c r="G24" s="540"/>
    </row>
    <row r="25" spans="1:7">
      <c r="A25" s="21" t="str">
        <f>ITEMS_Comm!A30</f>
        <v>*</v>
      </c>
      <c r="B25" s="540"/>
      <c r="C25" s="540"/>
      <c r="D25" s="540"/>
      <c r="E25" s="540"/>
      <c r="F25" s="540"/>
      <c r="G25" s="540"/>
    </row>
    <row r="26" spans="1:7">
      <c r="A26" s="21" t="str">
        <f>ITEMS_Comm!A31</f>
        <v>*</v>
      </c>
      <c r="B26" s="540"/>
      <c r="C26" s="540"/>
      <c r="D26" s="540"/>
      <c r="E26" s="540"/>
      <c r="F26" s="540"/>
      <c r="G26" s="540"/>
    </row>
    <row r="27" spans="1:7">
      <c r="A27" s="21" t="str">
        <f>IF(LEFT(RES!A39,1)="*","*","")</f>
        <v/>
      </c>
      <c r="B27" s="540" t="str">
        <f>IF(A27="*","",RES!B39)</f>
        <v>RLELELCINC-E</v>
      </c>
      <c r="C27" s="21" t="str">
        <f>IF(A27="*","",RES!A39)</f>
        <v>Residential - Lighting - Low Income  - Electricity - INC - E</v>
      </c>
      <c r="D27" s="32" t="s">
        <v>969</v>
      </c>
      <c r="E27" s="32" t="str">
        <f t="shared" si="0"/>
        <v>Pja</v>
      </c>
      <c r="F27" s="32" t="str">
        <f t="shared" si="1"/>
        <v>DAYNITE</v>
      </c>
      <c r="G27" s="32" t="str">
        <f t="shared" si="2"/>
        <v>DMD</v>
      </c>
    </row>
    <row r="28" spans="1:7">
      <c r="A28" s="21" t="str">
        <f>IF(LEFT(RES!A40,1)="*","*","")</f>
        <v/>
      </c>
      <c r="B28" s="540" t="str">
        <f>IF(A28="*","",RES!B40)</f>
        <v>RLELOKEOKE</v>
      </c>
      <c r="C28" s="21" t="str">
        <f>IF(A28="*","",RES!A40)</f>
        <v>Residential - Lighting - Low Income  -Paraffin - PAR - E</v>
      </c>
      <c r="D28" s="32" t="s">
        <v>969</v>
      </c>
      <c r="E28" s="32" t="str">
        <f t="shared" ref="E28:E91" si="3">IF(A28="*","","Pja")</f>
        <v>Pja</v>
      </c>
      <c r="F28" s="32" t="str">
        <f t="shared" ref="F28:F91" si="4">IF(A28="*","","DAYNITE")</f>
        <v>DAYNITE</v>
      </c>
      <c r="G28" s="32" t="str">
        <f t="shared" ref="G28:G91" si="5">IF(A28="*","","DMD")</f>
        <v>DMD</v>
      </c>
    </row>
    <row r="29" spans="1:7">
      <c r="A29" s="21" t="str">
        <f>IF(LEFT(RES!A41,1)="*","*","")</f>
        <v>*</v>
      </c>
      <c r="B29" s="540" t="str">
        <f>IF(A29="*","",RES!B41)</f>
        <v/>
      </c>
      <c r="C29" s="21" t="str">
        <f>IF(A29="*","",RES!A41)</f>
        <v/>
      </c>
      <c r="D29" s="32" t="s">
        <v>969</v>
      </c>
      <c r="E29" s="32" t="str">
        <f t="shared" si="3"/>
        <v/>
      </c>
      <c r="F29" s="32" t="str">
        <f t="shared" si="4"/>
        <v/>
      </c>
      <c r="G29" s="32" t="str">
        <f t="shared" si="5"/>
        <v/>
      </c>
    </row>
    <row r="30" spans="1:7">
      <c r="A30" s="21" t="str">
        <f>IF(LEFT(RES!A42,1)="*","*","")</f>
        <v>*</v>
      </c>
      <c r="B30" s="540" t="str">
        <f>IF(A30="*","",RES!B42)</f>
        <v/>
      </c>
      <c r="C30" s="21" t="str">
        <f>IF(A30="*","",RES!A42)</f>
        <v/>
      </c>
      <c r="D30" s="32" t="s">
        <v>969</v>
      </c>
      <c r="E30" s="32" t="str">
        <f t="shared" si="3"/>
        <v/>
      </c>
      <c r="F30" s="32" t="str">
        <f t="shared" si="4"/>
        <v/>
      </c>
      <c r="G30" s="32" t="str">
        <f t="shared" si="5"/>
        <v/>
      </c>
    </row>
    <row r="31" spans="1:7">
      <c r="A31" s="21" t="str">
        <f>IF(LEFT(RES!A43,1)="*","*","")</f>
        <v/>
      </c>
      <c r="B31" s="540" t="str">
        <f>IF(A31="*","",RES!B43)</f>
        <v>RLEKELCHOT-E</v>
      </c>
      <c r="C31" s="21" t="str">
        <f>IF(A31="*","",RES!A43)</f>
        <v>Residential - Cooking - Low Income  - Electricity - HOT - E</v>
      </c>
      <c r="D31" s="32" t="s">
        <v>969</v>
      </c>
      <c r="E31" s="32" t="str">
        <f t="shared" si="3"/>
        <v>Pja</v>
      </c>
      <c r="F31" s="32" t="str">
        <f t="shared" si="4"/>
        <v>DAYNITE</v>
      </c>
      <c r="G31" s="32" t="str">
        <f t="shared" si="5"/>
        <v>DMD</v>
      </c>
    </row>
    <row r="32" spans="1:7">
      <c r="A32" s="21" t="str">
        <f>IF(LEFT(RES!A44,1)="*","*","")</f>
        <v/>
      </c>
      <c r="B32" s="540" t="str">
        <f>IF(A32="*","",RES!B44)</f>
        <v>RLEKOLPRING-E</v>
      </c>
      <c r="C32" s="21" t="str">
        <f>IF(A32="*","",RES!A44)</f>
        <v>Residential - Cooking - Low Income  - Oil LPG - RING - E</v>
      </c>
      <c r="D32" s="32" t="s">
        <v>969</v>
      </c>
      <c r="E32" s="32" t="str">
        <f t="shared" si="3"/>
        <v>Pja</v>
      </c>
      <c r="F32" s="32" t="str">
        <f t="shared" si="4"/>
        <v>DAYNITE</v>
      </c>
      <c r="G32" s="32" t="str">
        <f t="shared" si="5"/>
        <v>DMD</v>
      </c>
    </row>
    <row r="33" spans="1:7">
      <c r="A33" s="21" t="str">
        <f>IF(LEFT(RES!A45,1)="*","*","")</f>
        <v/>
      </c>
      <c r="B33" s="540" t="str">
        <f>IF(A33="*","",RES!B45)</f>
        <v>RLEKBIWBNM-E</v>
      </c>
      <c r="C33" s="21" t="str">
        <f>IF(A33="*","",RES!A45)</f>
        <v>Residential - Cooking - Low Income  - Biomass Wood - BNM - E</v>
      </c>
      <c r="D33" s="32" t="s">
        <v>969</v>
      </c>
      <c r="E33" s="32" t="str">
        <f t="shared" si="3"/>
        <v>Pja</v>
      </c>
      <c r="F33" s="32" t="str">
        <f t="shared" si="4"/>
        <v>DAYNITE</v>
      </c>
      <c r="G33" s="32" t="str">
        <f t="shared" si="5"/>
        <v>DMD</v>
      </c>
    </row>
    <row r="34" spans="1:7">
      <c r="A34" s="21" t="str">
        <f>IF(LEFT(RES!A46,1)="*","*","")</f>
        <v/>
      </c>
      <c r="B34" s="540" t="str">
        <f>IF(A34="*","",RES!B46)</f>
        <v>RLEKCOABNM-E</v>
      </c>
      <c r="C34" s="21" t="str">
        <f>IF(A34="*","",RES!A46)</f>
        <v>Residential - Cooking - Low Income  - Coal - BNM - E</v>
      </c>
      <c r="D34" s="32" t="s">
        <v>969</v>
      </c>
      <c r="E34" s="32" t="str">
        <f t="shared" si="3"/>
        <v>Pja</v>
      </c>
      <c r="F34" s="32" t="str">
        <f t="shared" si="4"/>
        <v>DAYNITE</v>
      </c>
      <c r="G34" s="32" t="str">
        <f t="shared" si="5"/>
        <v>DMD</v>
      </c>
    </row>
    <row r="35" spans="1:7">
      <c r="A35" s="21" t="str">
        <f>IF(LEFT(RES!A47,1)="*","*","")</f>
        <v/>
      </c>
      <c r="B35" s="540" t="str">
        <f>IF(A35="*","",RES!B47)</f>
        <v>RLEKOKEWICK-E</v>
      </c>
      <c r="C35" s="21" t="str">
        <f>IF(A35="*","",RES!A47)</f>
        <v>Residential - Cooking - Low Income  - Oil Paraffin - WICK - E</v>
      </c>
      <c r="D35" s="32" t="s">
        <v>969</v>
      </c>
      <c r="E35" s="32" t="str">
        <f t="shared" si="3"/>
        <v>Pja</v>
      </c>
      <c r="F35" s="32" t="str">
        <f t="shared" si="4"/>
        <v>DAYNITE</v>
      </c>
      <c r="G35" s="32" t="str">
        <f t="shared" si="5"/>
        <v>DMD</v>
      </c>
    </row>
    <row r="36" spans="1:7">
      <c r="A36" s="21" t="str">
        <f>IF(LEFT(RES!A48,1)="*","*","")</f>
        <v>*</v>
      </c>
      <c r="B36" s="540" t="str">
        <f>IF(A36="*","",RES!B48)</f>
        <v/>
      </c>
      <c r="C36" s="21" t="str">
        <f>IF(A36="*","",RES!A48)</f>
        <v/>
      </c>
      <c r="D36" s="32" t="s">
        <v>969</v>
      </c>
      <c r="E36" s="32" t="str">
        <f t="shared" si="3"/>
        <v/>
      </c>
      <c r="F36" s="32" t="str">
        <f t="shared" si="4"/>
        <v/>
      </c>
      <c r="G36" s="32" t="str">
        <f t="shared" si="5"/>
        <v/>
      </c>
    </row>
    <row r="37" spans="1:7">
      <c r="A37" s="21" t="str">
        <f>IF(LEFT(RES!A49,1)="*","*","")</f>
        <v>*</v>
      </c>
      <c r="B37" s="540" t="str">
        <f>IF(A37="*","",RES!B49)</f>
        <v/>
      </c>
      <c r="C37" s="21" t="str">
        <f>IF(A37="*","",RES!A49)</f>
        <v/>
      </c>
      <c r="D37" s="32" t="s">
        <v>969</v>
      </c>
      <c r="E37" s="32" t="str">
        <f t="shared" si="3"/>
        <v/>
      </c>
      <c r="F37" s="32" t="str">
        <f t="shared" si="4"/>
        <v/>
      </c>
      <c r="G37" s="32" t="str">
        <f t="shared" si="5"/>
        <v/>
      </c>
    </row>
    <row r="38" spans="1:7">
      <c r="A38" s="21" t="str">
        <f>IF(LEFT(RES!A50,1)="*","*","")</f>
        <v/>
      </c>
      <c r="B38" s="540" t="str">
        <f>IF(A38="*","",RES!B50)</f>
        <v>RLEHELCHEATBAR-E</v>
      </c>
      <c r="C38" s="21" t="str">
        <f>IF(A38="*","",RES!A50)</f>
        <v>Residential - Space Heating - Low Income  - Electricity - HEATBAR - E</v>
      </c>
      <c r="D38" s="32" t="s">
        <v>969</v>
      </c>
      <c r="E38" s="32" t="str">
        <f t="shared" si="3"/>
        <v>Pja</v>
      </c>
      <c r="F38" s="32" t="str">
        <f t="shared" si="4"/>
        <v>DAYNITE</v>
      </c>
      <c r="G38" s="32" t="str">
        <f t="shared" si="5"/>
        <v>DMD</v>
      </c>
    </row>
    <row r="39" spans="1:7">
      <c r="A39" s="21" t="str">
        <f>IF(LEFT(RES!A51,1)="*","*","")</f>
        <v/>
      </c>
      <c r="B39" s="540" t="str">
        <f>IF(A39="*","",RES!B51)</f>
        <v>RLEHOKEHEAT-E</v>
      </c>
      <c r="C39" s="21" t="str">
        <f>IF(A39="*","",RES!A51)</f>
        <v>Residential - Space Heating - Low Income  - Oil Paraffin - HEAT - E</v>
      </c>
      <c r="D39" s="32" t="s">
        <v>969</v>
      </c>
      <c r="E39" s="32" t="str">
        <f t="shared" si="3"/>
        <v>Pja</v>
      </c>
      <c r="F39" s="32" t="str">
        <f t="shared" si="4"/>
        <v>DAYNITE</v>
      </c>
      <c r="G39" s="32" t="str">
        <f t="shared" si="5"/>
        <v>DMD</v>
      </c>
    </row>
    <row r="40" spans="1:7">
      <c r="A40" s="21" t="str">
        <f>IF(LEFT(RES!A52,1)="*","*","")</f>
        <v/>
      </c>
      <c r="B40" s="540" t="str">
        <f>IF(A40="*","",RES!B52)</f>
        <v>RLEHBIWOPEN-E</v>
      </c>
      <c r="C40" s="21" t="str">
        <f>IF(A40="*","",RES!A52)</f>
        <v>Residential - Space Heating - Low Income  - Biomass Wood - OPEN - E</v>
      </c>
      <c r="D40" s="32" t="s">
        <v>969</v>
      </c>
      <c r="E40" s="32" t="str">
        <f t="shared" si="3"/>
        <v>Pja</v>
      </c>
      <c r="F40" s="32" t="str">
        <f t="shared" si="4"/>
        <v>DAYNITE</v>
      </c>
      <c r="G40" s="32" t="str">
        <f t="shared" si="5"/>
        <v>DMD</v>
      </c>
    </row>
    <row r="41" spans="1:7">
      <c r="A41" s="21" t="str">
        <f>IF(LEFT(RES!A53,1)="*","*","")</f>
        <v/>
      </c>
      <c r="B41" s="540" t="str">
        <f>IF(A41="*","",RES!B53)</f>
        <v>RLEHCOABNM-E</v>
      </c>
      <c r="C41" s="21" t="str">
        <f>IF(A41="*","",RES!A53)</f>
        <v>Residential - Space Heating - Low Income  - Coal - BNM - E</v>
      </c>
      <c r="D41" s="32" t="s">
        <v>969</v>
      </c>
      <c r="E41" s="32" t="str">
        <f t="shared" si="3"/>
        <v>Pja</v>
      </c>
      <c r="F41" s="32" t="str">
        <f t="shared" si="4"/>
        <v>DAYNITE</v>
      </c>
      <c r="G41" s="32" t="str">
        <f t="shared" si="5"/>
        <v>DMD</v>
      </c>
    </row>
    <row r="42" spans="1:7">
      <c r="A42" s="21" t="str">
        <f>IF(LEFT(RES!A54,1)="*","*","")</f>
        <v/>
      </c>
      <c r="B42" s="540" t="str">
        <f>IF(A42="*","",RES!B54)</f>
        <v>RLEHOLPHET-E</v>
      </c>
      <c r="C42" s="21" t="str">
        <f>IF(A42="*","",RES!A54)</f>
        <v>Residential - Space Heating - Low Income  - Oil LPG - HET - E</v>
      </c>
      <c r="D42" s="32" t="s">
        <v>969</v>
      </c>
      <c r="E42" s="32" t="str">
        <f t="shared" si="3"/>
        <v>Pja</v>
      </c>
      <c r="F42" s="32" t="str">
        <f t="shared" si="4"/>
        <v>DAYNITE</v>
      </c>
      <c r="G42" s="32" t="str">
        <f t="shared" si="5"/>
        <v>DMD</v>
      </c>
    </row>
    <row r="43" spans="1:7">
      <c r="A43" s="21" t="str">
        <f>IF(LEFT(RES!A55,1)="*","*","")</f>
        <v>*</v>
      </c>
      <c r="B43" s="540" t="str">
        <f>IF(A43="*","",RES!B55)</f>
        <v/>
      </c>
      <c r="C43" s="21" t="str">
        <f>IF(A43="*","",RES!A55)</f>
        <v/>
      </c>
      <c r="D43" s="32" t="s">
        <v>969</v>
      </c>
      <c r="E43" s="32" t="str">
        <f t="shared" si="3"/>
        <v/>
      </c>
      <c r="F43" s="32" t="str">
        <f t="shared" si="4"/>
        <v/>
      </c>
      <c r="G43" s="32" t="str">
        <f t="shared" si="5"/>
        <v/>
      </c>
    </row>
    <row r="44" spans="1:7">
      <c r="A44" s="21" t="str">
        <f>IF(LEFT(RES!A56,1)="*","*","")</f>
        <v>*</v>
      </c>
      <c r="B44" s="540" t="str">
        <f>IF(A44="*","",RES!B56)</f>
        <v/>
      </c>
      <c r="C44" s="21" t="str">
        <f>IF(A44="*","",RES!A56)</f>
        <v/>
      </c>
      <c r="D44" s="32" t="s">
        <v>969</v>
      </c>
      <c r="E44" s="32" t="str">
        <f t="shared" si="3"/>
        <v/>
      </c>
      <c r="F44" s="32" t="str">
        <f t="shared" si="4"/>
        <v/>
      </c>
      <c r="G44" s="32" t="str">
        <f t="shared" si="5"/>
        <v/>
      </c>
    </row>
    <row r="45" spans="1:7">
      <c r="A45" s="21" t="str">
        <f>IF(LEFT(RES!A57,1)="*","*","")</f>
        <v>*</v>
      </c>
      <c r="B45" s="540" t="str">
        <f>IF(A45="*","",RES!B57)</f>
        <v/>
      </c>
      <c r="C45" s="21" t="str">
        <f>IF(A45="*","",RES!A57)</f>
        <v/>
      </c>
      <c r="D45" s="32" t="s">
        <v>969</v>
      </c>
      <c r="E45" s="32" t="str">
        <f t="shared" si="3"/>
        <v/>
      </c>
      <c r="F45" s="32" t="str">
        <f t="shared" si="4"/>
        <v/>
      </c>
      <c r="G45" s="32" t="str">
        <f t="shared" si="5"/>
        <v/>
      </c>
    </row>
    <row r="46" spans="1:7">
      <c r="A46" s="21" t="str">
        <f>IF(LEFT(RES!A58,1)="*","*","")</f>
        <v>*</v>
      </c>
      <c r="B46" s="540" t="str">
        <f>IF(A46="*","",RES!B58)</f>
        <v/>
      </c>
      <c r="C46" s="21" t="str">
        <f>IF(A46="*","",RES!A58)</f>
        <v/>
      </c>
      <c r="D46" s="32" t="s">
        <v>969</v>
      </c>
      <c r="E46" s="32" t="str">
        <f t="shared" si="3"/>
        <v/>
      </c>
      <c r="F46" s="32" t="str">
        <f t="shared" si="4"/>
        <v/>
      </c>
      <c r="G46" s="32" t="str">
        <f t="shared" si="5"/>
        <v/>
      </c>
    </row>
    <row r="47" spans="1:7">
      <c r="A47" s="21" t="str">
        <f>IF(LEFT(RES!A59,1)="*","*","")</f>
        <v>*</v>
      </c>
      <c r="B47" s="540" t="str">
        <f>IF(A47="*","",RES!B59)</f>
        <v/>
      </c>
      <c r="C47" s="21" t="str">
        <f>IF(A47="*","",RES!A59)</f>
        <v/>
      </c>
      <c r="D47" s="32" t="s">
        <v>969</v>
      </c>
      <c r="E47" s="32" t="str">
        <f t="shared" si="3"/>
        <v/>
      </c>
      <c r="F47" s="32" t="str">
        <f t="shared" si="4"/>
        <v/>
      </c>
      <c r="G47" s="32" t="str">
        <f t="shared" si="5"/>
        <v/>
      </c>
    </row>
    <row r="48" spans="1:7">
      <c r="A48" s="21" t="str">
        <f>IF(LEFT(RES!A60,1)="*","*","")</f>
        <v>*</v>
      </c>
      <c r="B48" s="540" t="str">
        <f>IF(A48="*","",RES!B60)</f>
        <v/>
      </c>
      <c r="C48" s="21" t="str">
        <f>IF(A48="*","",RES!A60)</f>
        <v/>
      </c>
      <c r="D48" s="32" t="s">
        <v>969</v>
      </c>
      <c r="E48" s="32" t="str">
        <f t="shared" si="3"/>
        <v/>
      </c>
      <c r="F48" s="32" t="str">
        <f t="shared" si="4"/>
        <v/>
      </c>
      <c r="G48" s="32" t="str">
        <f t="shared" si="5"/>
        <v/>
      </c>
    </row>
    <row r="49" spans="1:7">
      <c r="A49" s="21" t="str">
        <f>IF(LEFT(RES!A61,1)="*","*","")</f>
        <v/>
      </c>
      <c r="B49" s="540" t="str">
        <f>IF(A49="*","",RES!B61)</f>
        <v>RLEWOKEKETWI-E</v>
      </c>
      <c r="C49" s="21" t="str">
        <f>IF(A49="*","",RES!A61)</f>
        <v>Residential - Water Heating - Low Income  - Oil Paraffin - KETWI - E</v>
      </c>
      <c r="D49" s="32" t="s">
        <v>969</v>
      </c>
      <c r="E49" s="32" t="str">
        <f t="shared" si="3"/>
        <v>Pja</v>
      </c>
      <c r="F49" s="32" t="str">
        <f t="shared" si="4"/>
        <v>DAYNITE</v>
      </c>
      <c r="G49" s="32" t="str">
        <f t="shared" si="5"/>
        <v>DMD</v>
      </c>
    </row>
    <row r="50" spans="1:7">
      <c r="A50" s="21" t="str">
        <f>IF(LEFT(RES!A62,1)="*","*","")</f>
        <v/>
      </c>
      <c r="B50" s="540" t="str">
        <f>IF(A50="*","",RES!B62)</f>
        <v>RLEWELCKET-E</v>
      </c>
      <c r="C50" s="21" t="str">
        <f>IF(A50="*","",RES!A62)</f>
        <v>Residential - Water Heating - Low Income  - Electricity - KET - E</v>
      </c>
      <c r="D50" s="32" t="s">
        <v>969</v>
      </c>
      <c r="E50" s="32" t="str">
        <f t="shared" si="3"/>
        <v>Pja</v>
      </c>
      <c r="F50" s="32" t="str">
        <f t="shared" si="4"/>
        <v>DAYNITE</v>
      </c>
      <c r="G50" s="32" t="str">
        <f t="shared" si="5"/>
        <v>DMD</v>
      </c>
    </row>
    <row r="51" spans="1:7">
      <c r="A51" s="21" t="str">
        <f>IF(LEFT(RES!A63,1)="*","*","")</f>
        <v/>
      </c>
      <c r="B51" s="540" t="str">
        <f>IF(A51="*","",RES!B63)</f>
        <v>RLEWBIWKETBI-E</v>
      </c>
      <c r="C51" s="21" t="str">
        <f>IF(A51="*","",RES!A63)</f>
        <v>Residential - Water Heating - Low Income  - Biomass Wood - KETBI - E</v>
      </c>
      <c r="D51" s="32" t="s">
        <v>969</v>
      </c>
      <c r="E51" s="32" t="str">
        <f t="shared" si="3"/>
        <v>Pja</v>
      </c>
      <c r="F51" s="32" t="str">
        <f t="shared" si="4"/>
        <v>DAYNITE</v>
      </c>
      <c r="G51" s="32" t="str">
        <f t="shared" si="5"/>
        <v>DMD</v>
      </c>
    </row>
    <row r="52" spans="1:7">
      <c r="A52" s="21" t="str">
        <f>IF(LEFT(RES!A64,1)="*","*","")</f>
        <v/>
      </c>
      <c r="B52" s="540" t="str">
        <f>IF(A52="*","",RES!B64)</f>
        <v>RLEWCOAKETCOA-E</v>
      </c>
      <c r="C52" s="21" t="str">
        <f>IF(A52="*","",RES!A64)</f>
        <v>Residential - Water Heating - Low Income  - Coal - KETCOA - E</v>
      </c>
      <c r="D52" s="32" t="s">
        <v>969</v>
      </c>
      <c r="E52" s="32" t="str">
        <f t="shared" si="3"/>
        <v>Pja</v>
      </c>
      <c r="F52" s="32" t="str">
        <f t="shared" si="4"/>
        <v>DAYNITE</v>
      </c>
      <c r="G52" s="32" t="str">
        <f t="shared" si="5"/>
        <v>DMD</v>
      </c>
    </row>
    <row r="53" spans="1:7">
      <c r="A53" s="21" t="str">
        <f>IF(LEFT(RES!A65,1)="*","*","")</f>
        <v/>
      </c>
      <c r="B53" s="540" t="str">
        <f>IF(A53="*","",RES!B65)</f>
        <v>RLEWOLPKETLPG-E</v>
      </c>
      <c r="C53" s="21" t="str">
        <f>IF(A53="*","",RES!A65)</f>
        <v>Residential - Water Heating - Low Income  - Oil LPG - KETLPG - E</v>
      </c>
      <c r="D53" s="32" t="s">
        <v>969</v>
      </c>
      <c r="E53" s="32" t="str">
        <f t="shared" si="3"/>
        <v>Pja</v>
      </c>
      <c r="F53" s="32" t="str">
        <f t="shared" si="4"/>
        <v>DAYNITE</v>
      </c>
      <c r="G53" s="32" t="str">
        <f t="shared" si="5"/>
        <v>DMD</v>
      </c>
    </row>
    <row r="54" spans="1:7">
      <c r="A54" s="21" t="str">
        <f>IF(LEFT(RES!A66,1)="*","*","")</f>
        <v>*</v>
      </c>
      <c r="B54" s="540" t="str">
        <f>IF(A54="*","",RES!B66)</f>
        <v/>
      </c>
      <c r="C54" s="21" t="str">
        <f>IF(A54="*","",RES!A66)</f>
        <v/>
      </c>
      <c r="D54" s="32" t="s">
        <v>969</v>
      </c>
      <c r="E54" s="32" t="str">
        <f t="shared" si="3"/>
        <v/>
      </c>
      <c r="F54" s="32" t="str">
        <f t="shared" si="4"/>
        <v/>
      </c>
      <c r="G54" s="32" t="str">
        <f t="shared" si="5"/>
        <v/>
      </c>
    </row>
    <row r="55" spans="1:7">
      <c r="A55" s="21" t="str">
        <f>IF(LEFT(RES!A67,1)="*","*","")</f>
        <v>*</v>
      </c>
      <c r="B55" s="540" t="str">
        <f>IF(A55="*","",RES!B67)</f>
        <v/>
      </c>
      <c r="C55" s="21" t="str">
        <f>IF(A55="*","",RES!A67)</f>
        <v/>
      </c>
      <c r="D55" s="32" t="s">
        <v>969</v>
      </c>
      <c r="E55" s="32" t="str">
        <f t="shared" si="3"/>
        <v/>
      </c>
      <c r="F55" s="32" t="str">
        <f t="shared" si="4"/>
        <v/>
      </c>
      <c r="G55" s="32" t="str">
        <f t="shared" si="5"/>
        <v/>
      </c>
    </row>
    <row r="56" spans="1:7">
      <c r="A56" s="21" t="str">
        <f>IF(LEFT(RES!A68,1)="*","*","")</f>
        <v/>
      </c>
      <c r="B56" s="540" t="str">
        <f>IF(A56="*","",RES!B68)</f>
        <v>RLERELCREF-E</v>
      </c>
      <c r="C56" s="21" t="str">
        <f>IF(A56="*","",RES!A68)</f>
        <v>Residential - Refrigeration - Low Income  - Electricity - REF - E</v>
      </c>
      <c r="D56" s="32" t="s">
        <v>969</v>
      </c>
      <c r="E56" s="32" t="str">
        <f t="shared" si="3"/>
        <v>Pja</v>
      </c>
      <c r="F56" s="32" t="str">
        <f t="shared" si="4"/>
        <v>DAYNITE</v>
      </c>
      <c r="G56" s="32" t="str">
        <f t="shared" si="5"/>
        <v>DMD</v>
      </c>
    </row>
    <row r="57" spans="1:7">
      <c r="A57" s="21" t="str">
        <f>IF(LEFT(RES!A69,1)="*","*","")</f>
        <v>*</v>
      </c>
      <c r="B57" s="540" t="str">
        <f>IF(A57="*","",RES!B69)</f>
        <v/>
      </c>
      <c r="C57" s="21" t="str">
        <f>IF(A57="*","",RES!A69)</f>
        <v/>
      </c>
      <c r="D57" s="32" t="s">
        <v>969</v>
      </c>
      <c r="E57" s="32" t="str">
        <f t="shared" si="3"/>
        <v/>
      </c>
      <c r="F57" s="32" t="str">
        <f t="shared" si="4"/>
        <v/>
      </c>
      <c r="G57" s="32" t="str">
        <f t="shared" si="5"/>
        <v/>
      </c>
    </row>
    <row r="58" spans="1:7">
      <c r="A58" s="21" t="str">
        <f>IF(LEFT(RES!A70,1)="*","*","")</f>
        <v>*</v>
      </c>
      <c r="B58" s="540" t="str">
        <f>IF(A58="*","",RES!B70)</f>
        <v/>
      </c>
      <c r="C58" s="21" t="str">
        <f>IF(A58="*","",RES!A70)</f>
        <v/>
      </c>
      <c r="D58" s="32" t="s">
        <v>969</v>
      </c>
      <c r="E58" s="32" t="str">
        <f t="shared" si="3"/>
        <v/>
      </c>
      <c r="F58" s="32" t="str">
        <f t="shared" si="4"/>
        <v/>
      </c>
      <c r="G58" s="32" t="str">
        <f t="shared" si="5"/>
        <v/>
      </c>
    </row>
    <row r="59" spans="1:7">
      <c r="A59" s="21" t="str">
        <f>IF(LEFT(RES!A71,1)="*","*","")</f>
        <v/>
      </c>
      <c r="B59" s="540" t="str">
        <f>IF(A59="*","",RES!B71)</f>
        <v>RLEOELCOTH-E</v>
      </c>
      <c r="C59" s="21" t="str">
        <f>IF(A59="*","",RES!A71)</f>
        <v>Residential - Other - Low Income  - Electricity - OTH - E</v>
      </c>
      <c r="D59" s="32" t="s">
        <v>969</v>
      </c>
      <c r="E59" s="32" t="str">
        <f t="shared" si="3"/>
        <v>Pja</v>
      </c>
      <c r="F59" s="32" t="str">
        <f t="shared" si="4"/>
        <v>DAYNITE</v>
      </c>
      <c r="G59" s="32" t="str">
        <f t="shared" si="5"/>
        <v>DMD</v>
      </c>
    </row>
    <row r="60" spans="1:7">
      <c r="A60" s="21" t="str">
        <f>IF(LEFT(RES!A72,1)="*","*","")</f>
        <v>*</v>
      </c>
      <c r="B60" s="540" t="str">
        <f>IF(A60="*","",RES!B72)</f>
        <v/>
      </c>
      <c r="C60" s="21" t="str">
        <f>IF(A60="*","",RES!A72)</f>
        <v/>
      </c>
      <c r="D60" s="32" t="s">
        <v>969</v>
      </c>
      <c r="E60" s="32" t="str">
        <f t="shared" si="3"/>
        <v/>
      </c>
      <c r="F60" s="32" t="str">
        <f t="shared" si="4"/>
        <v/>
      </c>
      <c r="G60" s="32" t="str">
        <f t="shared" si="5"/>
        <v/>
      </c>
    </row>
    <row r="61" spans="1:7">
      <c r="A61" s="21" t="str">
        <f>IF(LEFT(RES!A73,1)="*","*","")</f>
        <v>*</v>
      </c>
      <c r="B61" s="540" t="str">
        <f>IF(A61="*","",RES!B73)</f>
        <v/>
      </c>
      <c r="C61" s="21" t="str">
        <f>IF(A61="*","",RES!A73)</f>
        <v/>
      </c>
      <c r="D61" s="32" t="s">
        <v>969</v>
      </c>
      <c r="E61" s="32" t="str">
        <f t="shared" si="3"/>
        <v/>
      </c>
      <c r="F61" s="32" t="str">
        <f t="shared" si="4"/>
        <v/>
      </c>
      <c r="G61" s="32" t="str">
        <f t="shared" si="5"/>
        <v/>
      </c>
    </row>
    <row r="62" spans="1:7">
      <c r="A62" s="21" t="str">
        <f>IF(LEFT(RES!A74,1)="*","*","")</f>
        <v>*</v>
      </c>
      <c r="B62" s="540" t="str">
        <f>IF(A62="*","",RES!B74)</f>
        <v/>
      </c>
      <c r="C62" s="21" t="str">
        <f>IF(A62="*","",RES!A74)</f>
        <v/>
      </c>
      <c r="D62" s="32" t="s">
        <v>969</v>
      </c>
      <c r="E62" s="32" t="str">
        <f t="shared" si="3"/>
        <v/>
      </c>
      <c r="F62" s="32" t="str">
        <f t="shared" si="4"/>
        <v/>
      </c>
      <c r="G62" s="32" t="str">
        <f t="shared" si="5"/>
        <v/>
      </c>
    </row>
    <row r="63" spans="1:7">
      <c r="A63" s="21" t="str">
        <f>IF(LEFT(RES!A75,1)="*","*","")</f>
        <v/>
      </c>
      <c r="B63" s="540" t="str">
        <f>IF(A63="*","",RES!B75)</f>
        <v>RMELELCINC-E</v>
      </c>
      <c r="C63" s="21" t="str">
        <f>IF(A63="*","",RES!A75)</f>
        <v>Residential - Lighting - Middle Income  - Electricity - INC - E</v>
      </c>
      <c r="D63" s="32" t="s">
        <v>969</v>
      </c>
      <c r="E63" s="32" t="str">
        <f t="shared" si="3"/>
        <v>Pja</v>
      </c>
      <c r="F63" s="32" t="str">
        <f t="shared" si="4"/>
        <v>DAYNITE</v>
      </c>
      <c r="G63" s="32" t="str">
        <f t="shared" si="5"/>
        <v>DMD</v>
      </c>
    </row>
    <row r="64" spans="1:7">
      <c r="A64" s="21" t="str">
        <f>IF(LEFT(RES!A76,1)="*","*","")</f>
        <v>*</v>
      </c>
      <c r="B64" s="540" t="str">
        <f>IF(A64="*","",RES!B76)</f>
        <v/>
      </c>
      <c r="C64" s="21" t="str">
        <f>IF(A64="*","",RES!A76)</f>
        <v/>
      </c>
      <c r="D64" s="32" t="s">
        <v>969</v>
      </c>
      <c r="E64" s="32" t="str">
        <f t="shared" si="3"/>
        <v/>
      </c>
      <c r="F64" s="32" t="str">
        <f t="shared" si="4"/>
        <v/>
      </c>
      <c r="G64" s="32" t="str">
        <f t="shared" si="5"/>
        <v/>
      </c>
    </row>
    <row r="65" spans="1:7">
      <c r="A65" s="21" t="str">
        <f>IF(LEFT(RES!A77,1)="*","*","")</f>
        <v>*</v>
      </c>
      <c r="B65" s="540" t="str">
        <f>IF(A65="*","",RES!B77)</f>
        <v/>
      </c>
      <c r="C65" s="21" t="str">
        <f>IF(A65="*","",RES!A77)</f>
        <v/>
      </c>
      <c r="D65" s="32" t="s">
        <v>969</v>
      </c>
      <c r="E65" s="32" t="str">
        <f t="shared" si="3"/>
        <v/>
      </c>
      <c r="F65" s="32" t="str">
        <f t="shared" si="4"/>
        <v/>
      </c>
      <c r="G65" s="32" t="str">
        <f t="shared" si="5"/>
        <v/>
      </c>
    </row>
    <row r="66" spans="1:7">
      <c r="A66" s="21" t="str">
        <f>IF(LEFT(RES!A78,1)="*","*","")</f>
        <v>*</v>
      </c>
      <c r="B66" s="540" t="str">
        <f>IF(A66="*","",RES!B78)</f>
        <v/>
      </c>
      <c r="C66" s="21" t="str">
        <f>IF(A66="*","",RES!A78)</f>
        <v/>
      </c>
      <c r="D66" s="32" t="s">
        <v>969</v>
      </c>
      <c r="E66" s="32" t="str">
        <f t="shared" si="3"/>
        <v/>
      </c>
      <c r="F66" s="32" t="str">
        <f t="shared" si="4"/>
        <v/>
      </c>
      <c r="G66" s="32" t="str">
        <f t="shared" si="5"/>
        <v/>
      </c>
    </row>
    <row r="67" spans="1:7">
      <c r="A67" s="21" t="str">
        <f>IF(LEFT(RES!A79,1)="*","*","")</f>
        <v/>
      </c>
      <c r="B67" s="540" t="str">
        <f>IF(A67="*","",RES!B79)</f>
        <v>RMEKELCSTOV-E</v>
      </c>
      <c r="C67" s="21" t="str">
        <f>IF(A67="*","",RES!A79)</f>
        <v>Residential - Cooking - Middle Income  - Electricity - STOV - E</v>
      </c>
      <c r="D67" s="32" t="s">
        <v>969</v>
      </c>
      <c r="E67" s="32" t="str">
        <f t="shared" si="3"/>
        <v>Pja</v>
      </c>
      <c r="F67" s="32" t="str">
        <f t="shared" si="4"/>
        <v>DAYNITE</v>
      </c>
      <c r="G67" s="32" t="str">
        <f t="shared" si="5"/>
        <v>DMD</v>
      </c>
    </row>
    <row r="68" spans="1:7">
      <c r="A68" s="21" t="str">
        <f>IF(LEFT(RES!A80,1)="*","*","")</f>
        <v/>
      </c>
      <c r="B68" s="540" t="str">
        <f>IF(A68="*","",RES!B80)</f>
        <v>RMEKOLPSTOV-E</v>
      </c>
      <c r="C68" s="21" t="str">
        <f>IF(A68="*","",RES!A80)</f>
        <v>Residential - Cooking - Middle Income  - Oil LPG - STOV - E</v>
      </c>
      <c r="D68" s="32" t="s">
        <v>969</v>
      </c>
      <c r="E68" s="32" t="str">
        <f t="shared" si="3"/>
        <v>Pja</v>
      </c>
      <c r="F68" s="32" t="str">
        <f t="shared" si="4"/>
        <v>DAYNITE</v>
      </c>
      <c r="G68" s="32" t="str">
        <f t="shared" si="5"/>
        <v>DMD</v>
      </c>
    </row>
    <row r="69" spans="1:7">
      <c r="A69" s="21" t="str">
        <f>IF(LEFT(RES!A81,1)="*","*","")</f>
        <v/>
      </c>
      <c r="B69" s="540" t="str">
        <f>IF(A69="*","",RES!B81)</f>
        <v>RMEKBIWSTOV-E</v>
      </c>
      <c r="C69" s="21" t="str">
        <f>IF(A69="*","",RES!A81)</f>
        <v>Residential - Cooking - Middle Income  - Biomass Wood - STOV - E</v>
      </c>
      <c r="D69" s="32" t="s">
        <v>969</v>
      </c>
      <c r="E69" s="32" t="str">
        <f t="shared" si="3"/>
        <v>Pja</v>
      </c>
      <c r="F69" s="32" t="str">
        <f t="shared" si="4"/>
        <v>DAYNITE</v>
      </c>
      <c r="G69" s="32" t="str">
        <f t="shared" si="5"/>
        <v>DMD</v>
      </c>
    </row>
    <row r="70" spans="1:7">
      <c r="A70" s="21" t="str">
        <f>IF(LEFT(RES!A82,1)="*","*","")</f>
        <v/>
      </c>
      <c r="B70" s="540" t="str">
        <f>IF(A70="*","",RES!B82)</f>
        <v>RMEKCOABNM-E</v>
      </c>
      <c r="C70" s="21" t="str">
        <f>IF(A70="*","",RES!A82)</f>
        <v>Residential - Cooking - Middle Income  - Coal - BNM - E</v>
      </c>
      <c r="D70" s="32" t="s">
        <v>969</v>
      </c>
      <c r="E70" s="32" t="str">
        <f t="shared" si="3"/>
        <v>Pja</v>
      </c>
      <c r="F70" s="32" t="str">
        <f t="shared" si="4"/>
        <v>DAYNITE</v>
      </c>
      <c r="G70" s="32" t="str">
        <f t="shared" si="5"/>
        <v>DMD</v>
      </c>
    </row>
    <row r="71" spans="1:7">
      <c r="A71" s="21" t="str">
        <f>IF(LEFT(RES!A83,1)="*","*","")</f>
        <v/>
      </c>
      <c r="B71" s="540" t="str">
        <f>IF(A71="*","",RES!B83)</f>
        <v>RMEKOKEWICK-E</v>
      </c>
      <c r="C71" s="21" t="str">
        <f>IF(A71="*","",RES!A83)</f>
        <v>Residential - Cooking - Middle Income  - Oil Paraffin - WICK - E</v>
      </c>
      <c r="D71" s="32" t="s">
        <v>969</v>
      </c>
      <c r="E71" s="32" t="str">
        <f t="shared" si="3"/>
        <v>Pja</v>
      </c>
      <c r="F71" s="32" t="str">
        <f t="shared" si="4"/>
        <v>DAYNITE</v>
      </c>
      <c r="G71" s="32" t="str">
        <f t="shared" si="5"/>
        <v>DMD</v>
      </c>
    </row>
    <row r="72" spans="1:7">
      <c r="A72" s="21" t="str">
        <f>IF(LEFT(RES!A84,1)="*","*","")</f>
        <v/>
      </c>
      <c r="B72" s="540" t="str">
        <f>IF(A72="*","",RES!B84)</f>
        <v>RMEKGASSTOV-E</v>
      </c>
      <c r="C72" s="21" t="str">
        <f>IF(A72="*","",RES!A84)</f>
        <v>Residential - Cooking - Middle Income  - Natural Gas - STOV - E</v>
      </c>
      <c r="D72" s="32" t="s">
        <v>969</v>
      </c>
      <c r="E72" s="32" t="str">
        <f t="shared" si="3"/>
        <v>Pja</v>
      </c>
      <c r="F72" s="32" t="str">
        <f t="shared" si="4"/>
        <v>DAYNITE</v>
      </c>
      <c r="G72" s="32" t="str">
        <f t="shared" si="5"/>
        <v>DMD</v>
      </c>
    </row>
    <row r="73" spans="1:7">
      <c r="A73" s="21" t="str">
        <f>IF(LEFT(RES!A85,1)="*","*","")</f>
        <v>*</v>
      </c>
      <c r="B73" s="540" t="str">
        <f>IF(A73="*","",RES!B85)</f>
        <v/>
      </c>
      <c r="C73" s="21" t="str">
        <f>IF(A73="*","",RES!A85)</f>
        <v/>
      </c>
      <c r="D73" s="32" t="s">
        <v>969</v>
      </c>
      <c r="E73" s="32" t="str">
        <f t="shared" si="3"/>
        <v/>
      </c>
      <c r="F73" s="32" t="str">
        <f t="shared" si="4"/>
        <v/>
      </c>
      <c r="G73" s="32" t="str">
        <f t="shared" si="5"/>
        <v/>
      </c>
    </row>
    <row r="74" spans="1:7">
      <c r="A74" s="21" t="str">
        <f>IF(LEFT(RES!A86,1)="*","*","")</f>
        <v>*</v>
      </c>
      <c r="B74" s="540" t="str">
        <f>IF(A74="*","",RES!B86)</f>
        <v/>
      </c>
      <c r="C74" s="21" t="str">
        <f>IF(A74="*","",RES!A86)</f>
        <v/>
      </c>
      <c r="D74" s="32" t="s">
        <v>969</v>
      </c>
      <c r="E74" s="32" t="str">
        <f t="shared" si="3"/>
        <v/>
      </c>
      <c r="F74" s="32" t="str">
        <f t="shared" si="4"/>
        <v/>
      </c>
      <c r="G74" s="32" t="str">
        <f t="shared" si="5"/>
        <v/>
      </c>
    </row>
    <row r="75" spans="1:7">
      <c r="A75" s="21" t="str">
        <f>IF(LEFT(RES!A87,1)="*","*","")</f>
        <v/>
      </c>
      <c r="B75" s="540" t="str">
        <f>IF(A75="*","",RES!B87)</f>
        <v>RMEHELCHEATFIN-E</v>
      </c>
      <c r="C75" s="21" t="str">
        <f>IF(A75="*","",RES!A87)</f>
        <v>Residential - Space Heating - Middle Income  - Electricity - HEATFIN - E</v>
      </c>
      <c r="D75" s="32" t="s">
        <v>969</v>
      </c>
      <c r="E75" s="32" t="str">
        <f t="shared" si="3"/>
        <v>Pja</v>
      </c>
      <c r="F75" s="32" t="str">
        <f t="shared" si="4"/>
        <v>DAYNITE</v>
      </c>
      <c r="G75" s="32" t="str">
        <f t="shared" si="5"/>
        <v>DMD</v>
      </c>
    </row>
    <row r="76" spans="1:7">
      <c r="A76" s="21" t="str">
        <f>IF(LEFT(RES!A88,1)="*","*","")</f>
        <v/>
      </c>
      <c r="B76" s="540" t="str">
        <f>IF(A76="*","",RES!B88)</f>
        <v>RMEHOKEHEAT-E</v>
      </c>
      <c r="C76" s="21" t="str">
        <f>IF(A76="*","",RES!A88)</f>
        <v>Residential - Space Heating - Middle Income  - Oil Paraffin - HEAT - E</v>
      </c>
      <c r="D76" s="32" t="s">
        <v>969</v>
      </c>
      <c r="E76" s="32" t="str">
        <f t="shared" si="3"/>
        <v>Pja</v>
      </c>
      <c r="F76" s="32" t="str">
        <f t="shared" si="4"/>
        <v>DAYNITE</v>
      </c>
      <c r="G76" s="32" t="str">
        <f t="shared" si="5"/>
        <v>DMD</v>
      </c>
    </row>
    <row r="77" spans="1:7">
      <c r="A77" s="21" t="str">
        <f>IF(LEFT(RES!A89,1)="*","*","")</f>
        <v/>
      </c>
      <c r="B77" s="540" t="str">
        <f>IF(A77="*","",RES!B89)</f>
        <v>RMEHBIWSTOV-E</v>
      </c>
      <c r="C77" s="21" t="str">
        <f>IF(A77="*","",RES!A89)</f>
        <v>Residential - Space Heating - Middle Income  - Biomass Wood - STOV - E</v>
      </c>
      <c r="D77" s="32" t="s">
        <v>969</v>
      </c>
      <c r="E77" s="32" t="str">
        <f t="shared" si="3"/>
        <v>Pja</v>
      </c>
      <c r="F77" s="32" t="str">
        <f t="shared" si="4"/>
        <v>DAYNITE</v>
      </c>
      <c r="G77" s="32" t="str">
        <f t="shared" si="5"/>
        <v>DMD</v>
      </c>
    </row>
    <row r="78" spans="1:7">
      <c r="A78" s="21" t="str">
        <f>IF(LEFT(RES!A90,1)="*","*","")</f>
        <v/>
      </c>
      <c r="B78" s="540" t="str">
        <f>IF(A78="*","",RES!B90)</f>
        <v>RMEHCOASTOV-E</v>
      </c>
      <c r="C78" s="21" t="str">
        <f>IF(A78="*","",RES!A90)</f>
        <v>Residential - Space Heating - Middle Income  - Coal - STOV - E</v>
      </c>
      <c r="D78" s="32" t="s">
        <v>969</v>
      </c>
      <c r="E78" s="32" t="str">
        <f t="shared" si="3"/>
        <v>Pja</v>
      </c>
      <c r="F78" s="32" t="str">
        <f t="shared" si="4"/>
        <v>DAYNITE</v>
      </c>
      <c r="G78" s="32" t="str">
        <f t="shared" si="5"/>
        <v>DMD</v>
      </c>
    </row>
    <row r="79" spans="1:7">
      <c r="A79" s="21" t="str">
        <f>IF(LEFT(RES!A91,1)="*","*","")</f>
        <v/>
      </c>
      <c r="B79" s="540" t="str">
        <f>IF(A79="*","",RES!B91)</f>
        <v>RMEHOLPHEAT-E</v>
      </c>
      <c r="C79" s="21" t="str">
        <f>IF(A79="*","",RES!A91)</f>
        <v>Residential - Space Heating - Middle Income  - Oil LPG - HEAT - E</v>
      </c>
      <c r="D79" s="32" t="s">
        <v>969</v>
      </c>
      <c r="E79" s="32" t="str">
        <f t="shared" si="3"/>
        <v>Pja</v>
      </c>
      <c r="F79" s="32" t="str">
        <f t="shared" si="4"/>
        <v>DAYNITE</v>
      </c>
      <c r="G79" s="32" t="str">
        <f t="shared" si="5"/>
        <v>DMD</v>
      </c>
    </row>
    <row r="80" spans="1:7">
      <c r="A80" s="21" t="str">
        <f>IF(LEFT(RES!A92,1)="*","*","")</f>
        <v/>
      </c>
      <c r="B80" s="540" t="str">
        <f>IF(A80="*","",RES!B92)</f>
        <v>RMEHGASHEAT-N</v>
      </c>
      <c r="C80" s="21" t="str">
        <f>IF(A80="*","",RES!A92)</f>
        <v>Residential - Space Heating - Middle Income  - Natural Gas - HEAT - N</v>
      </c>
      <c r="D80" s="32" t="s">
        <v>969</v>
      </c>
      <c r="E80" s="32" t="str">
        <f t="shared" si="3"/>
        <v>Pja</v>
      </c>
      <c r="F80" s="32" t="str">
        <f t="shared" si="4"/>
        <v>DAYNITE</v>
      </c>
      <c r="G80" s="32" t="str">
        <f t="shared" si="5"/>
        <v>DMD</v>
      </c>
    </row>
    <row r="81" spans="1:7">
      <c r="A81" s="21" t="str">
        <f>IF(LEFT(RES!A93,1)="*","*","")</f>
        <v>*</v>
      </c>
      <c r="B81" s="540" t="str">
        <f>IF(A81="*","",RES!B93)</f>
        <v/>
      </c>
      <c r="C81" s="21" t="str">
        <f>IF(A81="*","",RES!A93)</f>
        <v/>
      </c>
      <c r="D81" s="32" t="s">
        <v>969</v>
      </c>
      <c r="E81" s="32" t="str">
        <f t="shared" si="3"/>
        <v/>
      </c>
      <c r="F81" s="32" t="str">
        <f t="shared" si="4"/>
        <v/>
      </c>
      <c r="G81" s="32" t="str">
        <f t="shared" si="5"/>
        <v/>
      </c>
    </row>
    <row r="82" spans="1:7">
      <c r="A82" s="21" t="str">
        <f>IF(LEFT(RES!A94,1)="*","*","")</f>
        <v>*</v>
      </c>
      <c r="B82" s="540" t="str">
        <f>IF(A82="*","",RES!B94)</f>
        <v/>
      </c>
      <c r="C82" s="21" t="str">
        <f>IF(A82="*","",RES!A94)</f>
        <v/>
      </c>
      <c r="D82" s="32" t="s">
        <v>969</v>
      </c>
      <c r="E82" s="32" t="str">
        <f t="shared" si="3"/>
        <v/>
      </c>
      <c r="F82" s="32" t="str">
        <f t="shared" si="4"/>
        <v/>
      </c>
      <c r="G82" s="32" t="str">
        <f t="shared" si="5"/>
        <v/>
      </c>
    </row>
    <row r="83" spans="1:7">
      <c r="A83" s="21" t="str">
        <f>IF(LEFT(RES!A95,1)="*","*","")</f>
        <v/>
      </c>
      <c r="B83" s="540" t="str">
        <f>IF(A83="*","",RES!B95)</f>
        <v>RMEWELCGEY-E</v>
      </c>
      <c r="C83" s="21" t="str">
        <f>IF(A83="*","",RES!A95)</f>
        <v>Residential - Water Heating - Middle Income  - Electricity - GEY - E</v>
      </c>
      <c r="D83" s="32" t="s">
        <v>969</v>
      </c>
      <c r="E83" s="32" t="str">
        <f t="shared" si="3"/>
        <v>Pja</v>
      </c>
      <c r="F83" s="32" t="str">
        <f t="shared" si="4"/>
        <v>DAYNITE</v>
      </c>
      <c r="G83" s="32" t="str">
        <f t="shared" si="5"/>
        <v>DMD</v>
      </c>
    </row>
    <row r="84" spans="1:7">
      <c r="A84" s="21" t="str">
        <f>IF(LEFT(RES!A96,1)="*","*","")</f>
        <v/>
      </c>
      <c r="B84" s="540" t="str">
        <f>IF(A84="*","",RES!B96)</f>
        <v>RMEWELCSWH-E</v>
      </c>
      <c r="C84" s="21" t="str">
        <f>IF(A84="*","",RES!A96)</f>
        <v>Residential - Water Heating - Middle Income  - Electricity - SWH - Low pressure</v>
      </c>
      <c r="D84" s="32" t="s">
        <v>969</v>
      </c>
      <c r="E84" s="32" t="str">
        <f t="shared" si="3"/>
        <v>Pja</v>
      </c>
      <c r="F84" s="32" t="str">
        <f t="shared" si="4"/>
        <v>DAYNITE</v>
      </c>
      <c r="G84" s="32" t="str">
        <f t="shared" si="5"/>
        <v>DMD</v>
      </c>
    </row>
    <row r="85" spans="1:7">
      <c r="A85" s="21" t="str">
        <f>IF(LEFT(RES!A97,1)="*","*","")</f>
        <v>*</v>
      </c>
      <c r="B85" s="540" t="str">
        <f>IF(A85="*","",RES!B97)</f>
        <v/>
      </c>
      <c r="C85" s="21" t="str">
        <f>IF(A85="*","",RES!A97)</f>
        <v/>
      </c>
      <c r="D85" s="32" t="s">
        <v>969</v>
      </c>
      <c r="E85" s="32" t="str">
        <f t="shared" si="3"/>
        <v/>
      </c>
      <c r="F85" s="32" t="str">
        <f t="shared" si="4"/>
        <v/>
      </c>
      <c r="G85" s="32" t="str">
        <f t="shared" si="5"/>
        <v/>
      </c>
    </row>
    <row r="86" spans="1:7">
      <c r="A86" s="21" t="str">
        <f>IF(LEFT(RES!A98,1)="*","*","")</f>
        <v>*</v>
      </c>
      <c r="B86" s="540" t="str">
        <f>IF(A86="*","",RES!B98)</f>
        <v/>
      </c>
      <c r="C86" s="21" t="str">
        <f>IF(A86="*","",RES!A98)</f>
        <v/>
      </c>
      <c r="D86" s="32" t="s">
        <v>969</v>
      </c>
      <c r="E86" s="32" t="str">
        <f t="shared" si="3"/>
        <v/>
      </c>
      <c r="F86" s="32" t="str">
        <f t="shared" si="4"/>
        <v/>
      </c>
      <c r="G86" s="32" t="str">
        <f t="shared" si="5"/>
        <v/>
      </c>
    </row>
    <row r="87" spans="1:7">
      <c r="A87" s="21" t="str">
        <f>IF(LEFT(RES!A99,1)="*","*","")</f>
        <v/>
      </c>
      <c r="B87" s="540" t="str">
        <f>IF(A87="*","",RES!B99)</f>
        <v>RMEWELCKET-E</v>
      </c>
      <c r="C87" s="21" t="str">
        <f>IF(A87="*","",RES!A99)</f>
        <v>Residential - Water Heating - Middle Income  - Electricity - Kettle - E</v>
      </c>
      <c r="D87" s="32" t="s">
        <v>969</v>
      </c>
      <c r="E87" s="32" t="str">
        <f t="shared" si="3"/>
        <v>Pja</v>
      </c>
      <c r="F87" s="32" t="str">
        <f t="shared" si="4"/>
        <v>DAYNITE</v>
      </c>
      <c r="G87" s="32" t="str">
        <f t="shared" si="5"/>
        <v>DMD</v>
      </c>
    </row>
    <row r="88" spans="1:7">
      <c r="A88" s="21" t="str">
        <f>IF(LEFT(RES!A100,1)="*","*","")</f>
        <v/>
      </c>
      <c r="B88" s="540" t="str">
        <f>IF(A88="*","",RES!B100)</f>
        <v>RMEWOKEKETPR-E</v>
      </c>
      <c r="C88" s="21" t="str">
        <f>IF(A88="*","",RES!A100)</f>
        <v>Residential - Water Heating - Middle Income  - Oil Paraffin - KETPR - E</v>
      </c>
      <c r="D88" s="32" t="s">
        <v>969</v>
      </c>
      <c r="E88" s="32" t="str">
        <f t="shared" si="3"/>
        <v>Pja</v>
      </c>
      <c r="F88" s="32" t="str">
        <f t="shared" si="4"/>
        <v>DAYNITE</v>
      </c>
      <c r="G88" s="32" t="str">
        <f t="shared" si="5"/>
        <v>DMD</v>
      </c>
    </row>
    <row r="89" spans="1:7">
      <c r="A89" s="21" t="str">
        <f>IF(LEFT(RES!A101,1)="*","*","")</f>
        <v/>
      </c>
      <c r="B89" s="540" t="str">
        <f>IF(A89="*","",RES!B101)</f>
        <v>RMEWBIWKETBI-E</v>
      </c>
      <c r="C89" s="21" t="str">
        <f>IF(A89="*","",RES!A101)</f>
        <v>Residential - Water Heating - Middle Income  - Biomass Wood - KETBI - E</v>
      </c>
      <c r="D89" s="32" t="s">
        <v>969</v>
      </c>
      <c r="E89" s="32" t="str">
        <f t="shared" si="3"/>
        <v>Pja</v>
      </c>
      <c r="F89" s="32" t="str">
        <f t="shared" si="4"/>
        <v>DAYNITE</v>
      </c>
      <c r="G89" s="32" t="str">
        <f t="shared" si="5"/>
        <v>DMD</v>
      </c>
    </row>
    <row r="90" spans="1:7">
      <c r="A90" s="21" t="str">
        <f>IF(LEFT(RES!A102,1)="*","*","")</f>
        <v/>
      </c>
      <c r="B90" s="540" t="str">
        <f>IF(A90="*","",RES!B102)</f>
        <v>RMEWCOASTOV-E</v>
      </c>
      <c r="C90" s="21" t="str">
        <f>IF(A90="*","",RES!A102)</f>
        <v>Residential - Water Heating - Middle Income  - Coal - STOV - E</v>
      </c>
      <c r="D90" s="32" t="s">
        <v>969</v>
      </c>
      <c r="E90" s="32" t="str">
        <f t="shared" si="3"/>
        <v>Pja</v>
      </c>
      <c r="F90" s="32" t="str">
        <f t="shared" si="4"/>
        <v>DAYNITE</v>
      </c>
      <c r="G90" s="32" t="str">
        <f t="shared" si="5"/>
        <v>DMD</v>
      </c>
    </row>
    <row r="91" spans="1:7">
      <c r="A91" s="21" t="str">
        <f>IF(LEFT(RES!A103,1)="*","*","")</f>
        <v/>
      </c>
      <c r="B91" s="540" t="str">
        <f>IF(A91="*","",RES!B103)</f>
        <v>RMEWOLPKETLPG-E</v>
      </c>
      <c r="C91" s="21" t="str">
        <f>IF(A91="*","",RES!A103)</f>
        <v>Residential - Water Heating - Middle Income  - Oil LPG - KETLPG - E</v>
      </c>
      <c r="D91" s="32" t="s">
        <v>969</v>
      </c>
      <c r="E91" s="32" t="str">
        <f t="shared" si="3"/>
        <v>Pja</v>
      </c>
      <c r="F91" s="32" t="str">
        <f t="shared" si="4"/>
        <v>DAYNITE</v>
      </c>
      <c r="G91" s="32" t="str">
        <f t="shared" si="5"/>
        <v>DMD</v>
      </c>
    </row>
    <row r="92" spans="1:7">
      <c r="A92" s="21" t="str">
        <f>IF(LEFT(RES!A104,1)="*","*","")</f>
        <v/>
      </c>
      <c r="B92" s="540" t="str">
        <f>IF(A92="*","",RES!B104)</f>
        <v>RMEWGASGEY-N</v>
      </c>
      <c r="C92" s="21" t="str">
        <f>IF(A92="*","",RES!A104)</f>
        <v>Residential - Water Heating - Middle Income  - Natural Gas - GEY - N</v>
      </c>
      <c r="D92" s="32" t="s">
        <v>969</v>
      </c>
      <c r="E92" s="32" t="str">
        <f t="shared" ref="E92:E133" si="6">IF(A92="*","","Pja")</f>
        <v>Pja</v>
      </c>
      <c r="F92" s="32" t="str">
        <f t="shared" ref="F92:F133" si="7">IF(A92="*","","DAYNITE")</f>
        <v>DAYNITE</v>
      </c>
      <c r="G92" s="32" t="str">
        <f t="shared" ref="G92:G133" si="8">IF(A92="*","","DMD")</f>
        <v>DMD</v>
      </c>
    </row>
    <row r="93" spans="1:7">
      <c r="A93" s="21" t="str">
        <f>IF(LEFT(RES!A105,1)="*","*","")</f>
        <v>*</v>
      </c>
      <c r="B93" s="540" t="str">
        <f>IF(A93="*","",RES!B105)</f>
        <v/>
      </c>
      <c r="C93" s="21" t="str">
        <f>IF(A93="*","",RES!A105)</f>
        <v/>
      </c>
      <c r="D93" s="32" t="s">
        <v>969</v>
      </c>
      <c r="E93" s="32" t="str">
        <f t="shared" si="6"/>
        <v/>
      </c>
      <c r="F93" s="32" t="str">
        <f t="shared" si="7"/>
        <v/>
      </c>
      <c r="G93" s="32" t="str">
        <f t="shared" si="8"/>
        <v/>
      </c>
    </row>
    <row r="94" spans="1:7">
      <c r="A94" s="21" t="str">
        <f>IF(LEFT(RES!A106,1)="*","*","")</f>
        <v>*</v>
      </c>
      <c r="B94" s="540" t="str">
        <f>IF(A94="*","",RES!B106)</f>
        <v/>
      </c>
      <c r="C94" s="21" t="str">
        <f>IF(A94="*","",RES!A106)</f>
        <v/>
      </c>
      <c r="D94" s="32" t="s">
        <v>969</v>
      </c>
      <c r="E94" s="32" t="str">
        <f t="shared" si="6"/>
        <v/>
      </c>
      <c r="F94" s="32" t="str">
        <f t="shared" si="7"/>
        <v/>
      </c>
      <c r="G94" s="32" t="str">
        <f t="shared" si="8"/>
        <v/>
      </c>
    </row>
    <row r="95" spans="1:7">
      <c r="A95" s="21" t="str">
        <f>IF(LEFT(RES!A107,1)="*","*","")</f>
        <v/>
      </c>
      <c r="B95" s="540" t="str">
        <f>IF(A95="*","",RES!B107)</f>
        <v>RMERELCREF-E</v>
      </c>
      <c r="C95" s="21" t="str">
        <f>IF(A95="*","",RES!A107)</f>
        <v>Residential - Refrigeration - Middle Income  - Electricity - REF - E</v>
      </c>
      <c r="D95" s="32" t="s">
        <v>969</v>
      </c>
      <c r="E95" s="32" t="str">
        <f t="shared" si="6"/>
        <v>Pja</v>
      </c>
      <c r="F95" s="32" t="str">
        <f t="shared" si="7"/>
        <v>DAYNITE</v>
      </c>
      <c r="G95" s="32" t="str">
        <f t="shared" si="8"/>
        <v>DMD</v>
      </c>
    </row>
    <row r="96" spans="1:7">
      <c r="A96" s="21" t="str">
        <f>IF(LEFT(RES!A108,1)="*","*","")</f>
        <v>*</v>
      </c>
      <c r="B96" s="540" t="str">
        <f>IF(A96="*","",RES!B108)</f>
        <v/>
      </c>
      <c r="C96" s="21" t="str">
        <f>IF(A96="*","",RES!A108)</f>
        <v/>
      </c>
      <c r="D96" s="32" t="s">
        <v>969</v>
      </c>
      <c r="E96" s="32" t="str">
        <f t="shared" si="6"/>
        <v/>
      </c>
      <c r="F96" s="32" t="str">
        <f t="shared" si="7"/>
        <v/>
      </c>
      <c r="G96" s="32" t="str">
        <f t="shared" si="8"/>
        <v/>
      </c>
    </row>
    <row r="97" spans="1:7">
      <c r="A97" s="21" t="str">
        <f>IF(LEFT(RES!A109,1)="*","*","")</f>
        <v>*</v>
      </c>
      <c r="B97" s="540" t="str">
        <f>IF(A97="*","",RES!B109)</f>
        <v/>
      </c>
      <c r="C97" s="21" t="str">
        <f>IF(A97="*","",RES!A109)</f>
        <v/>
      </c>
      <c r="D97" s="32" t="s">
        <v>969</v>
      </c>
      <c r="E97" s="32" t="str">
        <f t="shared" si="6"/>
        <v/>
      </c>
      <c r="F97" s="32" t="str">
        <f t="shared" si="7"/>
        <v/>
      </c>
      <c r="G97" s="32" t="str">
        <f t="shared" si="8"/>
        <v/>
      </c>
    </row>
    <row r="98" spans="1:7">
      <c r="A98" s="21" t="str">
        <f>IF(LEFT(RES!A110,1)="*","*","")</f>
        <v/>
      </c>
      <c r="B98" s="540" t="str">
        <f>IF(A98="*","",RES!B110)</f>
        <v>RMEOELCOTH-E</v>
      </c>
      <c r="C98" s="21" t="str">
        <f>IF(A98="*","",RES!A110)</f>
        <v>Residential - Other - Middle Income  - Electricity - OTH - E</v>
      </c>
      <c r="D98" s="32" t="s">
        <v>969</v>
      </c>
      <c r="E98" s="32" t="str">
        <f t="shared" si="6"/>
        <v>Pja</v>
      </c>
      <c r="F98" s="32" t="str">
        <f t="shared" si="7"/>
        <v>DAYNITE</v>
      </c>
      <c r="G98" s="32" t="str">
        <f t="shared" si="8"/>
        <v>DMD</v>
      </c>
    </row>
    <row r="99" spans="1:7">
      <c r="A99" s="21" t="str">
        <f>IF(LEFT(RES!A111,1)="*","*","")</f>
        <v>*</v>
      </c>
      <c r="B99" s="540" t="str">
        <f>IF(A99="*","",RES!B111)</f>
        <v/>
      </c>
      <c r="C99" s="21" t="str">
        <f>IF(A99="*","",RES!A111)</f>
        <v/>
      </c>
      <c r="D99" s="32" t="s">
        <v>969</v>
      </c>
      <c r="E99" s="32" t="str">
        <f t="shared" si="6"/>
        <v/>
      </c>
      <c r="F99" s="32" t="str">
        <f t="shared" si="7"/>
        <v/>
      </c>
      <c r="G99" s="32" t="str">
        <f t="shared" si="8"/>
        <v/>
      </c>
    </row>
    <row r="100" spans="1:7">
      <c r="A100" s="21" t="str">
        <f>IF(LEFT(RES!A112,1)="*","*","")</f>
        <v>*</v>
      </c>
      <c r="B100" s="540" t="str">
        <f>IF(A100="*","",RES!B112)</f>
        <v/>
      </c>
      <c r="C100" s="21" t="str">
        <f>IF(A100="*","",RES!A112)</f>
        <v/>
      </c>
      <c r="D100" s="32" t="s">
        <v>969</v>
      </c>
      <c r="E100" s="32" t="str">
        <f t="shared" si="6"/>
        <v/>
      </c>
      <c r="F100" s="32" t="str">
        <f t="shared" si="7"/>
        <v/>
      </c>
      <c r="G100" s="32" t="str">
        <f t="shared" si="8"/>
        <v/>
      </c>
    </row>
    <row r="101" spans="1:7">
      <c r="A101" s="21" t="str">
        <f>IF(LEFT(RES!A113,1)="*","*","")</f>
        <v>*</v>
      </c>
      <c r="B101" s="540" t="str">
        <f>IF(A101="*","",RES!B113)</f>
        <v/>
      </c>
      <c r="C101" s="21" t="str">
        <f>IF(A101="*","",RES!A113)</f>
        <v/>
      </c>
      <c r="D101" s="32" t="s">
        <v>969</v>
      </c>
      <c r="E101" s="32" t="str">
        <f t="shared" si="6"/>
        <v/>
      </c>
      <c r="F101" s="32" t="str">
        <f t="shared" si="7"/>
        <v/>
      </c>
      <c r="G101" s="32" t="str">
        <f t="shared" si="8"/>
        <v/>
      </c>
    </row>
    <row r="102" spans="1:7">
      <c r="A102" s="21" t="str">
        <f>IF(LEFT(RES!A114,1)="*","*","")</f>
        <v/>
      </c>
      <c r="B102" s="540" t="str">
        <f>IF(A102="*","",RES!B114)</f>
        <v>RHELELCINC-E</v>
      </c>
      <c r="C102" s="21" t="str">
        <f>IF(A102="*","",RES!A114)</f>
        <v>Residential - Lighting - High Income  - Electricity - INC - E</v>
      </c>
      <c r="D102" s="32" t="s">
        <v>969</v>
      </c>
      <c r="E102" s="32" t="str">
        <f t="shared" si="6"/>
        <v>Pja</v>
      </c>
      <c r="F102" s="32" t="str">
        <f t="shared" si="7"/>
        <v>DAYNITE</v>
      </c>
      <c r="G102" s="32" t="str">
        <f t="shared" si="8"/>
        <v>DMD</v>
      </c>
    </row>
    <row r="103" spans="1:7">
      <c r="A103" s="21" t="str">
        <f>IF(LEFT(RES!A115,1)="*","*","")</f>
        <v>*</v>
      </c>
      <c r="B103" s="540" t="str">
        <f>IF(A103="*","",RES!B115)</f>
        <v/>
      </c>
      <c r="C103" s="21" t="str">
        <f>IF(A103="*","",RES!A115)</f>
        <v/>
      </c>
      <c r="D103" s="32" t="s">
        <v>969</v>
      </c>
      <c r="E103" s="32" t="str">
        <f t="shared" si="6"/>
        <v/>
      </c>
      <c r="F103" s="32" t="str">
        <f t="shared" si="7"/>
        <v/>
      </c>
      <c r="G103" s="32" t="str">
        <f t="shared" si="8"/>
        <v/>
      </c>
    </row>
    <row r="104" spans="1:7">
      <c r="A104" s="21" t="str">
        <f>IF(LEFT(RES!A116,1)="*","*","")</f>
        <v>*</v>
      </c>
      <c r="B104" s="540" t="str">
        <f>IF(A104="*","",RES!B116)</f>
        <v/>
      </c>
      <c r="C104" s="21" t="str">
        <f>IF(A104="*","",RES!A116)</f>
        <v/>
      </c>
      <c r="D104" s="32" t="s">
        <v>969</v>
      </c>
      <c r="E104" s="32" t="str">
        <f t="shared" si="6"/>
        <v/>
      </c>
      <c r="F104" s="32" t="str">
        <f t="shared" si="7"/>
        <v/>
      </c>
      <c r="G104" s="32" t="str">
        <f t="shared" si="8"/>
        <v/>
      </c>
    </row>
    <row r="105" spans="1:7">
      <c r="A105" s="21" t="str">
        <f>IF(LEFT(RES!A117,1)="*","*","")</f>
        <v/>
      </c>
      <c r="B105" s="540" t="str">
        <f>IF(A105="*","",RES!B117)</f>
        <v>RHEKELCSTOV-E</v>
      </c>
      <c r="C105" s="21" t="str">
        <f>IF(A105="*","",RES!A117)</f>
        <v>Residential - Cooking - High Income  - Electricity - STOV - E</v>
      </c>
      <c r="D105" s="32" t="s">
        <v>969</v>
      </c>
      <c r="E105" s="32" t="str">
        <f t="shared" si="6"/>
        <v>Pja</v>
      </c>
      <c r="F105" s="32" t="str">
        <f t="shared" si="7"/>
        <v>DAYNITE</v>
      </c>
      <c r="G105" s="32" t="str">
        <f t="shared" si="8"/>
        <v>DMD</v>
      </c>
    </row>
    <row r="106" spans="1:7">
      <c r="A106" s="21" t="str">
        <f>IF(LEFT(RES!A118,1)="*","*","")</f>
        <v/>
      </c>
      <c r="B106" s="540" t="str">
        <f>IF(A106="*","",RES!B118)</f>
        <v>RHEKOLPSTOV-E</v>
      </c>
      <c r="C106" s="21" t="str">
        <f>IF(A106="*","",RES!A118)</f>
        <v>Residential - Cooking - High Income  - Oil LPG - STOV - E</v>
      </c>
      <c r="D106" s="32" t="s">
        <v>969</v>
      </c>
      <c r="E106" s="32" t="str">
        <f t="shared" si="6"/>
        <v>Pja</v>
      </c>
      <c r="F106" s="32" t="str">
        <f t="shared" si="7"/>
        <v>DAYNITE</v>
      </c>
      <c r="G106" s="32" t="str">
        <f t="shared" si="8"/>
        <v>DMD</v>
      </c>
    </row>
    <row r="107" spans="1:7">
      <c r="A107" s="21" t="str">
        <f>IF(LEFT(RES!A119,1)="*","*","")</f>
        <v/>
      </c>
      <c r="B107" s="540" t="str">
        <f>IF(A107="*","",RES!B119)</f>
        <v>RHEKBIWSTOV-E</v>
      </c>
      <c r="C107" s="21" t="str">
        <f>IF(A107="*","",RES!A119)</f>
        <v>Residential - Cooking - High Income  - Biomass Wood - STOV - E</v>
      </c>
      <c r="D107" s="32" t="s">
        <v>969</v>
      </c>
      <c r="E107" s="32" t="str">
        <f t="shared" si="6"/>
        <v>Pja</v>
      </c>
      <c r="F107" s="32" t="str">
        <f t="shared" si="7"/>
        <v>DAYNITE</v>
      </c>
      <c r="G107" s="32" t="str">
        <f t="shared" si="8"/>
        <v>DMD</v>
      </c>
    </row>
    <row r="108" spans="1:7">
      <c r="A108" s="21" t="str">
        <f>IF(LEFT(RES!A120,1)="*","*","")</f>
        <v/>
      </c>
      <c r="B108" s="540" t="str">
        <f>IF(A108="*","",RES!B120)</f>
        <v>RHEKOKEPRIMUS-E</v>
      </c>
      <c r="C108" s="21" t="str">
        <f>IF(A108="*","",RES!A120)</f>
        <v>Residential - Cooking - High Income  - Oil Paraffin - PRIMUS - E</v>
      </c>
      <c r="D108" s="32" t="s">
        <v>969</v>
      </c>
      <c r="E108" s="32" t="str">
        <f t="shared" si="6"/>
        <v>Pja</v>
      </c>
      <c r="F108" s="32" t="str">
        <f t="shared" si="7"/>
        <v>DAYNITE</v>
      </c>
      <c r="G108" s="32" t="str">
        <f t="shared" si="8"/>
        <v>DMD</v>
      </c>
    </row>
    <row r="109" spans="1:7">
      <c r="A109" s="21" t="str">
        <f>IF(LEFT(RES!A121,1)="*","*","")</f>
        <v/>
      </c>
      <c r="B109" s="540" t="str">
        <f>IF(A109="*","",RES!B121)</f>
        <v>RHEKGASSTOV-E</v>
      </c>
      <c r="C109" s="21" t="str">
        <f>IF(A109="*","",RES!A121)</f>
        <v>Residential - Cooking - High Income  - Natural Gas - STOV - E</v>
      </c>
      <c r="D109" s="32" t="s">
        <v>969</v>
      </c>
      <c r="E109" s="32" t="str">
        <f t="shared" si="6"/>
        <v>Pja</v>
      </c>
      <c r="F109" s="32" t="str">
        <f t="shared" si="7"/>
        <v>DAYNITE</v>
      </c>
      <c r="G109" s="32" t="str">
        <f t="shared" si="8"/>
        <v>DMD</v>
      </c>
    </row>
    <row r="110" spans="1:7">
      <c r="A110" s="21" t="str">
        <f>IF(LEFT(RES!A122,1)="*","*","")</f>
        <v>*</v>
      </c>
      <c r="B110" s="540" t="str">
        <f>IF(A110="*","",RES!B122)</f>
        <v/>
      </c>
      <c r="C110" s="21" t="str">
        <f>IF(A110="*","",RES!A122)</f>
        <v/>
      </c>
      <c r="D110" s="32" t="s">
        <v>969</v>
      </c>
      <c r="E110" s="32" t="str">
        <f t="shared" si="6"/>
        <v/>
      </c>
      <c r="F110" s="32" t="str">
        <f t="shared" si="7"/>
        <v/>
      </c>
      <c r="G110" s="32" t="str">
        <f t="shared" si="8"/>
        <v/>
      </c>
    </row>
    <row r="111" spans="1:7">
      <c r="A111" s="21" t="str">
        <f>IF(LEFT(RES!A123,1)="*","*","")</f>
        <v>*</v>
      </c>
      <c r="B111" s="540" t="str">
        <f>IF(A111="*","",RES!B123)</f>
        <v/>
      </c>
      <c r="C111" s="21" t="str">
        <f>IF(A111="*","",RES!A123)</f>
        <v/>
      </c>
      <c r="D111" s="32" t="s">
        <v>969</v>
      </c>
      <c r="E111" s="32" t="str">
        <f t="shared" si="6"/>
        <v/>
      </c>
      <c r="F111" s="32" t="str">
        <f t="shared" si="7"/>
        <v/>
      </c>
      <c r="G111" s="32" t="str">
        <f t="shared" si="8"/>
        <v/>
      </c>
    </row>
    <row r="112" spans="1:7">
      <c r="A112" s="21" t="str">
        <f>IF(LEFT(RES!A124,1)="*","*","")</f>
        <v/>
      </c>
      <c r="B112" s="540" t="str">
        <f>IF(A112="*","",RES!B124)</f>
        <v>RHEHELCHEATFIN-E</v>
      </c>
      <c r="C112" s="21" t="str">
        <f>IF(A112="*","",RES!A124)</f>
        <v>Residential - Space Heating - High Income  - Electricity - HEATFIN - E</v>
      </c>
      <c r="D112" s="32" t="s">
        <v>969</v>
      </c>
      <c r="E112" s="32" t="str">
        <f t="shared" si="6"/>
        <v>Pja</v>
      </c>
      <c r="F112" s="32" t="str">
        <f t="shared" si="7"/>
        <v>DAYNITE</v>
      </c>
      <c r="G112" s="32" t="str">
        <f t="shared" si="8"/>
        <v>DMD</v>
      </c>
    </row>
    <row r="113" spans="1:7">
      <c r="A113" s="21" t="str">
        <f>IF(LEFT(RES!A125,1)="*","*","")</f>
        <v/>
      </c>
      <c r="B113" s="540" t="str">
        <f>IF(A113="*","",RES!B125)</f>
        <v>RHEHOKEHEAT-E</v>
      </c>
      <c r="C113" s="21" t="str">
        <f>IF(A113="*","",RES!A125)</f>
        <v>Residential - Space Heating - High Income  - Oil Paraffin - HEAT - E</v>
      </c>
      <c r="D113" s="32" t="s">
        <v>969</v>
      </c>
      <c r="E113" s="32" t="str">
        <f t="shared" si="6"/>
        <v>Pja</v>
      </c>
      <c r="F113" s="32" t="str">
        <f t="shared" si="7"/>
        <v>DAYNITE</v>
      </c>
      <c r="G113" s="32" t="str">
        <f t="shared" si="8"/>
        <v>DMD</v>
      </c>
    </row>
    <row r="114" spans="1:7">
      <c r="A114" s="21" t="str">
        <f>IF(LEFT(RES!A126,1)="*","*","")</f>
        <v/>
      </c>
      <c r="B114" s="540" t="str">
        <f>IF(A114="*","",RES!B126)</f>
        <v>RHEHBIWSTOV-E</v>
      </c>
      <c r="C114" s="21" t="str">
        <f>IF(A114="*","",RES!A126)</f>
        <v>Residential - Space Heating - High Income  - Biomass Wood - STOV - E</v>
      </c>
      <c r="D114" s="32" t="s">
        <v>969</v>
      </c>
      <c r="E114" s="32" t="str">
        <f t="shared" si="6"/>
        <v>Pja</v>
      </c>
      <c r="F114" s="32" t="str">
        <f t="shared" si="7"/>
        <v>DAYNITE</v>
      </c>
      <c r="G114" s="32" t="str">
        <f t="shared" si="8"/>
        <v>DMD</v>
      </c>
    </row>
    <row r="115" spans="1:7">
      <c r="A115" s="21" t="str">
        <f>IF(LEFT(RES!A127,1)="*","*","")</f>
        <v/>
      </c>
      <c r="B115" s="540" t="str">
        <f>IF(A115="*","",RES!B127)</f>
        <v>RHEHCOASTOV-E</v>
      </c>
      <c r="C115" s="21" t="str">
        <f>IF(A115="*","",RES!A127)</f>
        <v>Residential - Space Heating - High Income  - Coal - STOV - E</v>
      </c>
      <c r="D115" s="32" t="s">
        <v>969</v>
      </c>
      <c r="E115" s="32" t="str">
        <f t="shared" si="6"/>
        <v>Pja</v>
      </c>
      <c r="F115" s="32" t="str">
        <f t="shared" si="7"/>
        <v>DAYNITE</v>
      </c>
      <c r="G115" s="32" t="str">
        <f t="shared" si="8"/>
        <v>DMD</v>
      </c>
    </row>
    <row r="116" spans="1:7">
      <c r="A116" s="21" t="str">
        <f>IF(LEFT(RES!A128,1)="*","*","")</f>
        <v/>
      </c>
      <c r="B116" s="540" t="str">
        <f>IF(A116="*","",RES!B128)</f>
        <v>RHEHOLPHEAT-E</v>
      </c>
      <c r="C116" s="21" t="str">
        <f>IF(A116="*","",RES!A128)</f>
        <v>Residential - Space Heating - High Income  - Oil LPG - HEAT - E</v>
      </c>
      <c r="D116" s="32" t="s">
        <v>969</v>
      </c>
      <c r="E116" s="32" t="str">
        <f t="shared" si="6"/>
        <v>Pja</v>
      </c>
      <c r="F116" s="32" t="str">
        <f t="shared" si="7"/>
        <v>DAYNITE</v>
      </c>
      <c r="G116" s="32" t="str">
        <f t="shared" si="8"/>
        <v>DMD</v>
      </c>
    </row>
    <row r="117" spans="1:7">
      <c r="A117" s="21" t="str">
        <f>IF(LEFT(RES!A129,1)="*","*","")</f>
        <v/>
      </c>
      <c r="B117" s="540" t="str">
        <f>IF(A117="*","",RES!B129)</f>
        <v>RHEHGASHEAT-N</v>
      </c>
      <c r="C117" s="21" t="str">
        <f>IF(A117="*","",RES!A129)</f>
        <v>Residential - Space Heating - High Income  - Natural Gas - HEAT - N</v>
      </c>
      <c r="D117" s="32" t="s">
        <v>969</v>
      </c>
      <c r="E117" s="32" t="str">
        <f t="shared" si="6"/>
        <v>Pja</v>
      </c>
      <c r="F117" s="32" t="str">
        <f t="shared" si="7"/>
        <v>DAYNITE</v>
      </c>
      <c r="G117" s="32" t="str">
        <f t="shared" si="8"/>
        <v>DMD</v>
      </c>
    </row>
    <row r="118" spans="1:7">
      <c r="A118" s="21" t="str">
        <f>IF(LEFT(RES!A130,1)="*","*","")</f>
        <v>*</v>
      </c>
      <c r="B118" s="540" t="str">
        <f>IF(A118="*","",RES!B130)</f>
        <v/>
      </c>
      <c r="C118" s="21" t="str">
        <f>IF(A118="*","",RES!A130)</f>
        <v/>
      </c>
      <c r="D118" s="32" t="s">
        <v>969</v>
      </c>
      <c r="E118" s="32" t="str">
        <f t="shared" si="6"/>
        <v/>
      </c>
      <c r="F118" s="32" t="str">
        <f t="shared" si="7"/>
        <v/>
      </c>
      <c r="G118" s="32" t="str">
        <f t="shared" si="8"/>
        <v/>
      </c>
    </row>
    <row r="119" spans="1:7">
      <c r="A119" s="21" t="str">
        <f>IF(LEFT(RES!A131,1)="*","*","")</f>
        <v>*</v>
      </c>
      <c r="B119" s="540" t="str">
        <f>IF(A119="*","",RES!B131)</f>
        <v/>
      </c>
      <c r="C119" s="21" t="str">
        <f>IF(A119="*","",RES!A131)</f>
        <v/>
      </c>
      <c r="D119" s="32" t="s">
        <v>969</v>
      </c>
      <c r="E119" s="32" t="str">
        <f t="shared" si="6"/>
        <v/>
      </c>
      <c r="F119" s="32" t="str">
        <f t="shared" si="7"/>
        <v/>
      </c>
      <c r="G119" s="32" t="str">
        <f t="shared" si="8"/>
        <v/>
      </c>
    </row>
    <row r="120" spans="1:7">
      <c r="A120" s="21" t="str">
        <f>IF(LEFT(RES!A132,1)="*","*","")</f>
        <v/>
      </c>
      <c r="B120" s="540" t="str">
        <f>IF(A120="*","",RES!B132)</f>
        <v>RHEWELCGEY-E</v>
      </c>
      <c r="C120" s="21" t="str">
        <f>IF(A120="*","",RES!A132)</f>
        <v>Residential - Water Heating - High Income  - Electricity - GEY - E</v>
      </c>
      <c r="D120" s="32" t="s">
        <v>969</v>
      </c>
      <c r="E120" s="32" t="str">
        <f t="shared" si="6"/>
        <v>Pja</v>
      </c>
      <c r="F120" s="32" t="str">
        <f t="shared" si="7"/>
        <v>DAYNITE</v>
      </c>
      <c r="G120" s="32" t="str">
        <f t="shared" si="8"/>
        <v>DMD</v>
      </c>
    </row>
    <row r="121" spans="1:7">
      <c r="A121" s="21" t="str">
        <f>IF(LEFT(RES!A133,1)="*","*","")</f>
        <v/>
      </c>
      <c r="B121" s="540" t="str">
        <f>IF(A121="*","",RES!B133)</f>
        <v>RHEWELCCHP-N</v>
      </c>
      <c r="C121" s="21" t="str">
        <f>IF(A121="*","",RES!A133)</f>
        <v>Residential - Water Heating - High Income  - Electricity - HP - N</v>
      </c>
      <c r="D121" s="32" t="s">
        <v>969</v>
      </c>
      <c r="E121" s="32" t="str">
        <f t="shared" si="6"/>
        <v>Pja</v>
      </c>
      <c r="F121" s="32" t="str">
        <f t="shared" si="7"/>
        <v>DAYNITE</v>
      </c>
      <c r="G121" s="32" t="str">
        <f t="shared" si="8"/>
        <v>DMD</v>
      </c>
    </row>
    <row r="122" spans="1:7">
      <c r="A122" s="21" t="str">
        <f>IF(LEFT(RES!A134,1)="*","*","")</f>
        <v/>
      </c>
      <c r="B122" s="540" t="str">
        <f>IF(A122="*","",RES!B134)</f>
        <v>RHEWELCSWH-E</v>
      </c>
      <c r="C122" s="21" t="str">
        <f>IF(A122="*","",RES!A134)</f>
        <v>Residential - Water Heating - High Income  - Electricity - SWH - E</v>
      </c>
      <c r="D122" s="32" t="s">
        <v>969</v>
      </c>
      <c r="E122" s="32" t="str">
        <f t="shared" si="6"/>
        <v>Pja</v>
      </c>
      <c r="F122" s="32" t="str">
        <f t="shared" si="7"/>
        <v>DAYNITE</v>
      </c>
      <c r="G122" s="32" t="str">
        <f t="shared" si="8"/>
        <v>DMD</v>
      </c>
    </row>
    <row r="123" spans="1:7">
      <c r="A123" s="21" t="str">
        <f>IF(LEFT(RES!A135,1)="*","*","")</f>
        <v>*</v>
      </c>
      <c r="B123" s="540" t="str">
        <f>IF(A123="*","",RES!B135)</f>
        <v/>
      </c>
      <c r="C123" s="21" t="str">
        <f>IF(A123="*","",RES!A135)</f>
        <v/>
      </c>
      <c r="D123" s="32" t="s">
        <v>969</v>
      </c>
      <c r="E123" s="32" t="str">
        <f t="shared" si="6"/>
        <v/>
      </c>
      <c r="F123" s="32" t="str">
        <f t="shared" si="7"/>
        <v/>
      </c>
      <c r="G123" s="32" t="str">
        <f t="shared" si="8"/>
        <v/>
      </c>
    </row>
    <row r="124" spans="1:7">
      <c r="A124" s="21" t="str">
        <f>IF(LEFT(RES!A136,1)="*","*","")</f>
        <v>*</v>
      </c>
      <c r="B124" s="540" t="str">
        <f>IF(A124="*","",RES!B136)</f>
        <v/>
      </c>
      <c r="C124" s="21" t="str">
        <f>IF(A124="*","",RES!A136)</f>
        <v/>
      </c>
      <c r="D124" s="32" t="s">
        <v>969</v>
      </c>
      <c r="E124" s="32" t="str">
        <f t="shared" si="6"/>
        <v/>
      </c>
      <c r="F124" s="32" t="str">
        <f t="shared" si="7"/>
        <v/>
      </c>
      <c r="G124" s="32" t="str">
        <f t="shared" si="8"/>
        <v/>
      </c>
    </row>
    <row r="125" spans="1:7">
      <c r="A125" s="21" t="str">
        <f>IF(LEFT(RES!A137,1)="*","*","")</f>
        <v>*</v>
      </c>
      <c r="B125" s="540" t="str">
        <f>IF(A125="*","",RES!B137)</f>
        <v/>
      </c>
      <c r="C125" s="21" t="str">
        <f>IF(A125="*","",RES!A137)</f>
        <v/>
      </c>
      <c r="D125" s="32" t="s">
        <v>969</v>
      </c>
      <c r="E125" s="32" t="str">
        <f t="shared" si="6"/>
        <v/>
      </c>
      <c r="F125" s="32" t="str">
        <f t="shared" si="7"/>
        <v/>
      </c>
      <c r="G125" s="32" t="str">
        <f t="shared" si="8"/>
        <v/>
      </c>
    </row>
    <row r="126" spans="1:7">
      <c r="A126" s="21" t="str">
        <f>IF(LEFT(RES!A138,1)="*","*","")</f>
        <v>*</v>
      </c>
      <c r="B126" s="540" t="str">
        <f>IF(A126="*","",RES!B138)</f>
        <v/>
      </c>
      <c r="C126" s="21" t="str">
        <f>IF(A126="*","",RES!A138)</f>
        <v/>
      </c>
      <c r="D126" s="32" t="s">
        <v>969</v>
      </c>
      <c r="E126" s="32" t="str">
        <f t="shared" si="6"/>
        <v/>
      </c>
      <c r="F126" s="32" t="str">
        <f t="shared" si="7"/>
        <v/>
      </c>
      <c r="G126" s="32" t="str">
        <f t="shared" si="8"/>
        <v/>
      </c>
    </row>
    <row r="127" spans="1:7">
      <c r="A127" s="21" t="str">
        <f>IF(LEFT(RES!A139,1)="*","*","")</f>
        <v>*</v>
      </c>
      <c r="B127" s="540" t="str">
        <f>IF(A127="*","",RES!B139)</f>
        <v/>
      </c>
      <c r="C127" s="21" t="str">
        <f>IF(A127="*","",RES!A139)</f>
        <v/>
      </c>
      <c r="D127" s="32" t="s">
        <v>969</v>
      </c>
      <c r="E127" s="32" t="str">
        <f t="shared" si="6"/>
        <v/>
      </c>
      <c r="F127" s="32" t="str">
        <f t="shared" si="7"/>
        <v/>
      </c>
      <c r="G127" s="32" t="str">
        <f t="shared" si="8"/>
        <v/>
      </c>
    </row>
    <row r="128" spans="1:7">
      <c r="A128" s="21" t="str">
        <f>IF(LEFT(RES!A140,1)="*","*","")</f>
        <v>*</v>
      </c>
      <c r="B128" s="540" t="str">
        <f>IF(A128="*","",RES!B140)</f>
        <v/>
      </c>
      <c r="C128" s="21" t="str">
        <f>IF(A128="*","",RES!A140)</f>
        <v/>
      </c>
      <c r="D128" s="32" t="s">
        <v>969</v>
      </c>
      <c r="E128" s="32" t="str">
        <f t="shared" si="6"/>
        <v/>
      </c>
      <c r="F128" s="32" t="str">
        <f t="shared" si="7"/>
        <v/>
      </c>
      <c r="G128" s="32" t="str">
        <f t="shared" si="8"/>
        <v/>
      </c>
    </row>
    <row r="129" spans="1:7">
      <c r="A129" s="21" t="str">
        <f>IF(LEFT(RES!A141,1)="*","*","")</f>
        <v>*</v>
      </c>
      <c r="B129" s="540" t="str">
        <f>IF(A129="*","",RES!B141)</f>
        <v/>
      </c>
      <c r="C129" s="21" t="str">
        <f>IF(A129="*","",RES!A141)</f>
        <v/>
      </c>
      <c r="D129" s="32" t="s">
        <v>969</v>
      </c>
      <c r="E129" s="32" t="str">
        <f t="shared" si="6"/>
        <v/>
      </c>
      <c r="F129" s="32" t="str">
        <f t="shared" si="7"/>
        <v/>
      </c>
      <c r="G129" s="32" t="str">
        <f t="shared" si="8"/>
        <v/>
      </c>
    </row>
    <row r="130" spans="1:7">
      <c r="A130" s="21" t="str">
        <f>IF(LEFT(RES!A142,1)="*","*","")</f>
        <v>*</v>
      </c>
      <c r="B130" s="540" t="str">
        <f>IF(A130="*","",RES!B142)</f>
        <v/>
      </c>
      <c r="C130" s="21" t="str">
        <f>IF(A130="*","",RES!A142)</f>
        <v/>
      </c>
      <c r="D130" s="32" t="s">
        <v>969</v>
      </c>
      <c r="E130" s="32" t="str">
        <f t="shared" si="6"/>
        <v/>
      </c>
      <c r="F130" s="32" t="str">
        <f t="shared" si="7"/>
        <v/>
      </c>
      <c r="G130" s="32" t="str">
        <f t="shared" si="8"/>
        <v/>
      </c>
    </row>
    <row r="131" spans="1:7">
      <c r="A131" s="21" t="str">
        <f>IF(LEFT(RES!A143,1)="*","*","")</f>
        <v/>
      </c>
      <c r="B131" s="540" t="str">
        <f>IF(A131="*","",RES!B143)</f>
        <v>RHEOELCOTH-E</v>
      </c>
      <c r="C131" s="21" t="str">
        <f>IF(A131="*","",RES!A143)</f>
        <v>Residential - Other - High Income  - Electricity - OTH - E</v>
      </c>
      <c r="D131" s="32" t="s">
        <v>969</v>
      </c>
      <c r="E131" s="32" t="str">
        <f t="shared" si="6"/>
        <v>Pja</v>
      </c>
      <c r="F131" s="32" t="str">
        <f t="shared" si="7"/>
        <v>DAYNITE</v>
      </c>
      <c r="G131" s="32" t="str">
        <f t="shared" si="8"/>
        <v>DMD</v>
      </c>
    </row>
    <row r="132" spans="1:7">
      <c r="A132" s="21" t="str">
        <f>IF(LEFT(RES!A144,1)="*","*","")</f>
        <v>*</v>
      </c>
      <c r="B132" s="540" t="str">
        <f>IF(A132="*","",RES!B144)</f>
        <v/>
      </c>
      <c r="C132" s="21" t="str">
        <f>IF(A132="*","",RES!A144)</f>
        <v/>
      </c>
      <c r="D132" s="32" t="s">
        <v>969</v>
      </c>
      <c r="E132" s="32" t="str">
        <f t="shared" si="6"/>
        <v/>
      </c>
      <c r="F132" s="32" t="str">
        <f t="shared" si="7"/>
        <v/>
      </c>
      <c r="G132" s="32" t="str">
        <f t="shared" si="8"/>
        <v/>
      </c>
    </row>
    <row r="133" spans="1:7">
      <c r="A133" s="21" t="str">
        <f>IF(LEFT(RES!A145,1)="*","*","")</f>
        <v>*</v>
      </c>
      <c r="B133" s="540" t="str">
        <f>IF(A133="*","",RES!B145)</f>
        <v/>
      </c>
      <c r="C133" s="21" t="str">
        <f>IF(A133="*","",RES!A145)</f>
        <v/>
      </c>
      <c r="D133" s="32" t="s">
        <v>969</v>
      </c>
      <c r="E133" s="32" t="str">
        <f t="shared" si="6"/>
        <v/>
      </c>
      <c r="F133" s="32" t="str">
        <f t="shared" si="7"/>
        <v/>
      </c>
      <c r="G133" s="32" t="str">
        <f t="shared" si="8"/>
        <v/>
      </c>
    </row>
    <row r="134" spans="1:7">
      <c r="B134" s="540"/>
      <c r="D134" s="32"/>
      <c r="E134" s="32"/>
      <c r="F134" s="32"/>
      <c r="G134" s="32"/>
    </row>
    <row r="135" spans="1:7">
      <c r="B135" s="540"/>
      <c r="D135" s="32"/>
      <c r="E135" s="32"/>
      <c r="F135" s="32"/>
      <c r="G135" s="32"/>
    </row>
    <row r="136" spans="1:7">
      <c r="B136" s="540"/>
      <c r="D136" s="32"/>
      <c r="E136" s="32"/>
      <c r="F136" s="32"/>
      <c r="G136" s="32"/>
    </row>
    <row r="137" spans="1:7">
      <c r="B137" s="540"/>
      <c r="D137" s="32"/>
      <c r="E137" s="32"/>
      <c r="F137" s="32"/>
      <c r="G137" s="32"/>
    </row>
    <row r="138" spans="1:7">
      <c r="B138" s="540"/>
      <c r="D138" s="32"/>
      <c r="E138" s="32"/>
      <c r="F138" s="32"/>
      <c r="G138" s="32"/>
    </row>
    <row r="139" spans="1:7">
      <c r="B139" s="540"/>
      <c r="D139" s="32"/>
      <c r="E139" s="32"/>
      <c r="F139" s="32"/>
      <c r="G139" s="32"/>
    </row>
    <row r="140" spans="1:7">
      <c r="B140" s="540"/>
      <c r="D140" s="32"/>
      <c r="E140" s="32"/>
      <c r="F140" s="32"/>
      <c r="G140" s="32"/>
    </row>
    <row r="141" spans="1:7">
      <c r="B141" s="540"/>
      <c r="D141" s="32"/>
      <c r="E141" s="32"/>
      <c r="F141" s="32"/>
      <c r="G141" s="32"/>
    </row>
    <row r="142" spans="1:7">
      <c r="B142" s="540"/>
      <c r="D142" s="32"/>
      <c r="E142" s="32"/>
      <c r="F142" s="32"/>
      <c r="G142" s="32"/>
    </row>
    <row r="143" spans="1:7">
      <c r="B143" s="540"/>
      <c r="D143" s="32"/>
      <c r="E143" s="32"/>
      <c r="F143" s="32"/>
      <c r="G143" s="32"/>
    </row>
    <row r="144" spans="1:7">
      <c r="B144" s="540"/>
      <c r="D144" s="32"/>
      <c r="E144" s="32"/>
      <c r="F144" s="32"/>
      <c r="G144" s="32"/>
    </row>
    <row r="145" spans="2:7">
      <c r="B145" s="540"/>
      <c r="D145" s="32"/>
      <c r="E145" s="32"/>
      <c r="F145" s="32"/>
      <c r="G145" s="32"/>
    </row>
    <row r="146" spans="2:7">
      <c r="B146" s="540"/>
      <c r="D146" s="32"/>
      <c r="E146" s="32"/>
      <c r="F146" s="32"/>
      <c r="G146" s="32"/>
    </row>
    <row r="147" spans="2:7">
      <c r="B147" s="540"/>
      <c r="D147" s="32"/>
      <c r="E147" s="32"/>
      <c r="F147" s="32"/>
      <c r="G147" s="32"/>
    </row>
    <row r="148" spans="2:7">
      <c r="B148" s="540"/>
      <c r="D148" s="32"/>
      <c r="E148" s="32"/>
      <c r="F148" s="32"/>
      <c r="G148" s="32"/>
    </row>
    <row r="149" spans="2:7">
      <c r="B149" s="540"/>
      <c r="D149" s="32"/>
      <c r="E149" s="32"/>
      <c r="F149" s="32"/>
      <c r="G149" s="32"/>
    </row>
    <row r="150" spans="2:7">
      <c r="B150" s="540"/>
      <c r="D150" s="32"/>
      <c r="E150" s="32"/>
      <c r="F150" s="32"/>
      <c r="G150" s="32"/>
    </row>
    <row r="151" spans="2:7">
      <c r="B151" s="540"/>
      <c r="D151" s="32"/>
      <c r="E151" s="32"/>
      <c r="F151" s="32"/>
      <c r="G151" s="32"/>
    </row>
    <row r="152" spans="2:7">
      <c r="B152" s="540"/>
      <c r="D152" s="32"/>
      <c r="E152" s="32"/>
      <c r="F152" s="32"/>
      <c r="G152" s="32"/>
    </row>
    <row r="153" spans="2:7">
      <c r="B153" s="540"/>
      <c r="D153" s="32"/>
      <c r="E153" s="32"/>
      <c r="F153" s="32"/>
      <c r="G153" s="32"/>
    </row>
    <row r="154" spans="2:7">
      <c r="B154" s="540"/>
      <c r="D154" s="32"/>
      <c r="E154" s="32"/>
      <c r="F154" s="32"/>
      <c r="G154" s="32"/>
    </row>
    <row r="155" spans="2:7">
      <c r="B155" s="540"/>
      <c r="D155" s="32"/>
      <c r="E155" s="32"/>
      <c r="F155" s="32"/>
      <c r="G155" s="32"/>
    </row>
    <row r="156" spans="2:7">
      <c r="B156" s="540"/>
      <c r="D156" s="32"/>
      <c r="E156" s="32"/>
      <c r="F156" s="32"/>
      <c r="G156" s="32"/>
    </row>
    <row r="157" spans="2:7">
      <c r="B157" s="540"/>
      <c r="D157" s="32"/>
      <c r="E157" s="32"/>
      <c r="F157" s="32"/>
      <c r="G157" s="32"/>
    </row>
    <row r="158" spans="2:7">
      <c r="B158" s="540"/>
      <c r="D158" s="32"/>
      <c r="E158" s="32"/>
      <c r="F158" s="32"/>
      <c r="G158" s="32"/>
    </row>
    <row r="159" spans="2:7">
      <c r="B159" s="540"/>
      <c r="D159" s="32"/>
      <c r="E159" s="32"/>
      <c r="F159" s="32"/>
      <c r="G159" s="32"/>
    </row>
    <row r="160" spans="2:7">
      <c r="B160" s="540"/>
      <c r="D160" s="32"/>
      <c r="E160" s="32"/>
      <c r="F160" s="32"/>
      <c r="G160" s="32"/>
    </row>
    <row r="161" spans="2:7">
      <c r="B161" s="540"/>
      <c r="D161" s="32"/>
      <c r="E161" s="32"/>
      <c r="F161" s="32"/>
      <c r="G161" s="32"/>
    </row>
    <row r="162" spans="2:7">
      <c r="B162" s="540"/>
      <c r="D162" s="32"/>
      <c r="E162" s="32"/>
      <c r="F162" s="32"/>
      <c r="G162" s="32"/>
    </row>
    <row r="163" spans="2:7">
      <c r="B163" s="540"/>
      <c r="D163" s="32"/>
      <c r="E163" s="32"/>
      <c r="F163" s="32"/>
      <c r="G163" s="32"/>
    </row>
    <row r="164" spans="2:7">
      <c r="B164" s="540"/>
      <c r="D164" s="32"/>
      <c r="E164" s="32"/>
      <c r="F164" s="32"/>
      <c r="G164" s="32"/>
    </row>
    <row r="165" spans="2:7">
      <c r="B165" s="540"/>
      <c r="D165" s="32"/>
      <c r="E165" s="32"/>
      <c r="F165" s="32"/>
      <c r="G165" s="32"/>
    </row>
    <row r="166" spans="2:7">
      <c r="B166" s="540"/>
      <c r="D166" s="32"/>
      <c r="E166" s="32"/>
      <c r="F166" s="32"/>
      <c r="G166" s="32"/>
    </row>
    <row r="167" spans="2:7">
      <c r="B167" s="540"/>
      <c r="D167" s="32"/>
      <c r="E167" s="32"/>
      <c r="F167" s="32"/>
      <c r="G167" s="32"/>
    </row>
    <row r="168" spans="2:7">
      <c r="B168" s="540"/>
      <c r="D168" s="32"/>
      <c r="E168" s="32"/>
      <c r="F168" s="32"/>
      <c r="G168" s="32"/>
    </row>
    <row r="169" spans="2:7">
      <c r="B169" s="540"/>
      <c r="D169" s="32"/>
      <c r="E169" s="32"/>
      <c r="F169" s="32"/>
      <c r="G169" s="32"/>
    </row>
    <row r="170" spans="2:7">
      <c r="B170" s="540"/>
      <c r="D170" s="32"/>
      <c r="E170" s="32"/>
      <c r="F170" s="32"/>
      <c r="G170" s="32"/>
    </row>
    <row r="171" spans="2:7">
      <c r="B171" s="540"/>
      <c r="D171" s="32"/>
      <c r="E171" s="32"/>
      <c r="F171" s="32"/>
      <c r="G171" s="32"/>
    </row>
    <row r="172" spans="2:7">
      <c r="B172" s="540"/>
      <c r="D172" s="32"/>
      <c r="E172" s="32"/>
      <c r="F172" s="32"/>
      <c r="G172" s="32"/>
    </row>
    <row r="173" spans="2:7">
      <c r="B173" s="540"/>
      <c r="D173" s="32"/>
      <c r="E173" s="32"/>
      <c r="F173" s="32"/>
      <c r="G173" s="32"/>
    </row>
    <row r="174" spans="2:7">
      <c r="B174" s="540"/>
      <c r="D174" s="32"/>
      <c r="E174" s="32"/>
      <c r="F174" s="32"/>
      <c r="G174" s="32"/>
    </row>
    <row r="175" spans="2:7">
      <c r="B175" s="540"/>
      <c r="D175" s="32"/>
      <c r="E175" s="32"/>
      <c r="F175" s="32"/>
      <c r="G175" s="32"/>
    </row>
    <row r="176" spans="2:7">
      <c r="B176" s="540"/>
      <c r="D176" s="32"/>
      <c r="E176" s="32"/>
      <c r="F176" s="32"/>
      <c r="G176" s="32"/>
    </row>
    <row r="177" spans="2:7">
      <c r="B177" s="540"/>
      <c r="D177" s="32"/>
      <c r="E177" s="32"/>
      <c r="F177" s="32"/>
      <c r="G177" s="32"/>
    </row>
    <row r="178" spans="2:7">
      <c r="D178" s="32"/>
      <c r="E178" s="32"/>
    </row>
    <row r="179" spans="2:7">
      <c r="D179" s="32"/>
      <c r="E179" s="32"/>
    </row>
    <row r="180" spans="2:7">
      <c r="D180" s="32"/>
      <c r="E180" s="32"/>
    </row>
    <row r="181" spans="2:7">
      <c r="D181" s="32"/>
      <c r="E181" s="32"/>
    </row>
    <row r="182" spans="2:7">
      <c r="D182" s="32"/>
      <c r="E182" s="32"/>
    </row>
    <row r="183" spans="2:7">
      <c r="D183" s="32"/>
      <c r="E183" s="32"/>
    </row>
    <row r="184" spans="2:7">
      <c r="D184" s="32"/>
      <c r="E184" s="32"/>
    </row>
    <row r="185" spans="2:7">
      <c r="D185" s="32"/>
      <c r="E185" s="32"/>
    </row>
    <row r="186" spans="2:7">
      <c r="D186" s="32"/>
      <c r="E186" s="32"/>
    </row>
    <row r="187" spans="2:7">
      <c r="D187" s="32"/>
      <c r="E187" s="32"/>
    </row>
    <row r="188" spans="2:7">
      <c r="D188" s="32"/>
      <c r="E188" s="32"/>
    </row>
    <row r="189" spans="2:7">
      <c r="D189" s="32"/>
      <c r="E189" s="32"/>
    </row>
    <row r="190" spans="2:7">
      <c r="D190" s="32"/>
      <c r="E190" s="32"/>
    </row>
    <row r="191" spans="2:7">
      <c r="D191" s="32"/>
      <c r="E191" s="32"/>
    </row>
    <row r="192" spans="2:7">
      <c r="D192" s="32"/>
      <c r="E192" s="32"/>
    </row>
    <row r="193" spans="4:5">
      <c r="D193" s="32"/>
      <c r="E193" s="32"/>
    </row>
    <row r="194" spans="4:5">
      <c r="D194" s="32"/>
      <c r="E194" s="32"/>
    </row>
    <row r="195" spans="4:5">
      <c r="D195" s="32"/>
      <c r="E195" s="32"/>
    </row>
    <row r="196" spans="4:5">
      <c r="D196" s="32"/>
      <c r="E196" s="32"/>
    </row>
    <row r="197" spans="4:5">
      <c r="D197" s="32"/>
      <c r="E197" s="32"/>
    </row>
    <row r="198" spans="4:5">
      <c r="D198" s="32"/>
      <c r="E198" s="32"/>
    </row>
    <row r="199" spans="4:5">
      <c r="D199" s="32"/>
      <c r="E199" s="32"/>
    </row>
    <row r="200" spans="4:5">
      <c r="D200" s="32"/>
      <c r="E200" s="32"/>
    </row>
    <row r="201" spans="4:5">
      <c r="D201" s="32"/>
      <c r="E201" s="32"/>
    </row>
    <row r="202" spans="4:5">
      <c r="D202" s="32"/>
      <c r="E202" s="32"/>
    </row>
    <row r="203" spans="4:5">
      <c r="D203" s="32"/>
      <c r="E203" s="32"/>
    </row>
    <row r="204" spans="4:5">
      <c r="D204" s="32"/>
      <c r="E204" s="32"/>
    </row>
    <row r="205" spans="4:5">
      <c r="D205" s="32"/>
      <c r="E205" s="32"/>
    </row>
    <row r="206" spans="4:5">
      <c r="D206" s="32"/>
      <c r="E206" s="32"/>
    </row>
    <row r="207" spans="4:5">
      <c r="D207" s="32"/>
      <c r="E207" s="32"/>
    </row>
    <row r="208" spans="4:5">
      <c r="D208" s="32"/>
      <c r="E208" s="32"/>
    </row>
    <row r="209" spans="4:5">
      <c r="D209" s="32"/>
      <c r="E209" s="32"/>
    </row>
    <row r="210" spans="4:5">
      <c r="D210" s="32"/>
      <c r="E210" s="32"/>
    </row>
    <row r="211" spans="4:5">
      <c r="D211" s="32"/>
      <c r="E211" s="32"/>
    </row>
    <row r="212" spans="4:5">
      <c r="D212" s="32"/>
      <c r="E212" s="32"/>
    </row>
    <row r="213" spans="4:5">
      <c r="D213" s="32"/>
      <c r="E213" s="32"/>
    </row>
    <row r="214" spans="4:5">
      <c r="D214" s="32"/>
      <c r="E214" s="32"/>
    </row>
    <row r="215" spans="4:5">
      <c r="D215" s="32"/>
      <c r="E215" s="32"/>
    </row>
    <row r="216" spans="4:5">
      <c r="D216" s="32"/>
      <c r="E216" s="32"/>
    </row>
    <row r="217" spans="4:5">
      <c r="D217" s="32"/>
      <c r="E217" s="32"/>
    </row>
    <row r="218" spans="4:5">
      <c r="D218" s="32"/>
      <c r="E218" s="32"/>
    </row>
    <row r="219" spans="4:5">
      <c r="D219" s="32"/>
      <c r="E219" s="32"/>
    </row>
    <row r="220" spans="4:5">
      <c r="D220" s="32"/>
      <c r="E220" s="32"/>
    </row>
    <row r="221" spans="4:5">
      <c r="D221" s="32"/>
      <c r="E221" s="32"/>
    </row>
    <row r="222" spans="4:5">
      <c r="D222" s="32"/>
      <c r="E222" s="32"/>
    </row>
    <row r="223" spans="4:5">
      <c r="D223" s="32"/>
      <c r="E223" s="32"/>
    </row>
    <row r="224" spans="4:5">
      <c r="D224" s="32"/>
      <c r="E224" s="32"/>
    </row>
    <row r="225" spans="4:5">
      <c r="D225" s="32"/>
      <c r="E225" s="32"/>
    </row>
    <row r="226" spans="4:5">
      <c r="D226" s="32"/>
      <c r="E226" s="32"/>
    </row>
    <row r="227" spans="4:5">
      <c r="D227" s="32"/>
      <c r="E227" s="32"/>
    </row>
    <row r="228" spans="4:5">
      <c r="D228" s="32"/>
      <c r="E228" s="32"/>
    </row>
    <row r="229" spans="4:5">
      <c r="D229" s="32"/>
      <c r="E229" s="32"/>
    </row>
    <row r="230" spans="4:5">
      <c r="D230" s="32"/>
      <c r="E230" s="32"/>
    </row>
    <row r="231" spans="4:5">
      <c r="D231" s="32"/>
      <c r="E231" s="32"/>
    </row>
    <row r="232" spans="4:5">
      <c r="D232" s="32"/>
      <c r="E232" s="32"/>
    </row>
    <row r="233" spans="4:5">
      <c r="D233" s="32"/>
      <c r="E233" s="32"/>
    </row>
    <row r="234" spans="4:5">
      <c r="D234" s="32"/>
      <c r="E234" s="32"/>
    </row>
    <row r="235" spans="4:5">
      <c r="D235" s="32"/>
      <c r="E235" s="32"/>
    </row>
    <row r="236" spans="4:5">
      <c r="D236" s="32"/>
      <c r="E236" s="32"/>
    </row>
    <row r="237" spans="4:5">
      <c r="D237" s="32"/>
      <c r="E237" s="32"/>
    </row>
    <row r="238" spans="4:5">
      <c r="D238" s="32"/>
      <c r="E238" s="32"/>
    </row>
    <row r="239" spans="4:5">
      <c r="D239" s="32"/>
      <c r="E239" s="32"/>
    </row>
    <row r="240" spans="4:5">
      <c r="D240" s="32"/>
      <c r="E240" s="32"/>
    </row>
    <row r="241" customFormat="1" ht="12.7"/>
    <row r="242" customFormat="1" ht="12.7"/>
    <row r="243" customFormat="1" ht="12.7"/>
    <row r="244" customFormat="1" ht="12.7"/>
    <row r="245" customFormat="1" ht="12.7"/>
    <row r="246" customFormat="1" ht="12.7"/>
    <row r="247" customFormat="1" ht="12.7"/>
    <row r="248" customFormat="1" ht="12.7"/>
    <row r="249" customFormat="1" ht="12.7"/>
    <row r="250" customFormat="1" ht="12.7"/>
    <row r="251" customFormat="1" ht="12.7"/>
    <row r="252" customFormat="1" ht="12.7"/>
    <row r="253" customFormat="1" ht="12.7"/>
    <row r="254" customFormat="1" ht="12.7"/>
    <row r="255" customFormat="1" ht="12.7"/>
    <row r="256" customFormat="1" ht="12.7"/>
    <row r="257" spans="4:5" customFormat="1" ht="12.7"/>
    <row r="258" spans="4:5" customFormat="1" ht="12.7"/>
    <row r="259" spans="4:5" customFormat="1" ht="12.7"/>
    <row r="260" spans="4:5" customFormat="1" ht="12.7"/>
    <row r="261" spans="4:5">
      <c r="D261" s="32"/>
      <c r="E261" s="32"/>
    </row>
    <row r="262" spans="4:5">
      <c r="D262" s="32"/>
      <c r="E262" s="32"/>
    </row>
    <row r="263" spans="4:5">
      <c r="D263" s="32"/>
      <c r="E263" s="32"/>
    </row>
    <row r="264" spans="4:5">
      <c r="D264" s="32"/>
      <c r="E264" s="32"/>
    </row>
    <row r="265" spans="4:5">
      <c r="D265" s="32"/>
      <c r="E265" s="32"/>
    </row>
    <row r="266" spans="4:5">
      <c r="D266" s="32"/>
      <c r="E266" s="32"/>
    </row>
    <row r="267" spans="4:5">
      <c r="D267" s="32"/>
      <c r="E267" s="32"/>
    </row>
    <row r="268" spans="4:5">
      <c r="D268" s="32"/>
      <c r="E268" s="32"/>
    </row>
    <row r="269" spans="4:5">
      <c r="D269" s="32"/>
      <c r="E269" s="32"/>
    </row>
    <row r="270" spans="4:5">
      <c r="D270" s="32"/>
      <c r="E270" s="32"/>
    </row>
    <row r="271" spans="4:5">
      <c r="D271" s="32"/>
      <c r="E271" s="32"/>
    </row>
    <row r="272" spans="4:5">
      <c r="D272" s="32"/>
      <c r="E272" s="32"/>
    </row>
    <row r="273" spans="4:5">
      <c r="D273" s="32"/>
      <c r="E273" s="32"/>
    </row>
    <row r="274" spans="4:5">
      <c r="D274" s="32"/>
      <c r="E274" s="32"/>
    </row>
    <row r="275" spans="4:5">
      <c r="D275" s="32"/>
      <c r="E275" s="32"/>
    </row>
    <row r="276" spans="4:5">
      <c r="D276" s="32"/>
      <c r="E276" s="32"/>
    </row>
    <row r="277" spans="4:5">
      <c r="D277" s="32"/>
      <c r="E277" s="32"/>
    </row>
    <row r="278" spans="4:5">
      <c r="D278" s="32"/>
      <c r="E278" s="32"/>
    </row>
    <row r="279" spans="4:5">
      <c r="D279" s="32"/>
      <c r="E279" s="32"/>
    </row>
    <row r="280" spans="4:5">
      <c r="D280" s="32"/>
      <c r="E280" s="32"/>
    </row>
    <row r="281" spans="4:5">
      <c r="D281" s="32"/>
      <c r="E281" s="32"/>
    </row>
    <row r="282" spans="4:5">
      <c r="D282" s="32"/>
      <c r="E282" s="32"/>
    </row>
    <row r="283" spans="4:5">
      <c r="D283" s="32"/>
      <c r="E283" s="32"/>
    </row>
    <row r="284" spans="4:5">
      <c r="D284" s="32"/>
      <c r="E284" s="32"/>
    </row>
    <row r="285" spans="4:5">
      <c r="D285" s="32"/>
      <c r="E285" s="32"/>
    </row>
    <row r="286" spans="4:5">
      <c r="D286" s="32"/>
      <c r="E286" s="32"/>
    </row>
    <row r="287" spans="4:5">
      <c r="D287" s="32"/>
      <c r="E287" s="32"/>
    </row>
    <row r="288" spans="4:5">
      <c r="D288" s="32"/>
      <c r="E288" s="32"/>
    </row>
    <row r="289" spans="4:5">
      <c r="D289" s="32"/>
      <c r="E289" s="32"/>
    </row>
    <row r="290" spans="4:5">
      <c r="D290" s="32"/>
      <c r="E290" s="32"/>
    </row>
    <row r="291" spans="4:5">
      <c r="D291" s="32"/>
      <c r="E291" s="32"/>
    </row>
    <row r="292" spans="4:5">
      <c r="D292" s="32"/>
      <c r="E292" s="32"/>
    </row>
    <row r="293" spans="4:5">
      <c r="D293" s="32"/>
      <c r="E293" s="32"/>
    </row>
    <row r="294" spans="4:5">
      <c r="D294" s="32"/>
      <c r="E294" s="32"/>
    </row>
    <row r="295" spans="4:5">
      <c r="D295" s="32"/>
      <c r="E295" s="32"/>
    </row>
    <row r="296" spans="4:5">
      <c r="D296" s="32"/>
      <c r="E296" s="32"/>
    </row>
    <row r="297" spans="4:5">
      <c r="D297" s="32"/>
      <c r="E297" s="32"/>
    </row>
    <row r="298" spans="4:5">
      <c r="D298" s="32"/>
      <c r="E298" s="32"/>
    </row>
    <row r="299" spans="4:5">
      <c r="D299" s="32"/>
      <c r="E299" s="32"/>
    </row>
    <row r="300" spans="4:5">
      <c r="D300" s="32"/>
      <c r="E300" s="32"/>
    </row>
    <row r="301" spans="4:5">
      <c r="D301" s="32"/>
      <c r="E301" s="32"/>
    </row>
    <row r="302" spans="4:5">
      <c r="D302" s="32"/>
      <c r="E302" s="32"/>
    </row>
    <row r="303" spans="4:5">
      <c r="D303" s="32"/>
      <c r="E303" s="32"/>
    </row>
    <row r="304" spans="4:5">
      <c r="D304" s="32"/>
      <c r="E304" s="32"/>
    </row>
    <row r="305" spans="4:5">
      <c r="D305" s="32"/>
      <c r="E305" s="32"/>
    </row>
    <row r="306" spans="4:5">
      <c r="D306" s="32"/>
      <c r="E306" s="32"/>
    </row>
    <row r="307" spans="4:5">
      <c r="D307" s="32"/>
      <c r="E307" s="32"/>
    </row>
    <row r="308" spans="4:5">
      <c r="D308" s="32"/>
      <c r="E308" s="32"/>
    </row>
    <row r="309" spans="4:5">
      <c r="D309" s="32"/>
      <c r="E309" s="32"/>
    </row>
    <row r="310" spans="4:5">
      <c r="D310" s="32"/>
      <c r="E310" s="32"/>
    </row>
    <row r="311" spans="4:5">
      <c r="D311" s="32"/>
      <c r="E311" s="32"/>
    </row>
    <row r="312" spans="4:5">
      <c r="D312" s="32"/>
      <c r="E312" s="32"/>
    </row>
    <row r="313" spans="4:5">
      <c r="D313" s="32"/>
      <c r="E313" s="32"/>
    </row>
    <row r="314" spans="4:5">
      <c r="D314" s="32"/>
      <c r="E314" s="32"/>
    </row>
    <row r="315" spans="4:5">
      <c r="D315" s="32"/>
      <c r="E315" s="32"/>
    </row>
    <row r="316" spans="4:5">
      <c r="D316" s="32"/>
      <c r="E316" s="32"/>
    </row>
    <row r="317" spans="4:5">
      <c r="D317" s="32"/>
      <c r="E317" s="32"/>
    </row>
    <row r="318" spans="4:5">
      <c r="D318" s="32"/>
      <c r="E318" s="32"/>
    </row>
    <row r="319" spans="4:5">
      <c r="D319" s="32"/>
      <c r="E319" s="32"/>
    </row>
    <row r="320" spans="4:5">
      <c r="D320" s="32"/>
      <c r="E320" s="32"/>
    </row>
    <row r="321" spans="4:5">
      <c r="D321" s="32"/>
      <c r="E321" s="32"/>
    </row>
    <row r="322" spans="4:5">
      <c r="D322" s="32"/>
      <c r="E322" s="32"/>
    </row>
    <row r="323" spans="4:5">
      <c r="D323" s="32"/>
      <c r="E323" s="32"/>
    </row>
    <row r="324" spans="4:5">
      <c r="D324" s="32"/>
      <c r="E324" s="32"/>
    </row>
    <row r="325" spans="4:5">
      <c r="D325" s="32"/>
      <c r="E325" s="32"/>
    </row>
    <row r="326" spans="4:5">
      <c r="D326" s="32"/>
      <c r="E326" s="32"/>
    </row>
    <row r="327" spans="4:5">
      <c r="D327" s="32"/>
      <c r="E327" s="32"/>
    </row>
    <row r="328" spans="4:5">
      <c r="D328" s="32"/>
      <c r="E328" s="32"/>
    </row>
    <row r="329" spans="4:5">
      <c r="D329" s="32"/>
      <c r="E329" s="32"/>
    </row>
    <row r="330" spans="4:5">
      <c r="D330" s="32"/>
      <c r="E330" s="32"/>
    </row>
    <row r="331" spans="4:5">
      <c r="D331" s="32"/>
      <c r="E331" s="32"/>
    </row>
    <row r="332" spans="4:5">
      <c r="D332" s="32"/>
      <c r="E332" s="32"/>
    </row>
    <row r="333" spans="4:5">
      <c r="D333" s="32"/>
      <c r="E333" s="32"/>
    </row>
    <row r="334" spans="4:5">
      <c r="D334" s="32"/>
      <c r="E334" s="32"/>
    </row>
    <row r="335" spans="4:5">
      <c r="D335" s="32"/>
      <c r="E335" s="32"/>
    </row>
    <row r="336" spans="4:5">
      <c r="D336" s="32"/>
      <c r="E336" s="32"/>
    </row>
    <row r="337" spans="4:5">
      <c r="D337" s="32"/>
      <c r="E337" s="32"/>
    </row>
    <row r="338" spans="4:5">
      <c r="D338" s="32"/>
      <c r="E338" s="32"/>
    </row>
    <row r="339" spans="4:5">
      <c r="D339" s="32"/>
      <c r="E339" s="32"/>
    </row>
    <row r="340" spans="4:5">
      <c r="D340" s="32"/>
      <c r="E340" s="32"/>
    </row>
    <row r="341" spans="4:5">
      <c r="D341" s="32"/>
      <c r="E341" s="32"/>
    </row>
    <row r="342" spans="4:5">
      <c r="D342" s="32"/>
      <c r="E342" s="32"/>
    </row>
    <row r="343" spans="4:5">
      <c r="D343" s="32"/>
      <c r="E343" s="32"/>
    </row>
    <row r="344" spans="4:5">
      <c r="D344" s="32"/>
      <c r="E344" s="32"/>
    </row>
    <row r="345" spans="4:5">
      <c r="D345" s="32"/>
      <c r="E345" s="32"/>
    </row>
    <row r="346" spans="4:5">
      <c r="D346" s="32"/>
      <c r="E346" s="32"/>
    </row>
    <row r="347" spans="4:5">
      <c r="D347" s="32"/>
      <c r="E347" s="32"/>
    </row>
    <row r="348" spans="4:5">
      <c r="D348" s="32"/>
      <c r="E348" s="32"/>
    </row>
    <row r="349" spans="4:5">
      <c r="D349" s="32"/>
      <c r="E349" s="32"/>
    </row>
    <row r="350" spans="4:5">
      <c r="D350" s="32"/>
      <c r="E350" s="32"/>
    </row>
    <row r="351" spans="4:5">
      <c r="D351" s="32"/>
      <c r="E351" s="32"/>
    </row>
    <row r="352" spans="4:5">
      <c r="D352" s="32"/>
      <c r="E352" s="32"/>
    </row>
    <row r="353" spans="4:5">
      <c r="D353" s="32"/>
      <c r="E353" s="32"/>
    </row>
    <row r="354" spans="4:5">
      <c r="D354" s="32"/>
      <c r="E354" s="32"/>
    </row>
    <row r="355" spans="4:5">
      <c r="D355" s="32"/>
      <c r="E355" s="32"/>
    </row>
    <row r="356" spans="4:5">
      <c r="D356" s="32"/>
      <c r="E356" s="32"/>
    </row>
    <row r="357" spans="4:5">
      <c r="D357" s="32"/>
      <c r="E357" s="32"/>
    </row>
    <row r="358" spans="4:5">
      <c r="D358" s="32"/>
      <c r="E358" s="32"/>
    </row>
    <row r="359" spans="4:5">
      <c r="D359" s="32"/>
      <c r="E359" s="32"/>
    </row>
    <row r="360" spans="4:5">
      <c r="D360" s="32"/>
      <c r="E360" s="32"/>
    </row>
    <row r="361" spans="4:5">
      <c r="D361" s="32"/>
      <c r="E361" s="32"/>
    </row>
    <row r="362" spans="4:5">
      <c r="D362" s="32"/>
      <c r="E362" s="32"/>
    </row>
    <row r="363" spans="4:5">
      <c r="D363" s="32"/>
      <c r="E363" s="32"/>
    </row>
    <row r="364" spans="4:5">
      <c r="D364" s="32"/>
      <c r="E364" s="32"/>
    </row>
    <row r="365" spans="4:5">
      <c r="D365" s="32"/>
      <c r="E365" s="32"/>
    </row>
    <row r="366" spans="4:5">
      <c r="D366" s="32"/>
      <c r="E366" s="32"/>
    </row>
    <row r="367" spans="4:5">
      <c r="D367" s="32"/>
      <c r="E367" s="32"/>
    </row>
    <row r="368" spans="4:5">
      <c r="D368" s="32"/>
      <c r="E368" s="32"/>
    </row>
    <row r="369" spans="4:5">
      <c r="D369" s="32"/>
      <c r="E369" s="32"/>
    </row>
    <row r="370" spans="4:5">
      <c r="D370" s="32"/>
      <c r="E370" s="32"/>
    </row>
    <row r="371" spans="4:5">
      <c r="D371" s="32"/>
      <c r="E371" s="32"/>
    </row>
    <row r="372" spans="4:5">
      <c r="D372" s="32"/>
      <c r="E372" s="32"/>
    </row>
    <row r="373" spans="4:5">
      <c r="D373" s="32"/>
      <c r="E373" s="32"/>
    </row>
    <row r="374" spans="4:5">
      <c r="D374" s="32"/>
      <c r="E374" s="32"/>
    </row>
    <row r="375" spans="4:5">
      <c r="D375" s="32"/>
      <c r="E375" s="32"/>
    </row>
    <row r="376" spans="4:5">
      <c r="D376" s="32"/>
      <c r="E376" s="32"/>
    </row>
    <row r="377" spans="4:5">
      <c r="D377" s="32"/>
      <c r="E377" s="32"/>
    </row>
    <row r="378" spans="4:5">
      <c r="D378" s="32"/>
      <c r="E378" s="32"/>
    </row>
    <row r="379" spans="4:5">
      <c r="D379" s="32"/>
      <c r="E379" s="32"/>
    </row>
    <row r="380" spans="4:5">
      <c r="D380" s="32"/>
      <c r="E380" s="32"/>
    </row>
    <row r="381" spans="4:5">
      <c r="D381" s="32"/>
      <c r="E381" s="32"/>
    </row>
    <row r="382" spans="4:5">
      <c r="D382" s="32"/>
      <c r="E382" s="32"/>
    </row>
    <row r="383" spans="4:5">
      <c r="D383" s="32"/>
      <c r="E383" s="32"/>
    </row>
    <row r="384" spans="4:5">
      <c r="D384" s="32"/>
      <c r="E384" s="32"/>
    </row>
    <row r="385" spans="4:5">
      <c r="D385" s="32"/>
      <c r="E385" s="32"/>
    </row>
    <row r="386" spans="4:5">
      <c r="D386" s="32"/>
      <c r="E386" s="32"/>
    </row>
    <row r="387" spans="4:5">
      <c r="D387" s="32"/>
      <c r="E387" s="32"/>
    </row>
    <row r="388" spans="4:5">
      <c r="D388" s="32"/>
      <c r="E388" s="32"/>
    </row>
    <row r="389" spans="4:5">
      <c r="D389" s="32"/>
      <c r="E389" s="32"/>
    </row>
    <row r="390" spans="4:5">
      <c r="D390" s="32"/>
      <c r="E390" s="32"/>
    </row>
    <row r="391" spans="4:5">
      <c r="D391" s="32"/>
      <c r="E391" s="32"/>
    </row>
    <row r="392" spans="4:5">
      <c r="D392" s="32"/>
      <c r="E392" s="32"/>
    </row>
    <row r="393" spans="4:5">
      <c r="D393" s="32"/>
      <c r="E393" s="32"/>
    </row>
    <row r="394" spans="4:5">
      <c r="D394" s="32"/>
      <c r="E394" s="32"/>
    </row>
    <row r="395" spans="4:5">
      <c r="D395" s="32"/>
      <c r="E395" s="32"/>
    </row>
    <row r="396" spans="4:5">
      <c r="D396" s="32"/>
      <c r="E396" s="32"/>
    </row>
    <row r="397" spans="4:5">
      <c r="D397" s="32"/>
      <c r="E397" s="32"/>
    </row>
    <row r="398" spans="4:5">
      <c r="D398" s="32"/>
      <c r="E398" s="32"/>
    </row>
    <row r="399" spans="4:5">
      <c r="D399" s="32"/>
      <c r="E399" s="32"/>
    </row>
    <row r="400" spans="4:5">
      <c r="D400" s="32"/>
      <c r="E400" s="32"/>
    </row>
    <row r="401" spans="4:5">
      <c r="D401" s="32"/>
      <c r="E401" s="32"/>
    </row>
    <row r="402" spans="4:5">
      <c r="D402" s="32"/>
      <c r="E402" s="32"/>
    </row>
    <row r="403" spans="4:5">
      <c r="D403" s="32"/>
      <c r="E403" s="32"/>
    </row>
  </sheetData>
  <conditionalFormatting sqref="B261:B1048576 B6:B7 B9:B18 C24:G26 B20:B240">
    <cfRule type="duplicateValues" dxfId="4" priority="5" stopIfTrue="1"/>
  </conditionalFormatting>
  <conditionalFormatting sqref="B8">
    <cfRule type="duplicateValues" dxfId="3" priority="4" stopIfTrue="1"/>
  </conditionalFormatting>
  <conditionalFormatting sqref="B19">
    <cfRule type="duplicateValues" dxfId="2" priority="3" stopIfTrue="1"/>
  </conditionalFormatting>
  <pageMargins left="0.7" right="0.7" top="0.75" bottom="0.75" header="0.3" footer="0.3"/>
  <pageSetup paperSize="9" orientation="portrait" horizontalDpi="0" verticalDpi="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6">
    <tabColor theme="9" tint="-0.249977111117893"/>
  </sheetPr>
  <dimension ref="A1:J51"/>
  <sheetViews>
    <sheetView workbookViewId="0">
      <selection activeCell="C44" sqref="C44"/>
    </sheetView>
  </sheetViews>
  <sheetFormatPr defaultColWidth="11.46875" defaultRowHeight="10.35"/>
  <cols>
    <col min="1" max="1" width="12.46875" style="21" customWidth="1"/>
    <col min="2" max="2" width="11" style="21" customWidth="1"/>
    <col min="3" max="3" width="27.46875" style="21" customWidth="1"/>
    <col min="4" max="4" width="10.17578125" style="21" customWidth="1"/>
    <col min="5" max="5" width="28.64453125" style="21" customWidth="1"/>
    <col min="6" max="16384" width="11.46875" style="21"/>
  </cols>
  <sheetData>
    <row r="1" spans="1:10">
      <c r="A1" s="20"/>
    </row>
    <row r="3" spans="1:10" ht="18.75" customHeight="1"/>
    <row r="4" spans="1:10">
      <c r="B4" s="21" t="s">
        <v>968</v>
      </c>
    </row>
    <row r="5" spans="1:10">
      <c r="B5" s="20" t="s">
        <v>959</v>
      </c>
      <c r="C5" s="20" t="s">
        <v>960</v>
      </c>
      <c r="D5" s="20" t="s">
        <v>961</v>
      </c>
      <c r="E5" s="20" t="s">
        <v>962</v>
      </c>
      <c r="F5" s="20" t="s">
        <v>963</v>
      </c>
      <c r="G5" s="21" t="s">
        <v>964</v>
      </c>
      <c r="H5" s="21" t="s">
        <v>965</v>
      </c>
      <c r="I5" s="20"/>
      <c r="J5" s="20"/>
    </row>
    <row r="6" spans="1:10">
      <c r="A6" s="21" t="str">
        <f>IF(B6=0,"*","")</f>
        <v/>
      </c>
      <c r="B6" s="21" t="str">
        <f>Energy_Balance!B15</f>
        <v>RLEL</v>
      </c>
      <c r="C6" s="21" t="str">
        <f>IF($A6="*","","Residential - "&amp;Energy_Balance!C15&amp;IF(Energy_Balance!D15="L"," - Low income", IF(Energy_Balance!D15="M"," - Middle income"," - High income")))</f>
        <v>Residential - Lighting - Low income</v>
      </c>
      <c r="D6" s="32" t="str">
        <f>IF($A6="*","","PJ")</f>
        <v>PJ</v>
      </c>
      <c r="E6" s="21" t="s">
        <v>967</v>
      </c>
      <c r="F6" s="21" t="s">
        <v>966</v>
      </c>
    </row>
    <row r="7" spans="1:10">
      <c r="A7" s="21" t="str">
        <f>IF(B7=0,"*","")</f>
        <v/>
      </c>
      <c r="B7" s="21" t="str">
        <f>Energy_Balance!B16</f>
        <v>RLNL</v>
      </c>
      <c r="C7" s="21" t="str">
        <f>IF($A7="*","","Residential - "&amp;Energy_Balance!C16&amp;IF(Energy_Balance!D16="L"," - Low income", IF(Energy_Balance!D16="M"," - Middle income"," - High income")))</f>
        <v>Residential - Lighting - Low income</v>
      </c>
      <c r="D7" s="32" t="str">
        <f>IF($A7="*","","PJ")</f>
        <v>PJ</v>
      </c>
      <c r="E7" s="21" t="s">
        <v>967</v>
      </c>
      <c r="F7" s="21" t="s">
        <v>966</v>
      </c>
    </row>
    <row r="8" spans="1:10">
      <c r="A8" s="21" t="str">
        <f t="shared" ref="A8:A49" si="0">IF(B8=0,"*","")</f>
        <v/>
      </c>
      <c r="B8" s="21" t="str">
        <f>Energy_Balance!B17</f>
        <v>RLEK</v>
      </c>
      <c r="C8" s="21" t="str">
        <f>IF($A8="*","","Residential - "&amp;Energy_Balance!C17&amp;IF(Energy_Balance!D17="L"," - Low income", IF(Energy_Balance!D17="M"," - Middle income"," - High income")))</f>
        <v>Residential - Cooking - Low income</v>
      </c>
      <c r="D8" s="32" t="str">
        <f t="shared" ref="D8:D35" si="1">IF($A8="*","","PJ")</f>
        <v>PJ</v>
      </c>
      <c r="E8" s="21" t="s">
        <v>967</v>
      </c>
      <c r="F8" s="21" t="s">
        <v>966</v>
      </c>
    </row>
    <row r="9" spans="1:10">
      <c r="A9" s="21" t="str">
        <f t="shared" si="0"/>
        <v/>
      </c>
      <c r="B9" s="21" t="str">
        <f>Energy_Balance!B18</f>
        <v>RLEH</v>
      </c>
      <c r="C9" s="21" t="str">
        <f>IF($A9="*","","Residential - "&amp;Energy_Balance!C18&amp;IF(Energy_Balance!D18="L"," - Low income", IF(Energy_Balance!D18="M"," - Middle income"," - High income")))</f>
        <v>Residential - Heating - Low income</v>
      </c>
      <c r="D9" s="32" t="str">
        <f t="shared" si="1"/>
        <v>PJ</v>
      </c>
      <c r="E9" s="21" t="s">
        <v>967</v>
      </c>
      <c r="F9" s="21" t="s">
        <v>966</v>
      </c>
    </row>
    <row r="10" spans="1:10">
      <c r="A10" s="21" t="str">
        <f t="shared" si="0"/>
        <v/>
      </c>
      <c r="B10" s="21" t="str">
        <f>Energy_Balance!B19</f>
        <v>RLEW</v>
      </c>
      <c r="C10" s="21" t="str">
        <f>IF($A10="*","","Residential - "&amp;Energy_Balance!C19&amp;IF(Energy_Balance!D19="L"," - Low income", IF(Energy_Balance!D19="M"," - Middle income"," - High income")))</f>
        <v>Residential - Water heating - Low income</v>
      </c>
      <c r="D10" s="32" t="str">
        <f t="shared" si="1"/>
        <v>PJ</v>
      </c>
      <c r="E10" s="21" t="s">
        <v>967</v>
      </c>
      <c r="F10" s="21" t="s">
        <v>966</v>
      </c>
    </row>
    <row r="11" spans="1:10">
      <c r="A11" s="21" t="str">
        <f t="shared" si="0"/>
        <v/>
      </c>
      <c r="B11" s="21" t="str">
        <f>Energy_Balance!B20</f>
        <v>RLEWG</v>
      </c>
      <c r="C11" s="21" t="str">
        <f>IF($A11="*","","Residential - "&amp;Energy_Balance!C20&amp;IF(Energy_Balance!D20="L"," - Low income", IF(Energy_Balance!D20="M"," - Middle income"," - High income")))</f>
        <v>Residential - Water heating - Low income</v>
      </c>
      <c r="D11" s="32" t="str">
        <f t="shared" si="1"/>
        <v>PJ</v>
      </c>
      <c r="E11" s="21" t="s">
        <v>967</v>
      </c>
      <c r="F11" s="21" t="s">
        <v>966</v>
      </c>
    </row>
    <row r="12" spans="1:10">
      <c r="A12" s="21" t="str">
        <f t="shared" si="0"/>
        <v/>
      </c>
      <c r="B12" s="21" t="str">
        <f>Energy_Balance!B21</f>
        <v>RLER</v>
      </c>
      <c r="C12" s="21" t="str">
        <f>IF($A12="*","","Residential - "&amp;Energy_Balance!C21&amp;IF(Energy_Balance!D21="L"," - Low income", IF(Energy_Balance!D21="M"," - Middle income"," - High income")))</f>
        <v>Residential - Refrigeration - Low income</v>
      </c>
      <c r="D12" s="32" t="str">
        <f t="shared" si="1"/>
        <v>PJ</v>
      </c>
      <c r="E12" s="21" t="s">
        <v>967</v>
      </c>
      <c r="F12" s="21" t="s">
        <v>966</v>
      </c>
    </row>
    <row r="13" spans="1:10">
      <c r="A13" s="21" t="str">
        <f t="shared" si="0"/>
        <v/>
      </c>
      <c r="B13" s="21" t="str">
        <f>Energy_Balance!B22</f>
        <v>RLEO</v>
      </c>
      <c r="C13" s="21" t="str">
        <f>IF($A13="*","","Residential - "&amp;Energy_Balance!C22&amp;IF(Energy_Balance!D22="L"," - Low income", IF(Energy_Balance!D22="M"," - Middle income"," - High income")))</f>
        <v>Residential - Other - Low income</v>
      </c>
      <c r="D13" s="32" t="str">
        <f t="shared" si="1"/>
        <v>PJ</v>
      </c>
      <c r="E13" s="21" t="s">
        <v>967</v>
      </c>
      <c r="F13" s="21" t="s">
        <v>966</v>
      </c>
    </row>
    <row r="14" spans="1:10">
      <c r="A14" s="21" t="str">
        <f t="shared" si="0"/>
        <v/>
      </c>
      <c r="B14" s="21" t="str">
        <f>Energy_Balance!B23</f>
        <v>RMEL</v>
      </c>
      <c r="C14" s="21" t="str">
        <f>IF($A14="*","","Residential - "&amp;Energy_Balance!C23&amp;IF(Energy_Balance!D23="L"," - Low income", IF(Energy_Balance!D23="M"," - Middle income"," - High income")))</f>
        <v>Residential - Lighting - Middle income</v>
      </c>
      <c r="D14" s="32" t="str">
        <f t="shared" si="1"/>
        <v>PJ</v>
      </c>
      <c r="E14" s="21" t="s">
        <v>967</v>
      </c>
      <c r="F14" s="21" t="s">
        <v>966</v>
      </c>
    </row>
    <row r="15" spans="1:10">
      <c r="A15" s="21" t="str">
        <f t="shared" si="0"/>
        <v/>
      </c>
      <c r="B15" s="21" t="str">
        <f>Energy_Balance!B24</f>
        <v>RMNL</v>
      </c>
      <c r="C15" s="21" t="str">
        <f>IF($A15="*","","Residential - "&amp;Energy_Balance!C24&amp;IF(Energy_Balance!D24="L"," - Low income", IF(Energy_Balance!D24="M"," - Middle income"," - High income")))</f>
        <v>Residential - Lighting - Middle income</v>
      </c>
      <c r="D15" s="32" t="str">
        <f t="shared" si="1"/>
        <v>PJ</v>
      </c>
      <c r="E15" s="21" t="s">
        <v>967</v>
      </c>
      <c r="F15" s="21" t="s">
        <v>966</v>
      </c>
    </row>
    <row r="16" spans="1:10">
      <c r="A16" s="21" t="str">
        <f t="shared" si="0"/>
        <v/>
      </c>
      <c r="B16" s="21" t="str">
        <f>Energy_Balance!B25</f>
        <v>RMEK</v>
      </c>
      <c r="C16" s="21" t="str">
        <f>IF($A16="*","","Residential - "&amp;Energy_Balance!C25&amp;IF(Energy_Balance!D25="L"," - Low income", IF(Energy_Balance!D25="M"," - Middle income"," - High income")))</f>
        <v>Residential - Cooking - Middle income</v>
      </c>
      <c r="D16" s="32" t="str">
        <f t="shared" si="1"/>
        <v>PJ</v>
      </c>
      <c r="E16" s="21" t="s">
        <v>967</v>
      </c>
      <c r="F16" s="21" t="s">
        <v>966</v>
      </c>
    </row>
    <row r="17" spans="1:6">
      <c r="A17" s="21" t="str">
        <f t="shared" si="0"/>
        <v/>
      </c>
      <c r="B17" s="21" t="str">
        <f>Energy_Balance!B26</f>
        <v>RMEH</v>
      </c>
      <c r="C17" s="21" t="str">
        <f>IF($A17="*","","Residential - "&amp;Energy_Balance!C26&amp;IF(Energy_Balance!D26="L"," - Low income", IF(Energy_Balance!D26="M"," - Middle income"," - High income")))</f>
        <v>Residential - Heating - Middle income</v>
      </c>
      <c r="D17" s="32" t="str">
        <f t="shared" si="1"/>
        <v>PJ</v>
      </c>
      <c r="E17" s="21" t="s">
        <v>967</v>
      </c>
      <c r="F17" s="21" t="s">
        <v>966</v>
      </c>
    </row>
    <row r="18" spans="1:6">
      <c r="A18" s="21" t="str">
        <f t="shared" ref="A18" si="2">IF(B18=0,"*","")</f>
        <v/>
      </c>
      <c r="B18" s="21" t="str">
        <f>Energy_Balance!B27</f>
        <v>RMEW</v>
      </c>
      <c r="C18" s="21" t="str">
        <f>IF($A18="*","","Residential - "&amp;Energy_Balance!C27&amp;IF(Energy_Balance!D27="L"," - Low income", IF(Energy_Balance!D27="M"," - Middle income"," - High income")))</f>
        <v>Residential - Water heating - Middle income</v>
      </c>
      <c r="D18" s="32" t="str">
        <f t="shared" si="1"/>
        <v>PJ</v>
      </c>
      <c r="E18" s="21" t="s">
        <v>967</v>
      </c>
      <c r="F18" s="21" t="s">
        <v>966</v>
      </c>
    </row>
    <row r="19" spans="1:6">
      <c r="A19" s="21" t="str">
        <f t="shared" si="0"/>
        <v/>
      </c>
      <c r="B19" s="21" t="str">
        <f>Energy_Balance!B28</f>
        <v>RMEWG</v>
      </c>
      <c r="C19" s="21" t="str">
        <f>IF($A19="*","","Residential - "&amp;Energy_Balance!C28&amp;IF(Energy_Balance!D28="L"," - Low income", IF(Energy_Balance!D28="M"," - Middle income"," - High income")))</f>
        <v>Residential - Water heating - Middle income</v>
      </c>
      <c r="D19" s="32" t="str">
        <f t="shared" si="1"/>
        <v>PJ</v>
      </c>
      <c r="E19" s="21" t="s">
        <v>967</v>
      </c>
      <c r="F19" s="21" t="s">
        <v>966</v>
      </c>
    </row>
    <row r="20" spans="1:6">
      <c r="A20" s="21" t="str">
        <f t="shared" si="0"/>
        <v/>
      </c>
      <c r="B20" s="21" t="str">
        <f>Energy_Balance!B29</f>
        <v>RMER</v>
      </c>
      <c r="C20" s="21" t="str">
        <f>IF($A20="*","","Residential - "&amp;Energy_Balance!C29&amp;IF(Energy_Balance!D29="L"," - Low income", IF(Energy_Balance!D29="M"," - Middle income"," - High income")))</f>
        <v>Residential - Refrigeration - Middle income</v>
      </c>
      <c r="D20" s="32" t="str">
        <f t="shared" si="1"/>
        <v>PJ</v>
      </c>
      <c r="E20" s="21" t="s">
        <v>967</v>
      </c>
      <c r="F20" s="21" t="s">
        <v>966</v>
      </c>
    </row>
    <row r="21" spans="1:6">
      <c r="A21" s="21" t="str">
        <f t="shared" si="0"/>
        <v/>
      </c>
      <c r="B21" s="21" t="str">
        <f>Energy_Balance!B30</f>
        <v>RMEO</v>
      </c>
      <c r="C21" s="21" t="str">
        <f>IF($A21="*","","Residential - "&amp;Energy_Balance!C30&amp;IF(Energy_Balance!D30="L"," - Low income", IF(Energy_Balance!D30="M"," - Middle income"," - High income")))</f>
        <v>Residential - Other - Middle income</v>
      </c>
      <c r="D21" s="32" t="str">
        <f t="shared" si="1"/>
        <v>PJ</v>
      </c>
      <c r="E21" s="21" t="s">
        <v>967</v>
      </c>
      <c r="F21" s="21" t="s">
        <v>966</v>
      </c>
    </row>
    <row r="22" spans="1:6">
      <c r="A22" s="21" t="str">
        <f t="shared" si="0"/>
        <v/>
      </c>
      <c r="B22" s="21" t="str">
        <f>Energy_Balance!B31</f>
        <v>RHEL</v>
      </c>
      <c r="C22" s="21" t="str">
        <f>IF($A22="*","","Residential - "&amp;Energy_Balance!C31&amp;IF(Energy_Balance!D31="L"," - Low income", IF(Energy_Balance!D31="M"," - Middle income"," - High income")))</f>
        <v>Residential - Lighting - High income</v>
      </c>
      <c r="D22" s="32" t="str">
        <f t="shared" si="1"/>
        <v>PJ</v>
      </c>
      <c r="E22" s="21" t="s">
        <v>967</v>
      </c>
      <c r="F22" s="21" t="s">
        <v>966</v>
      </c>
    </row>
    <row r="23" spans="1:6">
      <c r="A23" s="21" t="str">
        <f t="shared" si="0"/>
        <v/>
      </c>
      <c r="B23" s="21" t="str">
        <f>Energy_Balance!B32</f>
        <v>RHEK</v>
      </c>
      <c r="C23" s="21" t="str">
        <f>IF($A23="*","","Residential - "&amp;Energy_Balance!C32&amp;IF(Energy_Balance!D32="L"," - Low income", IF(Energy_Balance!D32="M"," - Middle income"," - High income")))</f>
        <v>Residential - Cooking - High income</v>
      </c>
      <c r="D23" s="32" t="str">
        <f t="shared" si="1"/>
        <v>PJ</v>
      </c>
      <c r="E23" s="21" t="s">
        <v>967</v>
      </c>
      <c r="F23" s="21" t="s">
        <v>966</v>
      </c>
    </row>
    <row r="24" spans="1:6">
      <c r="A24" s="21" t="str">
        <f t="shared" si="0"/>
        <v/>
      </c>
      <c r="B24" s="21" t="str">
        <f>Energy_Balance!B33</f>
        <v>RHEH</v>
      </c>
      <c r="C24" s="21" t="str">
        <f>IF($A24="*","","Residential - "&amp;Energy_Balance!C33&amp;IF(Energy_Balance!D33="L"," - Low income", IF(Energy_Balance!D33="M"," - Middle income"," - High income")))</f>
        <v>Residential - Heating - High income</v>
      </c>
      <c r="D24" s="32" t="str">
        <f t="shared" si="1"/>
        <v>PJ</v>
      </c>
      <c r="E24" s="21" t="s">
        <v>967</v>
      </c>
      <c r="F24" s="21" t="s">
        <v>966</v>
      </c>
    </row>
    <row r="25" spans="1:6">
      <c r="A25" s="21" t="str">
        <f t="shared" si="0"/>
        <v/>
      </c>
      <c r="B25" s="21" t="str">
        <f>Energy_Balance!B34</f>
        <v>RHEW</v>
      </c>
      <c r="C25" s="21" t="str">
        <f>IF($A25="*","","Residential - "&amp;Energy_Balance!C34&amp;IF(Energy_Balance!D34="L"," - Low income", IF(Energy_Balance!D34="M"," - Middle income"," - High income")))</f>
        <v>Residential - Water heating - High income</v>
      </c>
      <c r="D25" s="32" t="str">
        <f t="shared" si="1"/>
        <v>PJ</v>
      </c>
      <c r="E25" s="21" t="s">
        <v>967</v>
      </c>
      <c r="F25" s="21" t="s">
        <v>966</v>
      </c>
    </row>
    <row r="26" spans="1:6">
      <c r="A26" s="21" t="str">
        <f t="shared" si="0"/>
        <v/>
      </c>
      <c r="B26" s="21" t="str">
        <f>Energy_Balance!B35</f>
        <v>RHEWG</v>
      </c>
      <c r="C26" s="21" t="str">
        <f>IF($A26="*","","Residential - "&amp;Energy_Balance!C35&amp;IF(Energy_Balance!D35="L"," - Low income", IF(Energy_Balance!D35="M"," - Middle income"," - High income")))</f>
        <v>Residential - Water heating - High income</v>
      </c>
      <c r="D26" s="32" t="str">
        <f t="shared" si="1"/>
        <v>PJ</v>
      </c>
      <c r="E26" s="21" t="s">
        <v>967</v>
      </c>
      <c r="F26" s="21" t="s">
        <v>966</v>
      </c>
    </row>
    <row r="27" spans="1:6">
      <c r="A27" s="21" t="str">
        <f t="shared" si="0"/>
        <v/>
      </c>
      <c r="B27" s="21" t="str">
        <f>Energy_Balance!B36</f>
        <v>RHER</v>
      </c>
      <c r="C27" s="21" t="str">
        <f>IF($A27="*","","Residential - "&amp;Energy_Balance!C36&amp;IF(Energy_Balance!D36="L"," - Low income", IF(Energy_Balance!D36="M"," - Middle income"," - High income")))</f>
        <v>Residential - Refrigeration - High income</v>
      </c>
      <c r="D27" s="32" t="str">
        <f t="shared" si="1"/>
        <v>PJ</v>
      </c>
      <c r="E27" s="21" t="s">
        <v>967</v>
      </c>
      <c r="F27" s="21" t="s">
        <v>966</v>
      </c>
    </row>
    <row r="28" spans="1:6">
      <c r="A28" s="21" t="str">
        <f t="shared" si="0"/>
        <v/>
      </c>
      <c r="B28" s="21" t="str">
        <f>Energy_Balance!B37</f>
        <v>RHEO</v>
      </c>
      <c r="C28" s="21" t="str">
        <f>IF($A28="*","","Residential - "&amp;Energy_Balance!C37&amp;IF(Energy_Balance!D37="L"," - Low income", IF(Energy_Balance!D37="M"," - Middle income"," - High income")))</f>
        <v>Residential - Other - High income</v>
      </c>
      <c r="D28" s="32" t="str">
        <f t="shared" si="1"/>
        <v>PJ</v>
      </c>
      <c r="E28" s="21" t="s">
        <v>967</v>
      </c>
      <c r="F28" s="21" t="s">
        <v>966</v>
      </c>
    </row>
    <row r="29" spans="1:6">
      <c r="A29" s="21" t="str">
        <f t="shared" si="0"/>
        <v>*</v>
      </c>
      <c r="C29" s="21" t="str">
        <f>IF($A29="*","","Residential - "&amp;Energy_Balance!C38&amp;IF(Energy_Balance!D38="L"," - Low income", IF(Energy_Balance!D38="M"," - Middle income"," - High income")))</f>
        <v/>
      </c>
      <c r="D29" s="32" t="str">
        <f t="shared" si="1"/>
        <v/>
      </c>
      <c r="E29" s="32" t="str">
        <f t="shared" ref="E29:E35" si="3">IF($A29="*","","COM,DEM,DAYNITE,RES")</f>
        <v/>
      </c>
    </row>
    <row r="30" spans="1:6">
      <c r="A30" s="21" t="str">
        <f t="shared" si="0"/>
        <v>*</v>
      </c>
      <c r="C30" s="21" t="str">
        <f>IF($A30="*","","Residential - "&amp;Energy_Balance!C39&amp;IF(Energy_Balance!D39="L"," - Low income", IF(Energy_Balance!D39="M"," - Middle income"," - High income")))</f>
        <v/>
      </c>
      <c r="D30" s="32" t="str">
        <f t="shared" si="1"/>
        <v/>
      </c>
      <c r="E30" s="32" t="str">
        <f t="shared" si="3"/>
        <v/>
      </c>
    </row>
    <row r="31" spans="1:6">
      <c r="A31" s="21" t="str">
        <f t="shared" si="0"/>
        <v>*</v>
      </c>
      <c r="C31" s="21" t="str">
        <f>IF($A31="*","","Residential - "&amp;Energy_Balance!C40&amp;IF(Energy_Balance!D40="L"," - Low income", IF(Energy_Balance!D40="M"," - Middle income"," - High income")))</f>
        <v/>
      </c>
      <c r="D31" s="32" t="str">
        <f t="shared" si="1"/>
        <v/>
      </c>
      <c r="E31" s="32" t="str">
        <f t="shared" si="3"/>
        <v/>
      </c>
    </row>
    <row r="32" spans="1:6">
      <c r="A32" s="21" t="str">
        <f t="shared" ref="A32" si="4">IF(B32=0,"*","")</f>
        <v>*</v>
      </c>
      <c r="C32" s="21" t="str">
        <f>IF($A32="*","","Residential - "&amp;Energy_Balance!C41&amp;IF(Energy_Balance!D41="L"," - Low income", IF(Energy_Balance!D41="M"," - Middle income"," - High income")))</f>
        <v/>
      </c>
      <c r="D32" s="32" t="str">
        <f t="shared" si="1"/>
        <v/>
      </c>
      <c r="E32" s="32" t="str">
        <f t="shared" si="3"/>
        <v/>
      </c>
    </row>
    <row r="33" spans="1:5">
      <c r="A33" s="21" t="str">
        <f t="shared" si="0"/>
        <v>*</v>
      </c>
      <c r="C33" s="21" t="str">
        <f>IF($A33="*","",RES!#REF!)</f>
        <v/>
      </c>
      <c r="D33" s="32" t="str">
        <f t="shared" si="1"/>
        <v/>
      </c>
      <c r="E33" s="32" t="str">
        <f t="shared" si="3"/>
        <v/>
      </c>
    </row>
    <row r="34" spans="1:5">
      <c r="A34" s="21" t="str">
        <f t="shared" si="0"/>
        <v>*</v>
      </c>
      <c r="C34" s="21" t="str">
        <f>IF($A34="*","",RES!#REF!)</f>
        <v/>
      </c>
      <c r="D34" s="32" t="str">
        <f t="shared" si="1"/>
        <v/>
      </c>
      <c r="E34" s="32" t="str">
        <f t="shared" si="3"/>
        <v/>
      </c>
    </row>
    <row r="35" spans="1:5">
      <c r="A35" s="21" t="str">
        <f t="shared" si="0"/>
        <v>*</v>
      </c>
      <c r="C35" s="21" t="str">
        <f>IF($A35="*","",RES!#REF!)</f>
        <v/>
      </c>
      <c r="D35" s="32" t="str">
        <f t="shared" si="1"/>
        <v/>
      </c>
      <c r="E35" s="32" t="str">
        <f t="shared" si="3"/>
        <v/>
      </c>
    </row>
    <row r="36" spans="1:5">
      <c r="A36" s="21" t="str">
        <f t="shared" si="0"/>
        <v>*</v>
      </c>
      <c r="D36" s="32"/>
      <c r="E36" s="32"/>
    </row>
    <row r="37" spans="1:5">
      <c r="A37" s="21" t="str">
        <f t="shared" si="0"/>
        <v>*</v>
      </c>
      <c r="D37" s="32"/>
      <c r="E37" s="32"/>
    </row>
    <row r="38" spans="1:5">
      <c r="A38" s="21" t="str">
        <f t="shared" si="0"/>
        <v>*</v>
      </c>
      <c r="D38" s="32"/>
      <c r="E38" s="32"/>
    </row>
    <row r="39" spans="1:5">
      <c r="A39" s="21" t="str">
        <f t="shared" si="0"/>
        <v>*</v>
      </c>
      <c r="D39" s="32"/>
      <c r="E39" s="32"/>
    </row>
    <row r="40" spans="1:5">
      <c r="A40" s="21" t="str">
        <f t="shared" si="0"/>
        <v>*</v>
      </c>
      <c r="D40" s="32"/>
      <c r="E40" s="32"/>
    </row>
    <row r="41" spans="1:5">
      <c r="A41" s="21" t="str">
        <f t="shared" si="0"/>
        <v>*</v>
      </c>
      <c r="D41" s="32"/>
      <c r="E41" s="32"/>
    </row>
    <row r="42" spans="1:5">
      <c r="A42" s="21" t="str">
        <f t="shared" si="0"/>
        <v>*</v>
      </c>
      <c r="D42" s="32"/>
      <c r="E42" s="32"/>
    </row>
    <row r="43" spans="1:5">
      <c r="A43" s="21" t="str">
        <f t="shared" si="0"/>
        <v>*</v>
      </c>
      <c r="D43" s="32"/>
      <c r="E43" s="32"/>
    </row>
    <row r="44" spans="1:5">
      <c r="A44" s="21" t="str">
        <f t="shared" si="0"/>
        <v>*</v>
      </c>
      <c r="D44" s="32"/>
      <c r="E44" s="32"/>
    </row>
    <row r="45" spans="1:5">
      <c r="A45" s="21" t="str">
        <f t="shared" si="0"/>
        <v>*</v>
      </c>
      <c r="D45" s="32"/>
      <c r="E45" s="32"/>
    </row>
    <row r="46" spans="1:5">
      <c r="A46" s="21" t="str">
        <f t="shared" si="0"/>
        <v>*</v>
      </c>
      <c r="D46" s="32"/>
      <c r="E46" s="32"/>
    </row>
    <row r="47" spans="1:5">
      <c r="A47" s="21" t="str">
        <f t="shared" si="0"/>
        <v>*</v>
      </c>
      <c r="D47" s="32"/>
      <c r="E47" s="32"/>
    </row>
    <row r="48" spans="1:5">
      <c r="A48" s="21" t="str">
        <f t="shared" si="0"/>
        <v>*</v>
      </c>
      <c r="D48" s="32"/>
      <c r="E48" s="32"/>
    </row>
    <row r="49" spans="1:5">
      <c r="A49" s="21" t="str">
        <f t="shared" si="0"/>
        <v>*</v>
      </c>
      <c r="D49" s="32"/>
      <c r="E49" s="32"/>
    </row>
    <row r="50" spans="1:5">
      <c r="A50" s="21" t="str">
        <f t="shared" ref="A50:A51" si="5">IF(B50=0,"*","")</f>
        <v>*</v>
      </c>
      <c r="D50" s="32"/>
      <c r="E50" s="32"/>
    </row>
    <row r="51" spans="1:5">
      <c r="A51" s="21" t="str">
        <f t="shared" si="5"/>
        <v>*</v>
      </c>
      <c r="D51" s="32"/>
      <c r="E51" s="32"/>
    </row>
  </sheetData>
  <conditionalFormatting sqref="B52:B1048576 B1:B3">
    <cfRule type="duplicateValues" dxfId="1" priority="7" stopIfTrue="1"/>
  </conditionalFormatting>
  <conditionalFormatting sqref="B6:B51">
    <cfRule type="duplicateValues" dxfId="0" priority="5" stopIfTrue="1"/>
  </conditionalFormatting>
  <pageMargins left="0.75" right="0.75" top="1" bottom="1" header="0.5" footer="0.5"/>
  <pageSetup paperSize="9" orientation="portrait" r:id="rId1"/>
  <headerFooter alignWithMargins="0"/>
  <drawing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FC43-933C-474F-802B-FB6C684D6E95}">
  <sheetPr codeName="Sheet32">
    <tabColor theme="9" tint="-0.249977111117893"/>
  </sheetPr>
  <dimension ref="A1:H109"/>
  <sheetViews>
    <sheetView topLeftCell="A2" zoomScale="120" zoomScaleNormal="120" workbookViewId="0">
      <selection activeCell="A8" sqref="A8:XFD8"/>
    </sheetView>
  </sheetViews>
  <sheetFormatPr defaultColWidth="11.46875" defaultRowHeight="10.35"/>
  <cols>
    <col min="1" max="1" width="12.17578125" style="643" customWidth="1"/>
    <col min="2" max="2" width="12" style="643" customWidth="1"/>
    <col min="3" max="3" width="11.46875" style="643" customWidth="1"/>
    <col min="4" max="4" width="7.46875" style="643" customWidth="1"/>
    <col min="5" max="16384" width="11.46875" style="643"/>
  </cols>
  <sheetData>
    <row r="1" spans="1:5">
      <c r="A1" s="649" t="e">
        <f>IF([2]RES!L139,"","TS DATA")</f>
        <v>#REF!</v>
      </c>
      <c r="B1" s="643" t="s">
        <v>1064</v>
      </c>
    </row>
    <row r="2" spans="1:5">
      <c r="A2" s="643" t="s">
        <v>110</v>
      </c>
    </row>
    <row r="3" spans="1:5" ht="15" customHeight="1">
      <c r="A3" s="643" t="s">
        <v>110</v>
      </c>
    </row>
    <row r="4" spans="1:5">
      <c r="A4" s="643" t="s">
        <v>110</v>
      </c>
    </row>
    <row r="5" spans="1:5">
      <c r="A5" s="643" t="s">
        <v>110</v>
      </c>
    </row>
    <row r="6" spans="1:5">
      <c r="C6" s="643" t="s">
        <v>80</v>
      </c>
    </row>
    <row r="7" spans="1:5" ht="22.5" customHeight="1">
      <c r="B7" s="649" t="s">
        <v>1068</v>
      </c>
      <c r="C7" s="649" t="s">
        <v>959</v>
      </c>
      <c r="D7" s="648" t="s">
        <v>1067</v>
      </c>
      <c r="E7" s="643">
        <v>2017</v>
      </c>
    </row>
    <row r="8" spans="1:5">
      <c r="A8" s="643" t="str">
        <f t="shared" ref="A8:A37" si="0">IF(C8=0,"*","")</f>
        <v/>
      </c>
      <c r="B8" s="646" t="s">
        <v>1069</v>
      </c>
      <c r="C8" s="644" t="str">
        <f>RES!D39</f>
        <v>RLEL</v>
      </c>
      <c r="D8" s="645" t="s">
        <v>49</v>
      </c>
      <c r="E8" s="647">
        <f>SUMIF(Lighting!$E$25:$E$35,C8,Lighting!$P$25:$P$35)</f>
        <v>16.798015880277948</v>
      </c>
    </row>
    <row r="9" spans="1:5">
      <c r="A9" s="643" t="str">
        <f t="shared" si="0"/>
        <v/>
      </c>
      <c r="B9" s="646" t="s">
        <v>1069</v>
      </c>
      <c r="C9" s="644" t="s">
        <v>272</v>
      </c>
      <c r="D9" s="645" t="s">
        <v>49</v>
      </c>
      <c r="E9" s="647">
        <f>SUMIF(RES!$D$39:$D$300,C9,RES!$N$39:$N$300)</f>
        <v>3.6541482196776116E-2</v>
      </c>
    </row>
    <row r="10" spans="1:5">
      <c r="A10" s="643" t="str">
        <f t="shared" si="0"/>
        <v/>
      </c>
      <c r="B10" s="646" t="s">
        <v>1069</v>
      </c>
      <c r="C10" s="644" t="s">
        <v>256</v>
      </c>
      <c r="D10" s="645" t="s">
        <v>49</v>
      </c>
      <c r="E10" s="647">
        <f>SUMIF(RES!$D$39:$D$300,C10,RES!$N$39:$N$300)</f>
        <v>12.042560154485418</v>
      </c>
    </row>
    <row r="11" spans="1:5">
      <c r="A11" s="643" t="str">
        <f t="shared" si="0"/>
        <v/>
      </c>
      <c r="B11" s="646" t="s">
        <v>1069</v>
      </c>
      <c r="C11" s="644" t="s">
        <v>257</v>
      </c>
      <c r="D11" s="645" t="s">
        <v>49</v>
      </c>
      <c r="E11" s="647">
        <f>SUMIF(RES!$D$39:$D$300,C11,RES!$N$39:$N$300)</f>
        <v>9.3474142874010937</v>
      </c>
    </row>
    <row r="12" spans="1:5">
      <c r="A12" s="643" t="str">
        <f t="shared" si="0"/>
        <v/>
      </c>
      <c r="B12" s="646" t="s">
        <v>1069</v>
      </c>
      <c r="C12" s="644" t="s">
        <v>590</v>
      </c>
      <c r="D12" s="645" t="s">
        <v>49</v>
      </c>
      <c r="E12" s="647">
        <f>SUMIF(RES!$D$39:$D$300,C12,RES!$N$39:$N$300)</f>
        <v>0</v>
      </c>
    </row>
    <row r="13" spans="1:5">
      <c r="A13" s="643" t="str">
        <f t="shared" si="0"/>
        <v/>
      </c>
      <c r="B13" s="646" t="s">
        <v>1069</v>
      </c>
      <c r="C13" s="644" t="s">
        <v>258</v>
      </c>
      <c r="D13" s="645" t="s">
        <v>49</v>
      </c>
      <c r="E13" s="647">
        <f>SUMIF(RES!$D$39:$D$300,C13,RES!$N$39:$N$300)</f>
        <v>4.7596897762458097</v>
      </c>
    </row>
    <row r="14" spans="1:5">
      <c r="A14" s="643" t="str">
        <f t="shared" si="0"/>
        <v/>
      </c>
      <c r="B14" s="646" t="s">
        <v>1069</v>
      </c>
      <c r="C14" s="644" t="s">
        <v>259</v>
      </c>
      <c r="D14" s="645" t="s">
        <v>49</v>
      </c>
      <c r="E14" s="647">
        <f>SUMIF(RES!$D$39:$D$300,C14,RES!$N$39:$N$300)</f>
        <v>4.2989748368189522</v>
      </c>
    </row>
    <row r="15" spans="1:5">
      <c r="A15" s="643" t="str">
        <f t="shared" si="0"/>
        <v/>
      </c>
      <c r="B15" s="646" t="s">
        <v>1069</v>
      </c>
      <c r="C15" s="644" t="s">
        <v>260</v>
      </c>
      <c r="D15" s="645" t="s">
        <v>49</v>
      </c>
      <c r="E15" s="647">
        <f>SUMIF(RES!$D$39:$D$300,C15,RES!$N$39:$N$300)</f>
        <v>5.8462981862284051</v>
      </c>
    </row>
    <row r="16" spans="1:5">
      <c r="A16" s="643" t="str">
        <f t="shared" si="0"/>
        <v>*</v>
      </c>
      <c r="B16" s="646" t="s">
        <v>1069</v>
      </c>
      <c r="C16" s="644"/>
      <c r="D16" s="645" t="s">
        <v>49</v>
      </c>
      <c r="E16" s="647">
        <f>SUMIF(RES!$D$39:$D$300,C16,RES!$N$39:$N$300)</f>
        <v>0</v>
      </c>
    </row>
    <row r="17" spans="1:5">
      <c r="A17" s="643" t="str">
        <f t="shared" si="0"/>
        <v>*</v>
      </c>
      <c r="B17" s="646" t="s">
        <v>1069</v>
      </c>
      <c r="C17" s="644"/>
      <c r="D17" s="645" t="s">
        <v>49</v>
      </c>
      <c r="E17" s="647">
        <f>SUMIF(RES!$D$39:$D$300,C17,RES!$N$39:$N$300)</f>
        <v>0</v>
      </c>
    </row>
    <row r="18" spans="1:5">
      <c r="A18" s="643" t="str">
        <f t="shared" si="0"/>
        <v>*</v>
      </c>
      <c r="B18" s="646" t="s">
        <v>1069</v>
      </c>
      <c r="C18" s="644"/>
      <c r="D18" s="645" t="s">
        <v>49</v>
      </c>
      <c r="E18" s="647">
        <f>SUMIF(RES!$D$39:$D$300,C18,RES!$N$39:$N$300)</f>
        <v>0</v>
      </c>
    </row>
    <row r="19" spans="1:5">
      <c r="A19" s="643" t="str">
        <f t="shared" si="0"/>
        <v/>
      </c>
      <c r="B19" s="646" t="s">
        <v>1069</v>
      </c>
      <c r="C19" s="644" t="str">
        <f>ITEMS_Comm!B14</f>
        <v>RMEL</v>
      </c>
      <c r="D19" s="645" t="s">
        <v>49</v>
      </c>
      <c r="E19" s="647">
        <f>SUMIF(Lighting!$E$25:$E$35,C19,Lighting!$P$25:$P$35)</f>
        <v>17.575964158792644</v>
      </c>
    </row>
    <row r="20" spans="1:5">
      <c r="A20" s="643" t="str">
        <f t="shared" si="0"/>
        <v/>
      </c>
      <c r="B20" s="646" t="s">
        <v>1069</v>
      </c>
      <c r="C20" s="644" t="str">
        <f>ITEMS_Comm!B15</f>
        <v>RMNL</v>
      </c>
      <c r="D20" s="645" t="s">
        <v>49</v>
      </c>
      <c r="E20" s="647">
        <f>SUMIF(RES!$D$39:$D$300,C20,RES!$N$39:$N$300)</f>
        <v>7.1482186957706251E-2</v>
      </c>
    </row>
    <row r="21" spans="1:5">
      <c r="A21" s="643" t="str">
        <f t="shared" si="0"/>
        <v/>
      </c>
      <c r="B21" s="646" t="s">
        <v>1069</v>
      </c>
      <c r="C21" s="644" t="str">
        <f>ITEMS_Comm!B16</f>
        <v>RMEK</v>
      </c>
      <c r="D21" s="645" t="s">
        <v>49</v>
      </c>
      <c r="E21" s="647">
        <f>SUMIF(RES!$D$39:$D$300,C21,RES!$N$39:$N$300)</f>
        <v>10.675362840304325</v>
      </c>
    </row>
    <row r="22" spans="1:5">
      <c r="A22" s="643" t="str">
        <f t="shared" si="0"/>
        <v/>
      </c>
      <c r="B22" s="646" t="s">
        <v>1069</v>
      </c>
      <c r="C22" s="644" t="str">
        <f>ITEMS_Comm!B17</f>
        <v>RMEH</v>
      </c>
      <c r="D22" s="645" t="s">
        <v>49</v>
      </c>
      <c r="E22" s="647">
        <f>SUMIF(RES!$D$39:$D$300,C22,RES!$N$39:$N$300)</f>
        <v>10.863236563063188</v>
      </c>
    </row>
    <row r="23" spans="1:5">
      <c r="A23" s="643" t="str">
        <f t="shared" si="0"/>
        <v/>
      </c>
      <c r="B23" s="646" t="s">
        <v>1069</v>
      </c>
      <c r="C23" s="644" t="str">
        <f>ITEMS_Comm!B18</f>
        <v>RMEW</v>
      </c>
      <c r="D23" s="645" t="s">
        <v>49</v>
      </c>
      <c r="E23" s="647">
        <f>SUMIF(RES!$D$39:$D$300,C23,RES!$N$39:$N$300)</f>
        <v>5.5209569342783622</v>
      </c>
    </row>
    <row r="24" spans="1:5">
      <c r="A24" s="643" t="str">
        <f t="shared" si="0"/>
        <v/>
      </c>
      <c r="B24" s="646" t="s">
        <v>1069</v>
      </c>
      <c r="C24" s="644" t="str">
        <f>ITEMS_Comm!B19</f>
        <v>RMEWG</v>
      </c>
      <c r="D24" s="645" t="s">
        <v>49</v>
      </c>
      <c r="E24" s="647">
        <f>SUMIF(RES!$D$39:$D$300,C24,RES!$N$39:$N$300)</f>
        <v>9.1306263987937477</v>
      </c>
    </row>
    <row r="25" spans="1:5">
      <c r="A25" s="643" t="str">
        <f t="shared" si="0"/>
        <v/>
      </c>
      <c r="B25" s="646" t="s">
        <v>1069</v>
      </c>
      <c r="C25" s="644" t="str">
        <f>ITEMS_Comm!B20</f>
        <v>RMER</v>
      </c>
      <c r="D25" s="645" t="s">
        <v>49</v>
      </c>
      <c r="E25" s="647">
        <f>SUMIF(RES!$D$39:$D$300,C25,RES!$N$39:$N$300)</f>
        <v>7.1194662826309676</v>
      </c>
    </row>
    <row r="26" spans="1:5">
      <c r="A26" s="643" t="str">
        <f t="shared" si="0"/>
        <v/>
      </c>
      <c r="B26" s="646" t="s">
        <v>1069</v>
      </c>
      <c r="C26" s="644" t="str">
        <f>ITEMS_Comm!B21</f>
        <v>RMEO</v>
      </c>
      <c r="D26" s="645" t="s">
        <v>49</v>
      </c>
      <c r="E26" s="647">
        <f>SUMIF(RES!$D$39:$D$300,C26,RES!$N$39:$N$300)</f>
        <v>10.567931658168156</v>
      </c>
    </row>
    <row r="27" spans="1:5">
      <c r="A27" s="643" t="str">
        <f t="shared" si="0"/>
        <v>*</v>
      </c>
      <c r="B27" s="646" t="s">
        <v>1069</v>
      </c>
      <c r="C27" s="644"/>
      <c r="D27" s="645" t="s">
        <v>49</v>
      </c>
      <c r="E27" s="647">
        <f>SUMIF(RES!$D$39:$D$300,C27,RES!$N$39:$N$300)</f>
        <v>0</v>
      </c>
    </row>
    <row r="28" spans="1:5">
      <c r="A28" s="643" t="str">
        <f t="shared" si="0"/>
        <v>*</v>
      </c>
      <c r="B28" s="646" t="s">
        <v>1069</v>
      </c>
      <c r="C28" s="644"/>
      <c r="D28" s="645" t="s">
        <v>49</v>
      </c>
      <c r="E28" s="647">
        <f>SUMIF(RES!$D$39:$D$300,C28,RES!$N$39:$N$300)</f>
        <v>0</v>
      </c>
    </row>
    <row r="29" spans="1:5">
      <c r="A29" s="643" t="str">
        <f t="shared" si="0"/>
        <v>*</v>
      </c>
      <c r="B29" s="646" t="s">
        <v>1069</v>
      </c>
      <c r="C29" s="644"/>
      <c r="D29" s="645" t="s">
        <v>49</v>
      </c>
      <c r="E29" s="647">
        <f>SUMIF(RES!$D$39:$D$300,C29,RES!$N$39:$N$300)</f>
        <v>0</v>
      </c>
    </row>
    <row r="30" spans="1:5">
      <c r="A30" s="643" t="str">
        <f t="shared" si="0"/>
        <v/>
      </c>
      <c r="B30" s="646" t="s">
        <v>1069</v>
      </c>
      <c r="C30" s="644" t="str">
        <f>ITEMS_Comm!B22</f>
        <v>RHEL</v>
      </c>
      <c r="D30" s="645" t="s">
        <v>49</v>
      </c>
      <c r="E30" s="647">
        <f>SUMIF(Lighting!$E$25:$E$35,C30,Lighting!$P$25:$P$35)</f>
        <v>23.021248438399056</v>
      </c>
    </row>
    <row r="31" spans="1:5">
      <c r="A31" s="643" t="str">
        <f t="shared" si="0"/>
        <v/>
      </c>
      <c r="B31" s="646" t="s">
        <v>1069</v>
      </c>
      <c r="C31" s="644" t="str">
        <f>ITEMS_Comm!B23</f>
        <v>RHEK</v>
      </c>
      <c r="D31" s="645" t="s">
        <v>49</v>
      </c>
      <c r="E31" s="647">
        <f>SUMIF(RES!$D$39:$D$300,C31,RES!$N$39:$N$300)</f>
        <v>8.0513852091822855</v>
      </c>
    </row>
    <row r="32" spans="1:5">
      <c r="A32" s="643" t="str">
        <f t="shared" si="0"/>
        <v/>
      </c>
      <c r="B32" s="646" t="s">
        <v>1069</v>
      </c>
      <c r="C32" s="644" t="str">
        <f>ITEMS_Comm!B24</f>
        <v>RHEH</v>
      </c>
      <c r="D32" s="645" t="s">
        <v>49</v>
      </c>
      <c r="E32" s="647">
        <f>SUMIF(RES!$D$39:$D$300,C32,RES!$N$39:$N$300)</f>
        <v>5.2231317898063496</v>
      </c>
    </row>
    <row r="33" spans="1:8">
      <c r="A33" s="643" t="str">
        <f t="shared" si="0"/>
        <v/>
      </c>
      <c r="B33" s="646" t="s">
        <v>1069</v>
      </c>
      <c r="C33" s="644" t="str">
        <f>ITEMS_Comm!B25</f>
        <v>RHEW</v>
      </c>
      <c r="D33" s="645" t="s">
        <v>49</v>
      </c>
      <c r="E33" s="647">
        <f>SUMIF(RES!$D$39:$D$300,C33,RES!$N$39:$N$300)</f>
        <v>0</v>
      </c>
    </row>
    <row r="34" spans="1:8">
      <c r="A34" s="643" t="str">
        <f t="shared" si="0"/>
        <v/>
      </c>
      <c r="B34" s="646" t="s">
        <v>1069</v>
      </c>
      <c r="C34" s="644" t="str">
        <f>ITEMS_Comm!B26</f>
        <v>RHEWG</v>
      </c>
      <c r="D34" s="645" t="s">
        <v>49</v>
      </c>
      <c r="E34" s="647">
        <f>SUMIF(RES!$D$39:$D$300,C34,RES!$N$39:$N$300)</f>
        <v>208.87709034588522</v>
      </c>
    </row>
    <row r="35" spans="1:8">
      <c r="A35" s="643" t="str">
        <f t="shared" si="0"/>
        <v/>
      </c>
      <c r="B35" s="646" t="s">
        <v>1069</v>
      </c>
      <c r="C35" s="644" t="str">
        <f>ITEMS_Comm!B27</f>
        <v>RHER</v>
      </c>
      <c r="D35" s="645" t="s">
        <v>49</v>
      </c>
      <c r="E35" s="647">
        <f>SUMIF(RES!$D$39:$D$300,C35,RES!$N$39:$N$300)</f>
        <v>9.1228493232049725</v>
      </c>
    </row>
    <row r="36" spans="1:8">
      <c r="A36" s="643" t="str">
        <f t="shared" si="0"/>
        <v/>
      </c>
      <c r="B36" s="646" t="s">
        <v>1069</v>
      </c>
      <c r="C36" s="644" t="str">
        <f>ITEMS_Comm!B28</f>
        <v>RHEO</v>
      </c>
      <c r="D36" s="645" t="s">
        <v>49</v>
      </c>
      <c r="E36" s="647">
        <f>SUMIF(RES!$D$39:$D$300,C36,RES!$N$39:$N$300)</f>
        <v>14.770636079826772</v>
      </c>
    </row>
    <row r="37" spans="1:8">
      <c r="A37" s="643" t="str">
        <f t="shared" si="0"/>
        <v>*</v>
      </c>
      <c r="B37" s="646" t="s">
        <v>1069</v>
      </c>
      <c r="C37" s="644">
        <f>ITEMS_Comm!B29</f>
        <v>0</v>
      </c>
      <c r="D37" s="645" t="s">
        <v>49</v>
      </c>
      <c r="E37" s="647">
        <f>SUMIF(RES!$D$39:$D$300,C37,RES!$N$39:$N$300)</f>
        <v>0</v>
      </c>
    </row>
    <row r="38" spans="1:8">
      <c r="B38" s="646"/>
      <c r="C38" s="644"/>
      <c r="D38" s="645"/>
      <c r="E38" s="647"/>
      <c r="G38" s="647"/>
      <c r="H38" s="647"/>
    </row>
    <row r="39" spans="1:8">
      <c r="B39" s="646"/>
      <c r="C39" s="644"/>
      <c r="D39" s="645"/>
      <c r="E39" s="647"/>
    </row>
    <row r="40" spans="1:8">
      <c r="B40" s="646"/>
      <c r="C40" s="644"/>
      <c r="D40" s="645"/>
      <c r="E40" s="647"/>
    </row>
    <row r="41" spans="1:8">
      <c r="B41" s="646"/>
      <c r="C41" s="644"/>
      <c r="D41" s="645"/>
      <c r="E41" s="647"/>
    </row>
    <row r="42" spans="1:8">
      <c r="B42" s="646"/>
      <c r="C42" s="644"/>
      <c r="D42" s="645"/>
      <c r="E42" s="647"/>
    </row>
    <row r="43" spans="1:8">
      <c r="B43" s="646"/>
      <c r="C43" s="644"/>
      <c r="D43" s="645"/>
      <c r="E43" s="647"/>
    </row>
    <row r="44" spans="1:8">
      <c r="B44" s="646"/>
      <c r="C44" s="644"/>
      <c r="D44" s="645"/>
      <c r="E44" s="647"/>
    </row>
    <row r="45" spans="1:8">
      <c r="B45" s="646"/>
      <c r="C45" s="644"/>
      <c r="D45" s="645"/>
      <c r="E45" s="647"/>
    </row>
    <row r="46" spans="1:8">
      <c r="B46" s="646"/>
      <c r="C46" s="644"/>
      <c r="D46" s="645"/>
      <c r="E46" s="647"/>
    </row>
    <row r="47" spans="1:8">
      <c r="B47" s="646"/>
      <c r="C47" s="644"/>
      <c r="D47" s="645"/>
      <c r="E47" s="647"/>
    </row>
    <row r="48" spans="1:8">
      <c r="B48" s="646"/>
      <c r="C48" s="644"/>
      <c r="D48" s="645"/>
      <c r="E48" s="647"/>
    </row>
    <row r="49" spans="2:5">
      <c r="B49" s="646"/>
      <c r="C49" s="644"/>
      <c r="D49" s="645"/>
      <c r="E49" s="647"/>
    </row>
    <row r="50" spans="2:5">
      <c r="B50" s="646"/>
      <c r="C50" s="644"/>
      <c r="D50" s="645"/>
      <c r="E50" s="647"/>
    </row>
    <row r="51" spans="2:5">
      <c r="B51" s="646"/>
      <c r="C51" s="644"/>
      <c r="D51" s="645"/>
      <c r="E51" s="647"/>
    </row>
    <row r="52" spans="2:5">
      <c r="B52" s="646"/>
      <c r="C52" s="644"/>
      <c r="D52" s="645"/>
      <c r="E52" s="647"/>
    </row>
    <row r="53" spans="2:5">
      <c r="B53" s="646"/>
      <c r="C53" s="644"/>
      <c r="D53" s="645"/>
      <c r="E53" s="647"/>
    </row>
    <row r="54" spans="2:5">
      <c r="B54" s="646"/>
      <c r="C54" s="644"/>
      <c r="D54" s="645"/>
    </row>
    <row r="55" spans="2:5">
      <c r="B55" s="646"/>
      <c r="C55" s="644"/>
      <c r="D55" s="645"/>
    </row>
    <row r="56" spans="2:5">
      <c r="B56" s="646"/>
      <c r="C56" s="644"/>
      <c r="D56" s="645"/>
    </row>
    <row r="57" spans="2:5">
      <c r="B57" s="646"/>
      <c r="C57" s="644"/>
      <c r="D57" s="645"/>
    </row>
    <row r="58" spans="2:5">
      <c r="B58" s="646"/>
      <c r="C58" s="644"/>
      <c r="D58" s="645"/>
    </row>
    <row r="59" spans="2:5">
      <c r="B59" s="646"/>
      <c r="C59" s="644"/>
      <c r="D59" s="645"/>
    </row>
    <row r="60" spans="2:5">
      <c r="C60" s="644"/>
    </row>
    <row r="61" spans="2:5">
      <c r="C61" s="644"/>
    </row>
    <row r="62" spans="2:5">
      <c r="C62" s="644"/>
    </row>
    <row r="63" spans="2:5">
      <c r="C63" s="644"/>
    </row>
    <row r="64" spans="2:5">
      <c r="C64" s="644"/>
    </row>
    <row r="65" spans="3:3">
      <c r="C65" s="644"/>
    </row>
    <row r="66" spans="3:3">
      <c r="C66" s="644"/>
    </row>
    <row r="67" spans="3:3">
      <c r="C67" s="644"/>
    </row>
    <row r="68" spans="3:3">
      <c r="C68" s="644"/>
    </row>
    <row r="69" spans="3:3">
      <c r="C69" s="644"/>
    </row>
    <row r="70" spans="3:3">
      <c r="C70" s="644"/>
    </row>
    <row r="71" spans="3:3">
      <c r="C71" s="644"/>
    </row>
    <row r="72" spans="3:3">
      <c r="C72" s="644"/>
    </row>
    <row r="73" spans="3:3">
      <c r="C73" s="644"/>
    </row>
    <row r="74" spans="3:3">
      <c r="C74" s="644"/>
    </row>
    <row r="75" spans="3:3">
      <c r="C75" s="644"/>
    </row>
    <row r="76" spans="3:3">
      <c r="C76" s="644"/>
    </row>
    <row r="77" spans="3:3">
      <c r="C77" s="644"/>
    </row>
    <row r="78" spans="3:3">
      <c r="C78" s="644"/>
    </row>
    <row r="79" spans="3:3">
      <c r="C79" s="644"/>
    </row>
    <row r="80" spans="3:3">
      <c r="C80" s="644"/>
    </row>
    <row r="81" spans="3:3">
      <c r="C81" s="644"/>
    </row>
    <row r="82" spans="3:3">
      <c r="C82" s="644"/>
    </row>
    <row r="83" spans="3:3">
      <c r="C83" s="644"/>
    </row>
    <row r="84" spans="3:3">
      <c r="C84" s="644"/>
    </row>
    <row r="85" spans="3:3">
      <c r="C85" s="644"/>
    </row>
    <row r="86" spans="3:3">
      <c r="C86" s="644"/>
    </row>
    <row r="87" spans="3:3">
      <c r="C87" s="644"/>
    </row>
    <row r="88" spans="3:3">
      <c r="C88" s="644"/>
    </row>
    <row r="89" spans="3:3">
      <c r="C89" s="644"/>
    </row>
    <row r="90" spans="3:3">
      <c r="C90" s="644"/>
    </row>
    <row r="91" spans="3:3">
      <c r="C91" s="644"/>
    </row>
    <row r="92" spans="3:3">
      <c r="C92" s="644"/>
    </row>
    <row r="93" spans="3:3">
      <c r="C93" s="644"/>
    </row>
    <row r="94" spans="3:3">
      <c r="C94" s="644"/>
    </row>
    <row r="95" spans="3:3">
      <c r="C95" s="644"/>
    </row>
    <row r="96" spans="3:3">
      <c r="C96" s="644"/>
    </row>
    <row r="97" spans="3:3">
      <c r="C97" s="644"/>
    </row>
    <row r="98" spans="3:3">
      <c r="C98" s="644"/>
    </row>
    <row r="99" spans="3:3">
      <c r="C99" s="644"/>
    </row>
    <row r="100" spans="3:3">
      <c r="C100" s="644"/>
    </row>
    <row r="101" spans="3:3">
      <c r="C101" s="644"/>
    </row>
    <row r="102" spans="3:3">
      <c r="C102" s="644"/>
    </row>
    <row r="103" spans="3:3">
      <c r="C103" s="644"/>
    </row>
    <row r="104" spans="3:3">
      <c r="C104" s="644"/>
    </row>
    <row r="105" spans="3:3">
      <c r="C105" s="644"/>
    </row>
    <row r="106" spans="3:3">
      <c r="C106" s="644"/>
    </row>
    <row r="107" spans="3:3">
      <c r="C107" s="644"/>
    </row>
    <row r="108" spans="3:3">
      <c r="C108" s="644"/>
    </row>
    <row r="109" spans="3:3">
      <c r="C109" s="644"/>
    </row>
  </sheetData>
  <pageMargins left="0.75" right="0.75" top="1" bottom="1" header="0.5" footer="0.5"/>
  <pageSetup paperSize="9" orientation="portrait" horizontalDpi="4294967292" verticalDpi="4294967292"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25"/>
  <dimension ref="A3:AJ43"/>
  <sheetViews>
    <sheetView workbookViewId="0">
      <selection activeCell="O13" sqref="O13"/>
    </sheetView>
  </sheetViews>
  <sheetFormatPr defaultColWidth="8.8203125" defaultRowHeight="12.7"/>
  <cols>
    <col min="1" max="1" width="23.64453125" customWidth="1"/>
  </cols>
  <sheetData>
    <row r="3" spans="1:36">
      <c r="B3" t="s">
        <v>267</v>
      </c>
      <c r="C3" t="s">
        <v>268</v>
      </c>
      <c r="D3" t="s">
        <v>252</v>
      </c>
      <c r="E3" t="s">
        <v>594</v>
      </c>
      <c r="F3" t="s">
        <v>270</v>
      </c>
      <c r="G3" t="s">
        <v>271</v>
      </c>
      <c r="H3" t="s">
        <v>261</v>
      </c>
      <c r="I3" t="s">
        <v>262</v>
      </c>
      <c r="J3" t="s">
        <v>263</v>
      </c>
      <c r="K3" t="s">
        <v>264</v>
      </c>
      <c r="L3" t="s">
        <v>591</v>
      </c>
      <c r="M3" t="s">
        <v>265</v>
      </c>
      <c r="N3" t="s">
        <v>266</v>
      </c>
      <c r="O3" t="s">
        <v>255</v>
      </c>
      <c r="P3" t="s">
        <v>256</v>
      </c>
      <c r="Q3" t="s">
        <v>257</v>
      </c>
      <c r="R3" t="s">
        <v>258</v>
      </c>
      <c r="S3" t="s">
        <v>590</v>
      </c>
      <c r="T3" t="s">
        <v>259</v>
      </c>
      <c r="U3" t="s">
        <v>260</v>
      </c>
      <c r="V3" s="1" t="s">
        <v>272</v>
      </c>
      <c r="W3" s="1" t="s">
        <v>273</v>
      </c>
      <c r="X3" s="1" t="s">
        <v>288</v>
      </c>
      <c r="Y3" s="1" t="s">
        <v>285</v>
      </c>
      <c r="Z3" s="1" t="s">
        <v>290</v>
      </c>
      <c r="AA3" s="1" t="s">
        <v>284</v>
      </c>
      <c r="AB3" s="1" t="s">
        <v>287</v>
      </c>
      <c r="AC3" s="1" t="s">
        <v>289</v>
      </c>
      <c r="AD3" s="1" t="s">
        <v>286</v>
      </c>
      <c r="AE3" s="1" t="s">
        <v>291</v>
      </c>
      <c r="AF3" s="1" t="s">
        <v>302</v>
      </c>
      <c r="AG3" s="1" t="s">
        <v>301</v>
      </c>
      <c r="AH3" s="1" t="s">
        <v>300</v>
      </c>
      <c r="AI3" s="1" t="s">
        <v>304</v>
      </c>
      <c r="AJ3" s="1" t="s">
        <v>303</v>
      </c>
    </row>
    <row r="4" spans="1:36">
      <c r="A4">
        <v>1</v>
      </c>
      <c r="B4" s="19">
        <f>IF(Index!$B$1,AFA!B8,AFA!B7)</f>
        <v>0.38019999999999998</v>
      </c>
      <c r="C4" s="19">
        <f>IF(Index!$B$1,AFA!C8,AFA!C7)</f>
        <v>0.55130000000000001</v>
      </c>
      <c r="D4" s="19">
        <f>IF(Index!$B$1,AFA!D8,AFA!D7)</f>
        <v>0.20419999999999999</v>
      </c>
      <c r="E4" s="19">
        <f>IF(Index!$B$1,AFA!E8,AFA!E7)</f>
        <v>0.53290000000000004</v>
      </c>
      <c r="F4" s="19">
        <f>IF(Index!$B$1,AFA!F8,AFA!F7)</f>
        <v>0.79210000000000003</v>
      </c>
      <c r="G4" s="19">
        <f>IF(Index!$B$1,AFA!G8,AFA!G7)</f>
        <v>0.54900000000000004</v>
      </c>
      <c r="H4" s="19">
        <f>IF(Index!$B$1,AFA!H8,AFA!H7)</f>
        <v>0.34810000000000002</v>
      </c>
      <c r="I4" s="19">
        <f>IF(Index!$B$1,AFA!I8,AFA!I7)</f>
        <v>0.60209999999999997</v>
      </c>
      <c r="J4" s="19">
        <f>IF(Index!$B$1,AFA!J8,AFA!J7)</f>
        <v>0.31740000000000002</v>
      </c>
      <c r="K4" s="19">
        <f>IF(Index!$B$1,AFA!K8,AFA!K7)</f>
        <v>0.58199999999999996</v>
      </c>
      <c r="L4" s="19">
        <f>IF(Index!$B$1,AFA!L8,AFA!L7)</f>
        <v>0.58199999999999996</v>
      </c>
      <c r="M4" s="19">
        <f>IF(Index!$B$1,AFA!M8,AFA!M7)</f>
        <v>0.79210000000000003</v>
      </c>
      <c r="N4" s="19">
        <f>IF(Index!$B$1,AFA!N8,AFA!N7)</f>
        <v>0.38840000000000002</v>
      </c>
      <c r="O4" s="19">
        <f>IF(Index!$B$1,AFA!O8,AFA!O7)</f>
        <v>0.34810000000000002</v>
      </c>
      <c r="P4" s="19">
        <f>IF(Index!$B$1,AFA!P8,AFA!P7)</f>
        <v>0.60209999999999997</v>
      </c>
      <c r="Q4" s="19">
        <f>IF(Index!$B$1,AFA!Q8,AFA!Q7)</f>
        <v>0.31740000000000002</v>
      </c>
      <c r="R4" s="19">
        <f>IF(Index!$B$1,AFA!R8,AFA!R7)</f>
        <v>0.58199999999999996</v>
      </c>
      <c r="S4" s="19">
        <f>IF(Index!$B$1,AFA!S8,AFA!S7)</f>
        <v>0.58199999999999996</v>
      </c>
      <c r="T4" s="19">
        <f>IF(Index!$B$1,AFA!T8,AFA!T7)</f>
        <v>0.58199999999999996</v>
      </c>
      <c r="U4" s="19">
        <f>IF(Index!$B$1,AFA!U8,AFA!U7)</f>
        <v>0.38840000000000002</v>
      </c>
      <c r="V4" s="19">
        <f>IF(Index!$B$1,AFA!V8,AFA!V7)</f>
        <v>0.79849999999999999</v>
      </c>
      <c r="W4" s="19">
        <f>IF(Index!$B$1,AFA!W8,AFA!W7)</f>
        <v>0.48230000000000001</v>
      </c>
      <c r="X4" s="19">
        <f>IF(Index!$B$1,AFA!X8,AFA!X7)</f>
        <v>0.68689999999999996</v>
      </c>
      <c r="Y4" s="19">
        <f>IF(Index!$B$1,AFA!Y8,AFA!Y7)</f>
        <v>0.55200000000000005</v>
      </c>
      <c r="Z4" s="19">
        <f>IF(Index!$B$1,AFA!Z8,AFA!Z7)</f>
        <v>0.68830000000000002</v>
      </c>
      <c r="AA4" s="19">
        <f>IF(Index!$B$1,AFA!AA8,AFA!AA7)</f>
        <v>0.89129999999999998</v>
      </c>
      <c r="AB4" s="19">
        <f>IF(Index!$B$1,AFA!AB8,AFA!AB7)</f>
        <v>0.5464</v>
      </c>
      <c r="AC4" s="19">
        <f>IF(Index!$B$1,AFA!AC8,AFA!AC7)</f>
        <v>0.89129999999999998</v>
      </c>
      <c r="AD4" s="19">
        <f>IF(Index!$B$1,AFA!AD8,AFA!AD7)</f>
        <v>0.64739999999999998</v>
      </c>
      <c r="AE4" s="19">
        <f>IF(Index!$B$1,AFA!AE8,AFA!AE7)</f>
        <v>0.90290000000000004</v>
      </c>
      <c r="AF4" s="19">
        <f>IF(Index!$B$1,AFA!AF8,AFA!AF7)</f>
        <v>0.90769999999999995</v>
      </c>
      <c r="AG4" s="19">
        <f>IF(Index!$B$1,AFA!AG8,AFA!AG7)</f>
        <v>0.77939999999999998</v>
      </c>
      <c r="AH4" s="19">
        <f>IF(Index!$B$1,AFA!AH8,AFA!AH7)</f>
        <v>0.80359999999999998</v>
      </c>
      <c r="AI4" s="19">
        <f>IF(Index!$B$1,AFA!AI8,AFA!AI7)</f>
        <v>0.73609999999999998</v>
      </c>
      <c r="AJ4" s="19">
        <f>IF(Index!$B$1,AFA!AJ8,AFA!AJ7)</f>
        <v>0.84470000000000001</v>
      </c>
    </row>
    <row r="5" spans="1:36">
      <c r="B5" s="17"/>
      <c r="C5" s="17"/>
      <c r="D5" s="17"/>
      <c r="E5" s="17"/>
      <c r="F5" s="17"/>
      <c r="G5" s="17"/>
      <c r="H5" s="17"/>
      <c r="I5" s="17"/>
      <c r="J5" s="17"/>
      <c r="K5" s="17"/>
      <c r="L5" s="17"/>
      <c r="M5" s="17"/>
      <c r="N5" s="17"/>
      <c r="O5" s="17"/>
      <c r="P5" s="17"/>
      <c r="Q5" s="17"/>
      <c r="R5" s="17"/>
      <c r="S5" s="17"/>
      <c r="T5" s="17"/>
      <c r="U5" s="17"/>
    </row>
    <row r="6" spans="1:36">
      <c r="B6" s="17"/>
      <c r="C6" s="17"/>
      <c r="D6" s="17"/>
      <c r="E6" s="17"/>
      <c r="F6" s="17"/>
      <c r="G6" s="17"/>
      <c r="H6" s="17"/>
      <c r="I6" s="17"/>
      <c r="J6" s="17"/>
      <c r="K6" s="17"/>
      <c r="L6" s="17"/>
      <c r="M6" s="17"/>
      <c r="N6" s="17"/>
      <c r="O6" s="17"/>
      <c r="P6" s="17"/>
      <c r="Q6" s="17"/>
      <c r="R6" s="17"/>
      <c r="S6" s="17"/>
      <c r="T6" s="17"/>
      <c r="U6" s="17"/>
    </row>
    <row r="7" spans="1:36">
      <c r="A7" s="1" t="s">
        <v>399</v>
      </c>
      <c r="B7" s="19">
        <v>0.37090000000000001</v>
      </c>
      <c r="C7" s="19">
        <v>0.52749999999999997</v>
      </c>
      <c r="D7" s="67">
        <v>0.38629999999999998</v>
      </c>
      <c r="E7" s="19">
        <v>0.55710000000000004</v>
      </c>
      <c r="F7" s="19">
        <v>0.77300000000000002</v>
      </c>
      <c r="G7" s="19">
        <v>0.56020000000000003</v>
      </c>
      <c r="H7" s="19">
        <v>0.3397</v>
      </c>
      <c r="I7" s="19">
        <v>0.59909999999999997</v>
      </c>
      <c r="J7" s="19">
        <v>0.30959999999999999</v>
      </c>
      <c r="K7" s="19">
        <v>0.59399999999999997</v>
      </c>
      <c r="L7" s="19">
        <v>0.59399999999999997</v>
      </c>
      <c r="M7" s="19">
        <v>0.77300000000000002</v>
      </c>
      <c r="N7" s="19">
        <v>0.379</v>
      </c>
      <c r="O7" s="19">
        <v>0.3397</v>
      </c>
      <c r="P7" s="19">
        <v>0.59909999999999997</v>
      </c>
      <c r="Q7" s="19">
        <v>0.30959999999999999</v>
      </c>
      <c r="R7" s="19">
        <v>0.59399999999999997</v>
      </c>
      <c r="S7" s="19">
        <v>0.59399999999999997</v>
      </c>
      <c r="T7" s="19">
        <v>0.77300000000000002</v>
      </c>
      <c r="U7" s="19">
        <v>0.379</v>
      </c>
      <c r="V7" s="17">
        <v>1</v>
      </c>
      <c r="W7" s="17">
        <v>1</v>
      </c>
      <c r="X7" s="17">
        <v>1</v>
      </c>
      <c r="Y7" s="17">
        <v>1</v>
      </c>
      <c r="Z7" s="17">
        <v>1</v>
      </c>
      <c r="AA7" s="17">
        <v>1</v>
      </c>
      <c r="AB7" s="17">
        <v>1</v>
      </c>
      <c r="AC7" s="17">
        <v>1</v>
      </c>
      <c r="AD7" s="17">
        <v>1</v>
      </c>
      <c r="AE7" s="17">
        <v>1</v>
      </c>
      <c r="AF7" s="17">
        <v>1</v>
      </c>
      <c r="AG7" s="17">
        <v>1</v>
      </c>
      <c r="AH7" s="17">
        <v>1</v>
      </c>
      <c r="AI7" s="17">
        <v>1</v>
      </c>
      <c r="AJ7" s="17">
        <v>1</v>
      </c>
    </row>
    <row r="8" spans="1:36">
      <c r="A8" s="1" t="s">
        <v>400</v>
      </c>
      <c r="B8" s="378">
        <f>'[13]Load Calibration'!AA$156</f>
        <v>0.38019999999999998</v>
      </c>
      <c r="C8" s="378">
        <f>'[13]Load Calibration'!AB$156</f>
        <v>0.55130000000000001</v>
      </c>
      <c r="D8" s="378">
        <f>'[13]Load Calibration'!AC$156</f>
        <v>0.20419999999999999</v>
      </c>
      <c r="E8" s="378">
        <f>'[13]Load Calibration'!AD$156</f>
        <v>0.53290000000000004</v>
      </c>
      <c r="F8" s="378">
        <f>'[13]Load Calibration'!AE$156</f>
        <v>0.79210000000000003</v>
      </c>
      <c r="G8" s="378">
        <f>'[13]Load Calibration'!AF$156</f>
        <v>0.54900000000000004</v>
      </c>
      <c r="H8" s="378">
        <f>'[13]Load Calibration'!AG$156</f>
        <v>0.34810000000000002</v>
      </c>
      <c r="I8" s="378">
        <f>'[13]Load Calibration'!AH$156</f>
        <v>0.60209999999999997</v>
      </c>
      <c r="J8" s="378">
        <f>'[13]Load Calibration'!AI$156</f>
        <v>0.31740000000000002</v>
      </c>
      <c r="K8" s="378">
        <f>'[13]Load Calibration'!AJ$156</f>
        <v>0.58199999999999996</v>
      </c>
      <c r="L8" s="378">
        <f>'[13]Load Calibration'!AK$156</f>
        <v>0.58199999999999996</v>
      </c>
      <c r="M8" s="378">
        <f>'[13]Load Calibration'!AL$156</f>
        <v>0.79210000000000003</v>
      </c>
      <c r="N8" s="378">
        <f>'[13]Load Calibration'!AM$156</f>
        <v>0.38840000000000002</v>
      </c>
      <c r="O8" s="378">
        <f>'[13]Load Calibration'!AN$156</f>
        <v>0.34810000000000002</v>
      </c>
      <c r="P8" s="378">
        <f>'[13]Load Calibration'!AO$156</f>
        <v>0.60209999999999997</v>
      </c>
      <c r="Q8" s="378">
        <f>'[13]Load Calibration'!AP$156</f>
        <v>0.31740000000000002</v>
      </c>
      <c r="R8" s="378">
        <f>'[13]Load Calibration'!AQ$156</f>
        <v>0.58199999999999996</v>
      </c>
      <c r="S8" s="378">
        <f>'[13]Load Calibration'!AR$156</f>
        <v>0.58199999999999996</v>
      </c>
      <c r="T8" s="378">
        <f>'[13]Load Calibration'!AS$156</f>
        <v>0.58199999999999996</v>
      </c>
      <c r="U8" s="378">
        <f>'[13]Load Calibration'!AT$156</f>
        <v>0.38840000000000002</v>
      </c>
      <c r="V8" s="378">
        <f>'[13]Load Calibration'!AU$156</f>
        <v>0.79849999999999999</v>
      </c>
      <c r="W8" s="378">
        <f>'[13]Load Calibration'!AV$156</f>
        <v>0.48230000000000001</v>
      </c>
      <c r="X8" s="378">
        <f>'[13]Load Calibration'!AW$156</f>
        <v>0.68689999999999996</v>
      </c>
      <c r="Y8" s="378">
        <f>'[13]Load Calibration'!AX$156</f>
        <v>0.55200000000000005</v>
      </c>
      <c r="Z8" s="378">
        <f>'[13]Load Calibration'!AY$156</f>
        <v>0.68830000000000002</v>
      </c>
      <c r="AA8" s="378">
        <f>'[13]Load Calibration'!AZ$156</f>
        <v>0.89129999999999998</v>
      </c>
      <c r="AB8" s="378">
        <f>'[13]Load Calibration'!BA$156</f>
        <v>0.5464</v>
      </c>
      <c r="AC8" s="378">
        <f>'[13]Load Calibration'!BB$156</f>
        <v>0.89129999999999998</v>
      </c>
      <c r="AD8" s="378">
        <f>'[13]Load Calibration'!BC$156</f>
        <v>0.64739999999999998</v>
      </c>
      <c r="AE8" s="378">
        <f>'[13]Load Calibration'!BD$156</f>
        <v>0.90290000000000004</v>
      </c>
      <c r="AF8" s="378">
        <f>'[13]Load Calibration'!BE$156</f>
        <v>0.90769999999999995</v>
      </c>
      <c r="AG8" s="378">
        <f>'[13]Load Calibration'!BF$156</f>
        <v>0.77939999999999998</v>
      </c>
      <c r="AH8" s="378">
        <f>'[13]Load Calibration'!BG$156</f>
        <v>0.80359999999999998</v>
      </c>
      <c r="AI8" s="378">
        <f>'[13]Load Calibration'!BH$156</f>
        <v>0.73609999999999998</v>
      </c>
      <c r="AJ8" s="378">
        <f>'[13]Load Calibration'!BI$156</f>
        <v>0.84470000000000001</v>
      </c>
    </row>
    <row r="9" spans="1:36">
      <c r="B9" s="17"/>
      <c r="C9" s="17"/>
      <c r="D9" s="17"/>
      <c r="E9" s="17"/>
      <c r="F9" s="17"/>
      <c r="G9" s="17"/>
      <c r="H9" s="17"/>
      <c r="I9" s="17"/>
      <c r="J9" s="17"/>
      <c r="K9" s="17"/>
      <c r="L9" s="17"/>
      <c r="M9" s="17"/>
      <c r="N9" s="17"/>
      <c r="O9" s="17"/>
      <c r="P9" s="17"/>
      <c r="Q9" s="17"/>
      <c r="R9" s="17"/>
      <c r="S9" s="17"/>
      <c r="T9" s="17"/>
      <c r="U9" s="17"/>
    </row>
    <row r="10" spans="1:36">
      <c r="B10" s="17"/>
      <c r="C10" s="17"/>
      <c r="D10" s="17"/>
      <c r="E10" s="17"/>
      <c r="F10" s="17"/>
      <c r="G10" s="17"/>
      <c r="H10" s="17"/>
      <c r="I10" s="17"/>
      <c r="J10" s="17"/>
      <c r="K10" s="17"/>
      <c r="L10" s="17"/>
      <c r="M10" s="17"/>
      <c r="N10" s="17"/>
      <c r="O10" s="17"/>
      <c r="P10" s="17"/>
      <c r="Q10" s="17"/>
      <c r="R10" s="17"/>
      <c r="S10" s="17"/>
      <c r="T10" s="17"/>
      <c r="U10" s="17"/>
    </row>
    <row r="11" spans="1:36">
      <c r="B11" s="17"/>
      <c r="C11" s="17"/>
      <c r="D11" s="17"/>
      <c r="E11" s="17"/>
      <c r="F11" s="17"/>
      <c r="G11" s="17"/>
      <c r="H11" s="17"/>
      <c r="I11" s="17"/>
      <c r="J11" s="17"/>
      <c r="K11" s="17"/>
      <c r="L11" s="17"/>
      <c r="M11" s="17"/>
      <c r="N11" s="17"/>
      <c r="O11" s="17"/>
      <c r="P11" s="17"/>
      <c r="Q11" s="17"/>
      <c r="R11" s="17"/>
      <c r="S11" s="17"/>
      <c r="T11" s="17"/>
      <c r="U11" s="17"/>
    </row>
    <row r="12" spans="1:36">
      <c r="B12" s="17"/>
      <c r="C12" s="17"/>
      <c r="D12" s="17"/>
      <c r="E12" s="17"/>
      <c r="F12" s="17"/>
      <c r="G12" s="17"/>
      <c r="H12" s="17"/>
      <c r="I12" s="17"/>
      <c r="J12" s="17"/>
      <c r="K12" s="17"/>
      <c r="L12" s="17"/>
      <c r="M12" s="17"/>
      <c r="N12" s="17"/>
      <c r="O12" s="17"/>
      <c r="P12" s="17"/>
      <c r="Q12" s="17"/>
      <c r="R12" s="17"/>
      <c r="S12" s="17"/>
      <c r="T12" s="17"/>
      <c r="U12" s="17"/>
    </row>
    <row r="13" spans="1:36">
      <c r="B13" s="17"/>
      <c r="C13" s="17"/>
      <c r="D13" s="17"/>
      <c r="E13" s="17"/>
      <c r="F13" s="17"/>
      <c r="G13" s="17"/>
      <c r="H13" s="17"/>
      <c r="I13" s="17"/>
      <c r="J13" s="17"/>
      <c r="K13" s="17"/>
      <c r="L13" s="17"/>
      <c r="M13" s="17"/>
      <c r="N13" s="17"/>
      <c r="O13" s="17"/>
      <c r="P13" s="17"/>
      <c r="Q13" s="17"/>
      <c r="R13" s="17"/>
      <c r="S13" s="17"/>
      <c r="T13" s="17"/>
      <c r="U13" s="17"/>
    </row>
    <row r="14" spans="1:36">
      <c r="B14" s="17"/>
      <c r="C14" s="17"/>
      <c r="D14" s="17"/>
      <c r="E14" s="17"/>
      <c r="F14" s="17"/>
      <c r="G14" s="17"/>
      <c r="H14" s="17"/>
      <c r="I14" s="17"/>
      <c r="J14" s="17"/>
      <c r="K14" s="17"/>
      <c r="L14" s="17"/>
      <c r="M14" s="17"/>
      <c r="N14" s="17"/>
      <c r="O14" s="17"/>
      <c r="P14" s="17"/>
      <c r="Q14" s="17"/>
      <c r="R14" s="17"/>
      <c r="S14" s="17"/>
      <c r="T14" s="17"/>
      <c r="U14" s="17"/>
    </row>
    <row r="15" spans="1:36">
      <c r="B15" s="17"/>
      <c r="C15" s="17"/>
      <c r="D15" s="17"/>
      <c r="E15" s="17"/>
      <c r="F15" s="17"/>
      <c r="G15" s="17"/>
      <c r="H15" s="17"/>
      <c r="I15" s="17"/>
      <c r="J15" s="17"/>
      <c r="K15" s="17"/>
      <c r="L15" s="17"/>
      <c r="M15" s="17"/>
      <c r="N15" s="17"/>
      <c r="O15" s="17"/>
      <c r="P15" s="17"/>
      <c r="Q15" s="17"/>
      <c r="R15" s="17"/>
      <c r="S15" s="17"/>
      <c r="T15" s="17"/>
      <c r="U15" s="17"/>
    </row>
    <row r="16" spans="1:36">
      <c r="B16" s="17"/>
      <c r="C16" s="17"/>
      <c r="D16" s="17"/>
      <c r="E16" s="17"/>
      <c r="F16" s="17"/>
      <c r="G16" s="17"/>
      <c r="H16" s="17"/>
      <c r="I16" s="17"/>
      <c r="J16" s="17"/>
      <c r="K16" s="17"/>
      <c r="L16" s="17"/>
      <c r="M16" s="17"/>
      <c r="N16" s="17"/>
      <c r="O16" s="17"/>
      <c r="P16" s="17"/>
      <c r="Q16" s="17"/>
      <c r="R16" s="17"/>
      <c r="S16" s="17"/>
      <c r="T16" s="17"/>
      <c r="U16" s="17"/>
    </row>
    <row r="17" spans="2:21">
      <c r="B17" s="17"/>
      <c r="C17" s="17"/>
      <c r="D17" s="17"/>
      <c r="E17" s="17"/>
      <c r="F17" s="17"/>
      <c r="G17" s="17"/>
      <c r="H17" s="17"/>
      <c r="I17" s="17"/>
      <c r="J17" s="17"/>
      <c r="K17" s="17"/>
      <c r="L17" s="17"/>
      <c r="M17" s="17"/>
      <c r="N17" s="17"/>
      <c r="O17" s="17"/>
      <c r="P17" s="17"/>
      <c r="Q17" s="17"/>
      <c r="R17" s="17"/>
      <c r="S17" s="17"/>
      <c r="T17" s="17"/>
      <c r="U17" s="17"/>
    </row>
    <row r="18" spans="2:21">
      <c r="B18" s="17"/>
      <c r="C18" s="17"/>
      <c r="D18" s="17"/>
      <c r="E18" s="17"/>
      <c r="F18" s="17"/>
      <c r="G18" s="17"/>
      <c r="H18" s="17"/>
      <c r="I18" s="17"/>
      <c r="J18" s="17"/>
      <c r="K18" s="17"/>
      <c r="L18" s="17"/>
      <c r="M18" s="17"/>
      <c r="N18" s="17"/>
      <c r="O18" s="17"/>
      <c r="P18" s="17"/>
      <c r="Q18" s="17"/>
      <c r="R18" s="17"/>
      <c r="S18" s="17"/>
      <c r="T18" s="17"/>
      <c r="U18" s="17"/>
    </row>
    <row r="19" spans="2:21">
      <c r="B19" s="17"/>
      <c r="C19" s="17"/>
      <c r="D19" s="17"/>
      <c r="E19" s="17"/>
      <c r="F19" s="17"/>
      <c r="G19" s="17"/>
      <c r="H19" s="17"/>
      <c r="I19" s="17"/>
      <c r="J19" s="17"/>
      <c r="K19" s="17"/>
      <c r="L19" s="17"/>
      <c r="M19" s="17"/>
      <c r="N19" s="17"/>
      <c r="O19" s="17"/>
      <c r="P19" s="17"/>
      <c r="Q19" s="17"/>
      <c r="R19" s="17"/>
      <c r="S19" s="17"/>
      <c r="T19" s="17"/>
      <c r="U19" s="17"/>
    </row>
    <row r="20" spans="2:21">
      <c r="B20" s="17"/>
      <c r="C20" s="17"/>
      <c r="D20" s="17"/>
      <c r="E20" s="17"/>
      <c r="F20" s="17"/>
      <c r="G20" s="17"/>
      <c r="H20" s="17"/>
      <c r="I20" s="17"/>
      <c r="J20" s="17"/>
      <c r="K20" s="17"/>
      <c r="L20" s="17"/>
      <c r="M20" s="17"/>
      <c r="N20" s="17"/>
      <c r="O20" s="17"/>
      <c r="P20" s="17"/>
      <c r="Q20" s="17"/>
      <c r="R20" s="17"/>
      <c r="S20" s="17"/>
      <c r="T20" s="17"/>
      <c r="U20" s="17"/>
    </row>
    <row r="21" spans="2:21">
      <c r="B21" s="17"/>
      <c r="C21" s="17"/>
      <c r="D21" s="17"/>
      <c r="E21" s="17"/>
      <c r="F21" s="17"/>
      <c r="G21" s="17"/>
      <c r="H21" s="17"/>
      <c r="I21" s="17"/>
      <c r="J21" s="17"/>
      <c r="K21" s="17"/>
      <c r="L21" s="17"/>
      <c r="M21" s="17"/>
      <c r="N21" s="17"/>
      <c r="O21" s="17"/>
      <c r="P21" s="17"/>
      <c r="Q21" s="17"/>
      <c r="R21" s="17"/>
      <c r="S21" s="17"/>
      <c r="T21" s="17"/>
      <c r="U21" s="17"/>
    </row>
    <row r="22" spans="2:21">
      <c r="B22" s="17"/>
      <c r="C22" s="17"/>
      <c r="D22" s="17"/>
      <c r="E22" s="17"/>
      <c r="F22" s="17"/>
      <c r="G22" s="17"/>
      <c r="H22" s="17"/>
      <c r="I22" s="17"/>
      <c r="J22" s="17"/>
      <c r="K22" s="17"/>
      <c r="L22" s="17"/>
      <c r="M22" s="17"/>
      <c r="N22" s="17"/>
      <c r="O22" s="17"/>
      <c r="P22" s="17"/>
      <c r="Q22" s="17"/>
      <c r="R22" s="17"/>
      <c r="S22" s="17"/>
      <c r="T22" s="17"/>
      <c r="U22" s="17"/>
    </row>
    <row r="23" spans="2:21">
      <c r="B23" s="17"/>
      <c r="C23" s="17"/>
      <c r="D23" s="17"/>
      <c r="E23" s="17"/>
      <c r="F23" s="17"/>
      <c r="G23" s="17"/>
      <c r="H23" s="17"/>
      <c r="I23" s="17"/>
      <c r="J23" s="17"/>
      <c r="K23" s="17"/>
      <c r="L23" s="17"/>
      <c r="M23" s="17"/>
      <c r="N23" s="17"/>
      <c r="O23" s="17"/>
      <c r="P23" s="17"/>
      <c r="Q23" s="17"/>
      <c r="R23" s="17"/>
      <c r="S23" s="17"/>
      <c r="T23" s="17"/>
      <c r="U23" s="17"/>
    </row>
    <row r="24" spans="2:21">
      <c r="B24" s="17"/>
      <c r="C24" s="17"/>
      <c r="D24" s="17"/>
      <c r="E24" s="17"/>
      <c r="F24" s="17"/>
      <c r="G24" s="17"/>
      <c r="H24" s="17"/>
      <c r="I24" s="17"/>
      <c r="J24" s="17"/>
      <c r="K24" s="17"/>
      <c r="L24" s="17"/>
      <c r="M24" s="17"/>
      <c r="N24" s="17"/>
      <c r="O24" s="17"/>
      <c r="P24" s="17"/>
      <c r="Q24" s="17"/>
      <c r="R24" s="17"/>
      <c r="S24" s="17"/>
      <c r="T24" s="17"/>
      <c r="U24" s="17"/>
    </row>
    <row r="25" spans="2:21">
      <c r="B25" s="17"/>
      <c r="C25" s="17"/>
      <c r="D25" s="17"/>
      <c r="E25" s="17"/>
      <c r="F25" s="17"/>
      <c r="G25" s="17"/>
      <c r="H25" s="17"/>
      <c r="I25" s="17"/>
      <c r="J25" s="17"/>
      <c r="K25" s="17"/>
      <c r="L25" s="17"/>
      <c r="M25" s="17"/>
      <c r="N25" s="17"/>
      <c r="O25" s="17"/>
      <c r="P25" s="17"/>
      <c r="Q25" s="17"/>
      <c r="R25" s="17"/>
      <c r="S25" s="17"/>
      <c r="T25" s="17"/>
      <c r="U25" s="17"/>
    </row>
    <row r="26" spans="2:21">
      <c r="B26" s="17"/>
      <c r="C26" s="17"/>
      <c r="D26" s="17"/>
      <c r="E26" s="17"/>
      <c r="F26" s="17"/>
      <c r="G26" s="17"/>
      <c r="H26" s="17"/>
      <c r="I26" s="17"/>
      <c r="J26" s="17"/>
      <c r="K26" s="17"/>
      <c r="L26" s="17"/>
      <c r="M26" s="17"/>
      <c r="N26" s="17"/>
      <c r="O26" s="17"/>
      <c r="P26" s="17"/>
      <c r="Q26" s="17"/>
      <c r="R26" s="17"/>
      <c r="S26" s="17"/>
      <c r="T26" s="17"/>
      <c r="U26" s="17"/>
    </row>
    <row r="27" spans="2:21">
      <c r="B27" s="17"/>
      <c r="C27" s="17"/>
      <c r="D27" s="17"/>
      <c r="E27" s="17"/>
      <c r="F27" s="17"/>
      <c r="G27" s="17"/>
      <c r="H27" s="17"/>
      <c r="I27" s="17"/>
      <c r="J27" s="17"/>
      <c r="K27" s="17"/>
      <c r="L27" s="17"/>
      <c r="M27" s="17"/>
      <c r="N27" s="17"/>
      <c r="O27" s="17"/>
      <c r="P27" s="17"/>
      <c r="Q27" s="17"/>
      <c r="R27" s="17"/>
      <c r="S27" s="17"/>
      <c r="T27" s="17"/>
      <c r="U27" s="17"/>
    </row>
    <row r="28" spans="2:21">
      <c r="B28" s="17"/>
      <c r="C28" s="17"/>
      <c r="D28" s="17"/>
      <c r="E28" s="17"/>
      <c r="F28" s="17"/>
      <c r="G28" s="17"/>
      <c r="H28" s="17"/>
      <c r="I28" s="17"/>
      <c r="J28" s="17"/>
      <c r="K28" s="17"/>
      <c r="L28" s="17"/>
      <c r="M28" s="17"/>
      <c r="N28" s="17"/>
      <c r="O28" s="17"/>
      <c r="P28" s="17"/>
      <c r="Q28" s="17"/>
      <c r="R28" s="17"/>
      <c r="S28" s="17"/>
      <c r="T28" s="17"/>
      <c r="U28" s="17"/>
    </row>
    <row r="29" spans="2:21">
      <c r="B29" s="17"/>
      <c r="C29" s="17"/>
      <c r="D29" s="17"/>
      <c r="E29" s="17"/>
      <c r="F29" s="17"/>
      <c r="G29" s="17"/>
      <c r="H29" s="17"/>
      <c r="I29" s="17"/>
      <c r="J29" s="17"/>
      <c r="K29" s="17"/>
      <c r="L29" s="17"/>
      <c r="M29" s="17"/>
      <c r="N29" s="17"/>
      <c r="O29" s="17"/>
      <c r="P29" s="17"/>
      <c r="Q29" s="17"/>
      <c r="R29" s="17"/>
      <c r="S29" s="17"/>
      <c r="T29" s="17"/>
      <c r="U29" s="17"/>
    </row>
    <row r="30" spans="2:21">
      <c r="B30" s="17"/>
      <c r="C30" s="17"/>
      <c r="D30" s="17"/>
      <c r="E30" s="17"/>
      <c r="F30" s="17"/>
      <c r="G30" s="17"/>
      <c r="H30" s="17"/>
      <c r="I30" s="17"/>
      <c r="J30" s="17"/>
      <c r="K30" s="17"/>
      <c r="L30" s="17"/>
      <c r="M30" s="17"/>
      <c r="N30" s="17"/>
      <c r="O30" s="17"/>
      <c r="P30" s="17"/>
      <c r="Q30" s="17"/>
      <c r="R30" s="17"/>
      <c r="S30" s="17"/>
      <c r="T30" s="17"/>
      <c r="U30" s="17"/>
    </row>
    <row r="31" spans="2:21">
      <c r="B31" s="17"/>
      <c r="C31" s="17"/>
      <c r="D31" s="17"/>
      <c r="E31" s="17"/>
      <c r="F31" s="17"/>
      <c r="G31" s="17"/>
      <c r="H31" s="17"/>
      <c r="I31" s="17"/>
      <c r="J31" s="17"/>
      <c r="K31" s="17"/>
      <c r="L31" s="17"/>
      <c r="M31" s="17"/>
      <c r="N31" s="17"/>
      <c r="O31" s="17"/>
      <c r="P31" s="17"/>
      <c r="Q31" s="17"/>
      <c r="R31" s="17"/>
      <c r="S31" s="17"/>
      <c r="T31" s="17"/>
      <c r="U31" s="17"/>
    </row>
    <row r="32" spans="2:21">
      <c r="B32" s="17"/>
      <c r="C32" s="17"/>
      <c r="D32" s="17"/>
      <c r="E32" s="17"/>
      <c r="F32" s="17"/>
      <c r="G32" s="17"/>
      <c r="H32" s="17"/>
      <c r="I32" s="17"/>
      <c r="J32" s="17"/>
      <c r="K32" s="17"/>
      <c r="L32" s="17"/>
      <c r="M32" s="17"/>
      <c r="N32" s="17"/>
      <c r="O32" s="17"/>
      <c r="P32" s="17"/>
      <c r="Q32" s="17"/>
      <c r="R32" s="17"/>
      <c r="S32" s="17"/>
      <c r="T32" s="17"/>
      <c r="U32" s="17"/>
    </row>
    <row r="33" spans="2:21">
      <c r="B33" s="17"/>
      <c r="C33" s="17"/>
      <c r="D33" s="17"/>
      <c r="E33" s="17"/>
      <c r="F33" s="17"/>
      <c r="G33" s="17"/>
      <c r="H33" s="17"/>
      <c r="I33" s="17"/>
      <c r="J33" s="17"/>
      <c r="K33" s="17"/>
      <c r="L33" s="17"/>
      <c r="M33" s="17"/>
      <c r="N33" s="17"/>
      <c r="O33" s="17"/>
      <c r="P33" s="17"/>
      <c r="Q33" s="17"/>
      <c r="R33" s="17"/>
      <c r="S33" s="17"/>
      <c r="T33" s="17"/>
      <c r="U33" s="17"/>
    </row>
    <row r="34" spans="2:21">
      <c r="B34" s="17"/>
      <c r="C34" s="17"/>
      <c r="D34" s="17"/>
      <c r="E34" s="17"/>
      <c r="F34" s="17"/>
      <c r="G34" s="17"/>
      <c r="H34" s="17"/>
      <c r="I34" s="17"/>
      <c r="J34" s="17"/>
      <c r="K34" s="17"/>
      <c r="L34" s="17"/>
      <c r="M34" s="17"/>
      <c r="N34" s="17"/>
      <c r="O34" s="17"/>
      <c r="P34" s="17"/>
      <c r="Q34" s="17"/>
      <c r="R34" s="17"/>
      <c r="S34" s="17"/>
      <c r="T34" s="17"/>
      <c r="U34" s="17"/>
    </row>
    <row r="35" spans="2:21">
      <c r="B35" s="17"/>
      <c r="C35" s="17"/>
      <c r="D35" s="17"/>
      <c r="E35" s="17"/>
      <c r="F35" s="17"/>
      <c r="G35" s="17"/>
      <c r="H35" s="17"/>
      <c r="I35" s="17"/>
      <c r="J35" s="17"/>
      <c r="K35" s="17"/>
      <c r="L35" s="17"/>
      <c r="M35" s="17"/>
      <c r="N35" s="17"/>
      <c r="O35" s="17"/>
      <c r="P35" s="17"/>
      <c r="Q35" s="17"/>
      <c r="R35" s="17"/>
      <c r="S35" s="17"/>
      <c r="T35" s="17"/>
      <c r="U35" s="17"/>
    </row>
    <row r="36" spans="2:21">
      <c r="B36" s="17"/>
      <c r="C36" s="17"/>
      <c r="D36" s="17"/>
      <c r="E36" s="17"/>
      <c r="F36" s="17"/>
      <c r="G36" s="17"/>
      <c r="H36" s="17"/>
      <c r="I36" s="17"/>
      <c r="J36" s="17"/>
      <c r="K36" s="17"/>
      <c r="L36" s="17"/>
      <c r="M36" s="17"/>
      <c r="N36" s="17"/>
      <c r="O36" s="17"/>
      <c r="P36" s="17"/>
      <c r="Q36" s="17"/>
      <c r="R36" s="17"/>
      <c r="S36" s="17"/>
      <c r="T36" s="17"/>
      <c r="U36" s="17"/>
    </row>
    <row r="37" spans="2:21">
      <c r="B37" s="17"/>
      <c r="C37" s="17"/>
      <c r="D37" s="17"/>
      <c r="E37" s="17"/>
      <c r="F37" s="17"/>
      <c r="G37" s="17"/>
      <c r="H37" s="17"/>
      <c r="I37" s="17"/>
      <c r="J37" s="17"/>
      <c r="K37" s="17"/>
      <c r="L37" s="17"/>
      <c r="M37" s="17"/>
      <c r="N37" s="17"/>
      <c r="O37" s="17"/>
      <c r="P37" s="17"/>
      <c r="Q37" s="17"/>
      <c r="R37" s="17"/>
      <c r="S37" s="17"/>
      <c r="T37" s="17"/>
      <c r="U37" s="17"/>
    </row>
    <row r="38" spans="2:21">
      <c r="B38" s="17"/>
      <c r="C38" s="17"/>
      <c r="D38" s="17"/>
      <c r="E38" s="17"/>
      <c r="F38" s="17"/>
      <c r="G38" s="17"/>
      <c r="H38" s="17"/>
      <c r="I38" s="17"/>
      <c r="J38" s="17"/>
      <c r="K38" s="17"/>
      <c r="L38" s="17"/>
      <c r="M38" s="17"/>
      <c r="N38" s="17"/>
      <c r="O38" s="17"/>
      <c r="P38" s="17"/>
      <c r="Q38" s="17"/>
      <c r="R38" s="17"/>
      <c r="S38" s="17"/>
      <c r="T38" s="17"/>
      <c r="U38" s="17"/>
    </row>
    <row r="39" spans="2:21">
      <c r="B39" s="17"/>
      <c r="C39" s="17"/>
      <c r="D39" s="17"/>
      <c r="E39" s="17"/>
      <c r="F39" s="17"/>
      <c r="G39" s="17"/>
      <c r="H39" s="17"/>
      <c r="I39" s="17"/>
      <c r="J39" s="17"/>
      <c r="K39" s="17"/>
      <c r="L39" s="17"/>
      <c r="M39" s="17"/>
      <c r="N39" s="17"/>
      <c r="O39" s="17"/>
      <c r="P39" s="17"/>
      <c r="Q39" s="17"/>
      <c r="R39" s="17"/>
      <c r="S39" s="17"/>
      <c r="T39" s="17"/>
      <c r="U39" s="17"/>
    </row>
    <row r="40" spans="2:21">
      <c r="B40" s="17"/>
      <c r="C40" s="17"/>
      <c r="D40" s="17"/>
      <c r="E40" s="17"/>
      <c r="F40" s="17"/>
      <c r="G40" s="17"/>
      <c r="H40" s="17"/>
      <c r="I40" s="17"/>
      <c r="J40" s="17"/>
      <c r="K40" s="17"/>
      <c r="L40" s="17"/>
      <c r="M40" s="17"/>
      <c r="N40" s="17"/>
      <c r="O40" s="17"/>
      <c r="P40" s="17"/>
      <c r="Q40" s="17"/>
      <c r="R40" s="17"/>
      <c r="S40" s="17"/>
      <c r="T40" s="17"/>
      <c r="U40" s="17"/>
    </row>
    <row r="41" spans="2:21">
      <c r="B41" s="17"/>
      <c r="C41" s="17"/>
      <c r="D41" s="17"/>
      <c r="E41" s="17"/>
      <c r="F41" s="17"/>
      <c r="G41" s="17"/>
      <c r="H41" s="17"/>
      <c r="I41" s="17"/>
      <c r="J41" s="17"/>
      <c r="K41" s="17"/>
      <c r="L41" s="17"/>
      <c r="M41" s="17"/>
      <c r="N41" s="17"/>
      <c r="O41" s="17"/>
      <c r="P41" s="17"/>
      <c r="Q41" s="17"/>
      <c r="R41" s="17"/>
      <c r="S41" s="17"/>
      <c r="T41" s="17"/>
      <c r="U41" s="17"/>
    </row>
    <row r="42" spans="2:21">
      <c r="B42" s="17"/>
      <c r="C42" s="17"/>
      <c r="D42" s="17"/>
      <c r="E42" s="17"/>
      <c r="F42" s="17"/>
      <c r="G42" s="17"/>
      <c r="H42" s="17"/>
      <c r="I42" s="17"/>
      <c r="J42" s="17"/>
      <c r="K42" s="17"/>
      <c r="L42" s="17"/>
      <c r="M42" s="17"/>
      <c r="N42" s="17"/>
      <c r="O42" s="17"/>
      <c r="P42" s="17"/>
      <c r="Q42" s="17"/>
      <c r="R42" s="17"/>
      <c r="S42" s="17"/>
      <c r="T42" s="17"/>
      <c r="U42" s="17"/>
    </row>
    <row r="43" spans="2:21">
      <c r="B43" s="17"/>
      <c r="C43" s="17"/>
      <c r="D43" s="17"/>
      <c r="E43" s="17"/>
      <c r="F43" s="17"/>
      <c r="G43" s="17"/>
      <c r="H43" s="17"/>
      <c r="I43" s="17"/>
      <c r="J43" s="17"/>
      <c r="K43" s="17"/>
      <c r="L43" s="17"/>
      <c r="M43" s="17"/>
      <c r="N43" s="17"/>
      <c r="O43" s="17"/>
      <c r="P43" s="17"/>
      <c r="Q43" s="17"/>
      <c r="R43" s="17"/>
      <c r="S43" s="17"/>
      <c r="T43" s="17"/>
      <c r="U43" s="17"/>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4"/>
  <dimension ref="A2:P94"/>
  <sheetViews>
    <sheetView workbookViewId="0">
      <selection activeCell="O44" sqref="O44"/>
    </sheetView>
  </sheetViews>
  <sheetFormatPr defaultColWidth="11.46875" defaultRowHeight="12.7"/>
  <cols>
    <col min="1" max="1" width="14.46875" customWidth="1"/>
  </cols>
  <sheetData>
    <row r="2" spans="1:4" ht="15.35">
      <c r="A2" s="379" t="s">
        <v>750</v>
      </c>
    </row>
    <row r="4" spans="1:4">
      <c r="A4" t="s">
        <v>751</v>
      </c>
    </row>
    <row r="5" spans="1:4">
      <c r="A5" t="s">
        <v>752</v>
      </c>
    </row>
    <row r="6" spans="1:4">
      <c r="A6" t="s">
        <v>753</v>
      </c>
    </row>
    <row r="7" spans="1:4">
      <c r="A7" t="s">
        <v>754</v>
      </c>
    </row>
    <row r="8" spans="1:4">
      <c r="B8" t="s">
        <v>755</v>
      </c>
    </row>
    <row r="9" spans="1:4">
      <c r="B9" t="s">
        <v>756</v>
      </c>
    </row>
    <row r="10" spans="1:4">
      <c r="B10" t="s">
        <v>757</v>
      </c>
    </row>
    <row r="11" spans="1:4">
      <c r="B11" t="s">
        <v>758</v>
      </c>
    </row>
    <row r="13" spans="1:4">
      <c r="A13" t="s">
        <v>759</v>
      </c>
    </row>
    <row r="15" spans="1:4">
      <c r="B15" s="18">
        <v>2020</v>
      </c>
      <c r="C15" s="18">
        <v>2025</v>
      </c>
      <c r="D15" s="18">
        <v>2030</v>
      </c>
    </row>
    <row r="16" spans="1:4">
      <c r="A16" s="18" t="s">
        <v>760</v>
      </c>
      <c r="B16" s="18">
        <v>304</v>
      </c>
      <c r="C16" s="18">
        <v>351</v>
      </c>
      <c r="D16" s="18">
        <v>405</v>
      </c>
    </row>
    <row r="18" spans="1:9" ht="15.35">
      <c r="A18" s="379" t="s">
        <v>761</v>
      </c>
    </row>
    <row r="19" spans="1:9">
      <c r="B19" t="s">
        <v>31</v>
      </c>
      <c r="C19" t="s">
        <v>30</v>
      </c>
      <c r="D19" t="s">
        <v>29</v>
      </c>
      <c r="G19" t="s">
        <v>439</v>
      </c>
    </row>
    <row r="20" spans="1:9">
      <c r="A20" s="321" t="s">
        <v>65</v>
      </c>
      <c r="B20" s="321" t="s">
        <v>420</v>
      </c>
      <c r="C20" s="321" t="s">
        <v>420</v>
      </c>
      <c r="D20" s="321"/>
      <c r="E20" s="321" t="s">
        <v>440</v>
      </c>
      <c r="H20" t="s">
        <v>656</v>
      </c>
    </row>
    <row r="21" spans="1:9">
      <c r="A21" t="s">
        <v>11</v>
      </c>
      <c r="E21" t="s">
        <v>441</v>
      </c>
      <c r="H21" t="s">
        <v>655</v>
      </c>
    </row>
    <row r="22" spans="1:9">
      <c r="A22" t="s">
        <v>442</v>
      </c>
      <c r="E22" t="s">
        <v>443</v>
      </c>
      <c r="H22" t="s">
        <v>655</v>
      </c>
    </row>
    <row r="23" spans="1:9">
      <c r="A23" t="s">
        <v>13</v>
      </c>
      <c r="H23" t="s">
        <v>655</v>
      </c>
    </row>
    <row r="26" spans="1:9">
      <c r="A26" s="315" t="s">
        <v>444</v>
      </c>
      <c r="B26" s="250"/>
      <c r="C26" s="250"/>
      <c r="D26" s="250"/>
      <c r="E26" s="250"/>
      <c r="F26" s="250"/>
      <c r="G26" s="250"/>
      <c r="H26" s="250"/>
      <c r="I26" s="250"/>
    </row>
    <row r="27" spans="1:9">
      <c r="A27" s="250" t="s">
        <v>762</v>
      </c>
      <c r="B27" s="250"/>
      <c r="C27" s="250"/>
      <c r="D27" s="250"/>
      <c r="E27" s="250"/>
      <c r="F27" s="250"/>
      <c r="G27" s="250"/>
      <c r="H27" s="250"/>
      <c r="I27" s="250"/>
    </row>
    <row r="28" spans="1:9">
      <c r="A28" s="250" t="s">
        <v>763</v>
      </c>
      <c r="B28" s="250"/>
      <c r="C28" s="250"/>
      <c r="D28" s="250"/>
      <c r="E28" s="380"/>
      <c r="F28" s="250"/>
      <c r="G28" s="250"/>
      <c r="H28" s="250"/>
      <c r="I28" s="250"/>
    </row>
    <row r="30" spans="1:9">
      <c r="A30" s="381" t="s">
        <v>764</v>
      </c>
      <c r="B30" t="s">
        <v>765</v>
      </c>
    </row>
    <row r="31" spans="1:9">
      <c r="B31" t="s">
        <v>766</v>
      </c>
    </row>
    <row r="32" spans="1:9">
      <c r="B32" t="s">
        <v>767</v>
      </c>
    </row>
    <row r="36" spans="1:16">
      <c r="A36" t="s">
        <v>768</v>
      </c>
      <c r="M36" t="s">
        <v>769</v>
      </c>
    </row>
    <row r="38" spans="1:16">
      <c r="M38" s="18">
        <v>2020</v>
      </c>
      <c r="N38" s="18">
        <v>2025</v>
      </c>
      <c r="O38" s="18">
        <v>2030</v>
      </c>
    </row>
    <row r="39" spans="1:16">
      <c r="M39" s="18">
        <v>7.6</v>
      </c>
      <c r="N39" s="18">
        <v>24</v>
      </c>
      <c r="O39" s="18">
        <v>46.5</v>
      </c>
      <c r="P39" t="s">
        <v>49</v>
      </c>
    </row>
    <row r="40" spans="1:16">
      <c r="M40" s="382">
        <f>M39/B16</f>
        <v>2.4999999999999998E-2</v>
      </c>
      <c r="N40" s="382">
        <f>N39/C16</f>
        <v>6.8376068376068383E-2</v>
      </c>
      <c r="O40" s="382">
        <f>O39/D16</f>
        <v>0.11481481481481481</v>
      </c>
      <c r="P40" t="s">
        <v>52</v>
      </c>
    </row>
    <row r="44" spans="1:16">
      <c r="L44" s="14" t="s">
        <v>41</v>
      </c>
      <c r="M44">
        <f>AVERAGE(11,13,12,6)</f>
        <v>10.5</v>
      </c>
      <c r="N44">
        <f>AVERAGE(11,12,14,6)</f>
        <v>10.75</v>
      </c>
    </row>
    <row r="45" spans="1:16">
      <c r="L45" s="14" t="s">
        <v>41</v>
      </c>
    </row>
    <row r="46" spans="1:16">
      <c r="L46" s="14" t="s">
        <v>41</v>
      </c>
      <c r="N46" s="14" t="s">
        <v>770</v>
      </c>
    </row>
    <row r="47" spans="1:16">
      <c r="L47" s="14" t="s">
        <v>41</v>
      </c>
    </row>
    <row r="48" spans="1:16">
      <c r="L48" s="14" t="s">
        <v>41</v>
      </c>
    </row>
    <row r="49" spans="1:14">
      <c r="L49" s="14" t="s">
        <v>41</v>
      </c>
    </row>
    <row r="50" spans="1:14">
      <c r="L50" s="14" t="s">
        <v>798</v>
      </c>
    </row>
    <row r="51" spans="1:14">
      <c r="L51" s="14"/>
    </row>
    <row r="52" spans="1:14">
      <c r="L52" s="14"/>
    </row>
    <row r="53" spans="1:14">
      <c r="L53" s="14"/>
    </row>
    <row r="54" spans="1:14">
      <c r="L54" s="14"/>
    </row>
    <row r="55" spans="1:14">
      <c r="A55" s="322" t="s">
        <v>445</v>
      </c>
      <c r="B55" s="159"/>
      <c r="C55" s="159"/>
      <c r="D55" s="159"/>
      <c r="E55" s="159"/>
      <c r="F55" s="159"/>
      <c r="G55" s="159"/>
      <c r="H55" s="159"/>
      <c r="L55" s="14"/>
    </row>
    <row r="56" spans="1:14">
      <c r="A56" s="159" t="s">
        <v>771</v>
      </c>
      <c r="B56" s="159"/>
      <c r="C56" s="159"/>
      <c r="D56" s="159"/>
      <c r="E56" s="159"/>
      <c r="F56" s="159"/>
      <c r="G56" s="159"/>
      <c r="H56" s="159"/>
      <c r="L56" s="14"/>
    </row>
    <row r="57" spans="1:14">
      <c r="A57" s="159" t="s">
        <v>772</v>
      </c>
      <c r="B57" s="159"/>
      <c r="C57" s="159"/>
      <c r="D57" s="159"/>
      <c r="E57" s="159"/>
      <c r="F57" s="159"/>
      <c r="G57" s="159"/>
      <c r="H57" s="159"/>
      <c r="N57" s="14" t="s">
        <v>795</v>
      </c>
    </row>
    <row r="58" spans="1:14">
      <c r="A58" s="159" t="s">
        <v>773</v>
      </c>
      <c r="B58" s="159"/>
      <c r="C58" s="159"/>
      <c r="D58" s="159"/>
      <c r="E58" s="383"/>
      <c r="F58" s="159"/>
      <c r="G58" s="159"/>
      <c r="H58" s="159"/>
    </row>
    <row r="60" spans="1:14">
      <c r="A60" s="381" t="s">
        <v>764</v>
      </c>
      <c r="B60" t="s">
        <v>774</v>
      </c>
    </row>
    <row r="61" spans="1:14">
      <c r="B61" t="s">
        <v>775</v>
      </c>
    </row>
    <row r="62" spans="1:14">
      <c r="B62" t="s">
        <v>776</v>
      </c>
    </row>
    <row r="63" spans="1:14">
      <c r="B63" t="s">
        <v>777</v>
      </c>
    </row>
    <row r="64" spans="1:14">
      <c r="B64" t="s">
        <v>778</v>
      </c>
    </row>
    <row r="65" spans="1:14">
      <c r="B65" t="s">
        <v>779</v>
      </c>
    </row>
    <row r="66" spans="1:14">
      <c r="B66" t="s">
        <v>780</v>
      </c>
    </row>
    <row r="68" spans="1:14">
      <c r="N68" s="14" t="s">
        <v>796</v>
      </c>
    </row>
    <row r="69" spans="1:14">
      <c r="B69" t="s">
        <v>781</v>
      </c>
    </row>
    <row r="70" spans="1:14">
      <c r="B70" t="s">
        <v>782</v>
      </c>
    </row>
    <row r="71" spans="1:14">
      <c r="B71" t="s">
        <v>783</v>
      </c>
    </row>
    <row r="73" spans="1:14">
      <c r="B73" t="s">
        <v>784</v>
      </c>
    </row>
    <row r="74" spans="1:14">
      <c r="B74" t="s">
        <v>785</v>
      </c>
    </row>
    <row r="75" spans="1:14">
      <c r="N75" s="14" t="s">
        <v>797</v>
      </c>
    </row>
    <row r="77" spans="1:14">
      <c r="A77" s="384" t="s">
        <v>786</v>
      </c>
    </row>
    <row r="79" spans="1:14">
      <c r="B79" t="s">
        <v>787</v>
      </c>
    </row>
    <row r="80" spans="1:14">
      <c r="I80" s="386" t="s">
        <v>49</v>
      </c>
    </row>
    <row r="81" spans="1:9">
      <c r="B81" s="671" t="s">
        <v>788</v>
      </c>
      <c r="C81" s="671"/>
      <c r="D81" s="671"/>
      <c r="E81" s="671"/>
      <c r="F81" s="671"/>
      <c r="G81" s="671"/>
      <c r="H81" s="385">
        <v>0.115</v>
      </c>
      <c r="I81" s="111">
        <f>H81*$D$16</f>
        <v>46.575000000000003</v>
      </c>
    </row>
    <row r="82" spans="1:9">
      <c r="B82" s="671" t="s">
        <v>789</v>
      </c>
      <c r="C82" s="671"/>
      <c r="D82" s="671"/>
      <c r="E82" s="671"/>
      <c r="F82" s="671"/>
      <c r="G82" s="671"/>
      <c r="H82" s="385">
        <v>4.5999999999999999E-2</v>
      </c>
      <c r="I82" s="111">
        <f t="shared" ref="I82:I85" si="0">H82*$D$16</f>
        <v>18.63</v>
      </c>
    </row>
    <row r="83" spans="1:9">
      <c r="B83" s="671" t="s">
        <v>790</v>
      </c>
      <c r="C83" s="671"/>
      <c r="D83" s="671"/>
      <c r="E83" s="671"/>
      <c r="F83" s="671"/>
      <c r="G83" s="671"/>
      <c r="H83" s="385">
        <v>0.03</v>
      </c>
      <c r="I83" s="111">
        <f t="shared" si="0"/>
        <v>12.15</v>
      </c>
    </row>
    <row r="84" spans="1:9">
      <c r="B84" s="671" t="s">
        <v>791</v>
      </c>
      <c r="C84" s="671"/>
      <c r="D84" s="671"/>
      <c r="E84" s="671"/>
      <c r="F84" s="671"/>
      <c r="G84" s="671"/>
      <c r="H84" s="385">
        <v>0.1</v>
      </c>
      <c r="I84" s="111">
        <f t="shared" si="0"/>
        <v>40.5</v>
      </c>
    </row>
    <row r="85" spans="1:9">
      <c r="B85" s="671" t="s">
        <v>792</v>
      </c>
      <c r="C85" s="671"/>
      <c r="D85" s="671"/>
      <c r="E85" s="671"/>
      <c r="F85" s="671"/>
      <c r="G85" s="671"/>
      <c r="H85" s="385">
        <v>0.04</v>
      </c>
      <c r="I85" s="111">
        <f t="shared" si="0"/>
        <v>16.2</v>
      </c>
    </row>
    <row r="87" spans="1:9">
      <c r="B87" s="5" t="s">
        <v>793</v>
      </c>
      <c r="C87" s="5"/>
      <c r="D87" s="24">
        <f>SUM(H81:H85)*D16</f>
        <v>134.05500000000001</v>
      </c>
      <c r="E87" s="5" t="s">
        <v>49</v>
      </c>
    </row>
    <row r="89" spans="1:9">
      <c r="E89" s="14"/>
    </row>
    <row r="90" spans="1:9">
      <c r="A90" s="249" t="s">
        <v>446</v>
      </c>
      <c r="B90" s="192"/>
      <c r="C90" s="192"/>
      <c r="E90" s="14"/>
    </row>
    <row r="91" spans="1:9">
      <c r="A91" s="192" t="s">
        <v>447</v>
      </c>
      <c r="B91" s="192"/>
      <c r="C91" s="192"/>
    </row>
    <row r="94" spans="1:9">
      <c r="B94" t="s">
        <v>794</v>
      </c>
    </row>
  </sheetData>
  <mergeCells count="5">
    <mergeCell ref="B81:G81"/>
    <mergeCell ref="B82:G82"/>
    <mergeCell ref="B83:G83"/>
    <mergeCell ref="B84:G84"/>
    <mergeCell ref="B85:G85"/>
  </mergeCells>
  <pageMargins left="0.75" right="0.75" top="1" bottom="1" header="0.5" footer="0.5"/>
  <pageSetup paperSize="9" orientation="portrait" horizontalDpi="4294967292" verticalDpi="4294967292"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KutoolsforExcel</vt:lpstr>
      <vt:lpstr>Index</vt:lpstr>
      <vt:lpstr>References</vt:lpstr>
      <vt:lpstr>Log of Changes</vt:lpstr>
      <vt:lpstr>conversion factors</vt:lpstr>
      <vt:lpstr>access to services</vt:lpstr>
      <vt:lpstr>Fridges</vt:lpstr>
      <vt:lpstr>Lighting</vt:lpstr>
      <vt:lpstr>Electrical efficiency</vt:lpstr>
      <vt:lpstr>Census 2011_17</vt:lpstr>
      <vt:lpstr>2017 end use splits</vt:lpstr>
      <vt:lpstr>Energy_Balance</vt:lpstr>
      <vt:lpstr>RES</vt:lpstr>
      <vt:lpstr>ITEMS_Tech</vt:lpstr>
      <vt:lpstr>ITEMS_Comm</vt:lpstr>
      <vt:lpstr>TS BYDem</vt:lpstr>
      <vt:lpstr>AFA</vt:lpstr>
      <vt:lpstr>Scenarios</vt:lpstr>
    </vt:vector>
  </TitlesOfParts>
  <Company>University of Cape Town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Merven</dc:creator>
  <dc:description>2012EB</dc:description>
  <cp:lastModifiedBy>alison</cp:lastModifiedBy>
  <dcterms:created xsi:type="dcterms:W3CDTF">2011-08-29T12:07:49Z</dcterms:created>
  <dcterms:modified xsi:type="dcterms:W3CDTF">2023-08-17T18:48:38Z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176263153553009</vt:r8>
  </property>
</Properties>
</file>