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3.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4.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Models\SATIMGE_Veda\"/>
    </mc:Choice>
  </mc:AlternateContent>
  <xr:revisionPtr revIDLastSave="0" documentId="13_ncr:1_{EA2C0278-8CE8-4812-8E0E-554FCAEA4B54}" xr6:coauthVersionLast="47" xr6:coauthVersionMax="47" xr10:uidLastSave="{00000000-0000-0000-0000-000000000000}"/>
  <bookViews>
    <workbookView xWindow="-120" yWindow="-120" windowWidth="38640" windowHeight="21240" tabRatio="818" activeTab="15" xr2:uid="{00000000-000D-0000-FFFF-FFFF00000000}"/>
  </bookViews>
  <sheets>
    <sheet name="About and Log" sheetId="64" r:id="rId1"/>
    <sheet name="SEC_Comm" sheetId="67" r:id="rId2"/>
    <sheet name="SEC_Processes" sheetId="68" r:id="rId3"/>
    <sheet name="Process Input" sheetId="56" r:id="rId4"/>
    <sheet name="RES_Cr" sheetId="52" r:id="rId5"/>
    <sheet name="RES_Mn" sheetId="66" r:id="rId6"/>
    <sheet name="EB_Exist" sheetId="27" r:id="rId7"/>
    <sheet name="ANSv2-692-REGIONS" sheetId="18" state="veryHidden" r:id="rId8"/>
    <sheet name="ANSv2-692-Commodities" sheetId="19" state="veryHidden" r:id="rId9"/>
    <sheet name="Commodities_BASE" sheetId="29" r:id="rId10"/>
    <sheet name="ANSv2-692-Processes" sheetId="20" state="veryHidden" r:id="rId11"/>
    <sheet name="ANSv2-692-Constraints" sheetId="23" state="veryHidden" r:id="rId12"/>
    <sheet name="ANSv2-692-CommData" sheetId="21" state="veryHidden" r:id="rId13"/>
    <sheet name="CommData_BASE" sheetId="30" r:id="rId14"/>
    <sheet name="ANSv2-692-ProcData" sheetId="25" state="veryHidden" r:id="rId15"/>
    <sheet name="Chrome methodology" sheetId="70" r:id="rId16"/>
    <sheet name="Sheet1" sheetId="71" r:id="rId17"/>
    <sheet name="RES of chrome industry with EE" sheetId="65" r:id="rId18"/>
    <sheet name="ANSv2-692-ConstrData" sheetId="24" state="veryHidden" r:id="rId19"/>
    <sheet name="ANSv2-692-ITEMS" sheetId="10" state="veryHidden" r:id="rId20"/>
    <sheet name="ANSv2-692-TS DATA" sheetId="12" state="veryHidden" r:id="rId21"/>
    <sheet name="ANSv2-692-TID DATA" sheetId="13" state="veryHidden" r:id="rId22"/>
    <sheet name="ANSv2-692-TS&amp;TID DATA" sheetId="14" state="veryHidden" r:id="rId23"/>
    <sheet name="ANSv2-692-TS TRADE" sheetId="15" state="veryHidden" r:id="rId24"/>
    <sheet name="ANSv2-692-TID TRADE" sheetId="16" state="veryHidden" r:id="rId25"/>
    <sheet name="ANSv2-692-TS&amp;TID TRADE" sheetId="17" state="veryHidden" r:id="rId26"/>
  </sheets>
  <definedNames>
    <definedName name="FA_PAMS_index">#REF!</definedName>
    <definedName name="FID_1">#REF!</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71" l="1"/>
  <c r="AD22" i="71"/>
  <c r="AE22" i="71"/>
  <c r="AF22" i="71"/>
  <c r="AG22" i="71"/>
  <c r="AH22" i="71"/>
  <c r="P22" i="71"/>
  <c r="Q22" i="71"/>
  <c r="R22" i="71"/>
  <c r="S22" i="71"/>
  <c r="T22" i="71"/>
  <c r="U22" i="71"/>
  <c r="V22" i="71"/>
  <c r="W22" i="71"/>
  <c r="X22" i="71"/>
  <c r="Y22" i="71"/>
  <c r="Z22" i="71"/>
  <c r="AA22" i="71"/>
  <c r="AB22" i="71"/>
  <c r="AC22" i="71"/>
  <c r="O22" i="71"/>
  <c r="B318" i="70"/>
  <c r="P83" i="70"/>
  <c r="S156" i="70"/>
  <c r="S157" i="70"/>
  <c r="S155" i="70"/>
  <c r="C194" i="70"/>
  <c r="J112" i="70"/>
  <c r="S112" i="70" s="1"/>
  <c r="C182" i="70"/>
  <c r="C197" i="70" s="1"/>
  <c r="Q165" i="70"/>
  <c r="C178" i="70"/>
  <c r="C196" i="70" s="1"/>
  <c r="C174" i="70"/>
  <c r="C195" i="70" s="1"/>
  <c r="C8" i="56"/>
  <c r="B8" i="56"/>
  <c r="B1" i="30"/>
  <c r="A2" i="30"/>
  <c r="B8" i="30"/>
  <c r="C8" i="30"/>
  <c r="E8" i="30"/>
  <c r="B9" i="30"/>
  <c r="C9" i="30"/>
  <c r="E9" i="30"/>
  <c r="U215" i="70"/>
  <c r="V215" i="70"/>
  <c r="W215" i="70"/>
  <c r="X215" i="70"/>
  <c r="Y215" i="70"/>
  <c r="Z215" i="70"/>
  <c r="U216" i="70"/>
  <c r="V216" i="70"/>
  <c r="V218" i="70" s="1"/>
  <c r="W216" i="70"/>
  <c r="W218" i="70" s="1"/>
  <c r="X216" i="70"/>
  <c r="X218" i="70" s="1"/>
  <c r="Y216" i="70"/>
  <c r="Z216" i="70"/>
  <c r="U217" i="70"/>
  <c r="V217" i="70"/>
  <c r="W217" i="70"/>
  <c r="X217" i="70"/>
  <c r="Y217" i="70"/>
  <c r="Z217" i="70"/>
  <c r="Z218" i="70"/>
  <c r="T236" i="70"/>
  <c r="T237" i="70"/>
  <c r="T238" i="70"/>
  <c r="C170" i="70"/>
  <c r="T239" i="70" l="1"/>
  <c r="V238" i="70" s="1"/>
  <c r="Y218" i="70"/>
  <c r="U218" i="70"/>
  <c r="L173" i="70"/>
  <c r="L177" i="70" s="1"/>
  <c r="L181" i="70" s="1"/>
  <c r="V236" i="70" l="1"/>
  <c r="V237" i="70"/>
  <c r="J131" i="70"/>
  <c r="D204" i="70"/>
  <c r="D210" i="70"/>
  <c r="J3" i="52"/>
  <c r="J2" i="52"/>
  <c r="E359" i="70" l="1"/>
  <c r="E360" i="70" s="1"/>
  <c r="T161" i="70"/>
  <c r="R157" i="70" s="1"/>
  <c r="R156" i="70"/>
  <c r="N152" i="70"/>
  <c r="T165" i="70" s="1"/>
  <c r="N151" i="70"/>
  <c r="D150" i="70"/>
  <c r="F107" i="70"/>
  <c r="F109" i="70" s="1"/>
  <c r="D99" i="70"/>
  <c r="D110" i="70" s="1"/>
  <c r="D98" i="70"/>
  <c r="D109" i="70" s="1"/>
  <c r="I97" i="70"/>
  <c r="D97" i="70"/>
  <c r="D108" i="70" s="1"/>
  <c r="D96" i="70"/>
  <c r="D107" i="70" s="1"/>
  <c r="D95" i="70"/>
  <c r="D106" i="70" s="1"/>
  <c r="D94" i="70"/>
  <c r="D105" i="70" s="1"/>
  <c r="H93" i="70"/>
  <c r="H112" i="70" s="1"/>
  <c r="D93" i="70"/>
  <c r="D104" i="70" s="1"/>
  <c r="E69" i="70"/>
  <c r="F42" i="70" s="1"/>
  <c r="J68" i="70"/>
  <c r="G86" i="70" s="1"/>
  <c r="I68" i="70"/>
  <c r="G85" i="70" s="1"/>
  <c r="H85" i="70" s="1"/>
  <c r="H68" i="70"/>
  <c r="G84" i="70" s="1"/>
  <c r="H84" i="70" s="1"/>
  <c r="G68" i="70"/>
  <c r="G83" i="70" s="1"/>
  <c r="H83" i="70" s="1"/>
  <c r="F68" i="70"/>
  <c r="E68" i="70"/>
  <c r="G42" i="70" s="1"/>
  <c r="I67" i="70"/>
  <c r="F85" i="70" s="1"/>
  <c r="H67" i="70"/>
  <c r="F84" i="70" s="1"/>
  <c r="G67" i="70"/>
  <c r="F83" i="70" s="1"/>
  <c r="F67" i="70"/>
  <c r="E67" i="70"/>
  <c r="F81" i="70" s="1"/>
  <c r="H44" i="70"/>
  <c r="D44" i="70" s="1"/>
  <c r="F41" i="70"/>
  <c r="H37" i="70"/>
  <c r="F99" i="70" s="1"/>
  <c r="I36" i="70"/>
  <c r="F98" i="70" s="1"/>
  <c r="H34" i="70"/>
  <c r="H149" i="70"/>
  <c r="D149" i="70" s="1"/>
  <c r="H31" i="70"/>
  <c r="F96" i="70" s="1"/>
  <c r="H30" i="70"/>
  <c r="F95" i="70" s="1"/>
  <c r="H28" i="70"/>
  <c r="G28" i="70"/>
  <c r="G94" i="70" s="1"/>
  <c r="G27" i="70"/>
  <c r="G93" i="70" s="1"/>
  <c r="P84" i="70" l="1"/>
  <c r="P85" i="70"/>
  <c r="F94" i="70"/>
  <c r="H41" i="70"/>
  <c r="H156" i="70"/>
  <c r="F178" i="70" s="1"/>
  <c r="J149" i="70"/>
  <c r="I186" i="70" s="1"/>
  <c r="H186" i="70" s="1"/>
  <c r="I177" i="70"/>
  <c r="H177" i="70" s="1"/>
  <c r="H173" i="70" s="1"/>
  <c r="H100" i="70"/>
  <c r="I181" i="70"/>
  <c r="H181" i="70" s="1"/>
  <c r="G41" i="70"/>
  <c r="G43" i="70" s="1"/>
  <c r="G81" i="70"/>
  <c r="F43" i="70"/>
  <c r="H81" i="70"/>
  <c r="H154" i="70" s="1"/>
  <c r="J67" i="70"/>
  <c r="F86" i="70" s="1"/>
  <c r="F87" i="70" s="1"/>
  <c r="N149" i="70"/>
  <c r="U165" i="70" s="1"/>
  <c r="G112" i="70"/>
  <c r="G100" i="70"/>
  <c r="H86" i="70"/>
  <c r="H87" i="70" s="1"/>
  <c r="H122" i="70"/>
  <c r="G87" i="70"/>
  <c r="F97" i="70"/>
  <c r="H123" i="70"/>
  <c r="F108" i="70"/>
  <c r="I41" i="70"/>
  <c r="H42" i="70"/>
  <c r="H121" i="70"/>
  <c r="J156" i="70" l="1"/>
  <c r="G120" i="70"/>
  <c r="H120" i="70"/>
  <c r="F100" i="70"/>
  <c r="F101" i="70" s="1"/>
  <c r="D148" i="70" s="1"/>
  <c r="F150" i="70" s="1"/>
  <c r="J157" i="70"/>
  <c r="J154" i="70"/>
  <c r="F184" i="70" s="1"/>
  <c r="F180" i="70"/>
  <c r="D41" i="70"/>
  <c r="F112" i="70"/>
  <c r="D48" i="70"/>
  <c r="H43" i="70"/>
  <c r="I42" i="70"/>
  <c r="I43" i="70" s="1"/>
  <c r="H155" i="70"/>
  <c r="J155" i="70" s="1"/>
  <c r="G124" i="70"/>
  <c r="G121" i="70"/>
  <c r="G123" i="70"/>
  <c r="G122" i="70"/>
  <c r="H124" i="70"/>
  <c r="E54" i="70" l="1"/>
  <c r="F54" i="70" s="1"/>
  <c r="G54" i="70" s="1"/>
  <c r="H54" i="70" s="1"/>
  <c r="I54" i="70" s="1"/>
  <c r="J54" i="70" s="1"/>
  <c r="K54" i="70" s="1"/>
  <c r="L54" i="70" s="1"/>
  <c r="M54" i="70" s="1"/>
  <c r="H158" i="70"/>
  <c r="F179" i="70"/>
  <c r="F120" i="70"/>
  <c r="I120" i="70" s="1"/>
  <c r="F121" i="70"/>
  <c r="I121" i="70" s="1"/>
  <c r="F124" i="70"/>
  <c r="I124" i="70" s="1"/>
  <c r="F123" i="70"/>
  <c r="I123" i="70" s="1"/>
  <c r="I112" i="70"/>
  <c r="F122" i="70"/>
  <c r="I122" i="70" s="1"/>
  <c r="J129" i="70" s="1"/>
  <c r="D43" i="70"/>
  <c r="D47" i="70" s="1"/>
  <c r="F128" i="70" l="1"/>
  <c r="D155" i="70" s="1"/>
  <c r="F171" i="70" s="1"/>
  <c r="F175" i="70" s="1"/>
  <c r="F127" i="70"/>
  <c r="D154" i="70" s="1"/>
  <c r="F172" i="70" s="1"/>
  <c r="F176" i="70" s="1"/>
  <c r="H160" i="70"/>
  <c r="F185" i="70"/>
  <c r="F183" i="70"/>
  <c r="F182" i="70"/>
  <c r="D45" i="70"/>
  <c r="F129" i="70"/>
  <c r="J158" i="70" l="1"/>
  <c r="D156" i="70"/>
  <c r="J160" i="70" l="1"/>
  <c r="D158" i="70"/>
  <c r="P142" i="70" s="1"/>
  <c r="F170" i="70"/>
  <c r="F174" i="70" s="1"/>
  <c r="L186" i="70" l="1"/>
  <c r="M7" i="56"/>
  <c r="Q11" i="56" l="1"/>
  <c r="H11" i="56"/>
  <c r="B27" i="27"/>
  <c r="A21" i="27"/>
  <c r="A8" i="27"/>
  <c r="R10" i="56"/>
  <c r="R9" i="56"/>
  <c r="R8" i="56"/>
  <c r="R14" i="56"/>
  <c r="C17" i="56" l="1"/>
  <c r="B17" i="56"/>
  <c r="C12" i="56"/>
  <c r="B12" i="56"/>
  <c r="F16" i="56"/>
  <c r="E15" i="56"/>
  <c r="E14" i="56"/>
  <c r="E13" i="56"/>
  <c r="E12" i="56"/>
  <c r="F11" i="56"/>
  <c r="E10" i="56"/>
  <c r="E9" i="56"/>
  <c r="E8" i="56"/>
  <c r="C19" i="30"/>
  <c r="I24" i="27"/>
  <c r="H24" i="27"/>
  <c r="I21" i="27"/>
  <c r="H21" i="27"/>
  <c r="B25" i="27"/>
  <c r="A25" i="27"/>
  <c r="B24" i="27"/>
  <c r="A24" i="27"/>
  <c r="B23" i="27"/>
  <c r="A23" i="27"/>
  <c r="D21" i="27"/>
  <c r="C21" i="27"/>
  <c r="B21" i="27"/>
  <c r="C10" i="29"/>
  <c r="B10" i="29"/>
  <c r="E19" i="30"/>
  <c r="R17" i="56" l="1"/>
  <c r="R13" i="56"/>
  <c r="I11" i="56"/>
  <c r="E17" i="56"/>
  <c r="E18" i="56"/>
  <c r="E19" i="56"/>
  <c r="R19" i="56"/>
  <c r="E20" i="56"/>
  <c r="F21" i="56"/>
  <c r="M16" i="56"/>
  <c r="M21" i="56"/>
  <c r="C16" i="29"/>
  <c r="B16" i="29"/>
  <c r="B15" i="29"/>
  <c r="R18" i="56" l="1"/>
  <c r="R20" i="56"/>
  <c r="R12" i="56"/>
  <c r="R15" i="56" s="1"/>
  <c r="C26" i="27" l="1"/>
  <c r="C27" i="27" s="1"/>
  <c r="D26" i="27"/>
  <c r="D27" i="27" s="1"/>
  <c r="K21" i="27"/>
  <c r="F22" i="27"/>
  <c r="AB22" i="27"/>
  <c r="I23" i="27"/>
  <c r="I25" i="27" s="1"/>
  <c r="AD25" i="27"/>
  <c r="A26" i="27"/>
  <c r="Q7" i="56" s="1"/>
  <c r="B26" i="27"/>
  <c r="AD26" i="27"/>
  <c r="AD27" i="27" s="1"/>
  <c r="AD28" i="27"/>
  <c r="AD29" i="27"/>
  <c r="AD33" i="27"/>
  <c r="AD34" i="27" s="1"/>
  <c r="AD35" i="27" s="1"/>
  <c r="AD36" i="27" s="1"/>
  <c r="T34" i="27"/>
  <c r="Q34" i="27" s="1"/>
  <c r="Q35" i="27"/>
  <c r="O36" i="27"/>
  <c r="U50" i="27"/>
  <c r="K25" i="27" s="1"/>
  <c r="V50" i="27"/>
  <c r="W50" i="27" s="1"/>
  <c r="W52" i="27" s="1"/>
  <c r="U52" i="27"/>
  <c r="K23" i="27" s="1"/>
  <c r="U55" i="27"/>
  <c r="K24" i="27" l="1"/>
  <c r="H23" i="27"/>
  <c r="H25" i="27" s="1"/>
  <c r="K22" i="27"/>
  <c r="Q36" i="27"/>
  <c r="K8" i="27" l="1"/>
  <c r="K7" i="27"/>
  <c r="K6" i="27"/>
  <c r="K5" i="27" l="1"/>
  <c r="F5" i="27"/>
  <c r="E20" i="30" l="1"/>
  <c r="K4" i="27" l="1"/>
  <c r="C20" i="30" l="1"/>
  <c r="C11" i="29"/>
  <c r="B11" i="29"/>
  <c r="B6" i="27"/>
  <c r="A6" i="27"/>
  <c r="A7" i="27"/>
  <c r="B8" i="27"/>
  <c r="AD11" i="27" l="1"/>
  <c r="AD12" i="27" s="1"/>
  <c r="AD8" i="27"/>
  <c r="AD16" i="27"/>
  <c r="AD17" i="27" s="1"/>
  <c r="AD18" i="27" s="1"/>
  <c r="P7" i="56"/>
  <c r="B10" i="27"/>
  <c r="B9" i="27"/>
  <c r="AD9" i="27"/>
  <c r="AD10" i="27" l="1"/>
  <c r="B7" i="27" l="1"/>
  <c r="I4" i="27"/>
  <c r="H4" i="27"/>
  <c r="AB5" i="27"/>
  <c r="C15" i="29" l="1"/>
  <c r="C14" i="29"/>
  <c r="C13" i="29"/>
  <c r="C12" i="29"/>
  <c r="B14" i="29"/>
  <c r="B13" i="29"/>
  <c r="A2" i="29" l="1"/>
  <c r="A1" i="30" l="1"/>
  <c r="A1" i="29" l="1"/>
  <c r="I7" i="27" l="1"/>
  <c r="H7" i="27"/>
  <c r="B4" i="27"/>
  <c r="A4" i="27"/>
  <c r="C4" i="27"/>
  <c r="C9" i="27" s="1"/>
  <c r="C10" i="27" s="1"/>
  <c r="H6" i="27" l="1"/>
  <c r="H8" i="27" s="1"/>
  <c r="D4" i="27"/>
  <c r="D9" i="27" s="1"/>
  <c r="D10" i="27" s="1"/>
  <c r="I6" i="27" l="1"/>
  <c r="I8"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8" authorId="0" shapeId="0" xr:uid="{66E9DA4F-6A8C-4E85-8CED-0FCEE4D6D57F}">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8" authorId="1" shapeId="0" xr:uid="{330ADEEA-26CD-4639-A280-010A937E35F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8" authorId="2" shapeId="0" xr:uid="{4383C39F-0595-4866-8DBC-A118DD01D6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8" authorId="2" shapeId="0" xr:uid="{14AB6144-3DE7-4C94-A724-08F7DD0D18A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8" authorId="2" shapeId="0" xr:uid="{BF941D7F-24DB-480C-91D4-C9EAFACA421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H7" authorId="0" shapeId="0" xr:uid="{43719CE7-E11C-4DC3-8354-731BF494CD79}">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7" authorId="1" shapeId="0" xr:uid="{5395BA03-EDD4-4DB1-A950-16D9B4CBDA34}">
      <text>
        <r>
          <rPr>
            <b/>
            <sz val="8"/>
            <color indexed="81"/>
            <rFont val="Tahoma"/>
            <family val="2"/>
          </rPr>
          <t>Amit Kanudia:</t>
        </r>
        <r>
          <rPr>
            <sz val="8"/>
            <color indexed="81"/>
            <rFont val="Tahoma"/>
            <family val="2"/>
          </rPr>
          <t xml:space="preserve">
Needed only when one wants to override the VEDA default assignment
</t>
        </r>
      </text>
    </comment>
    <comment ref="J7" authorId="0" shapeId="0" xr:uid="{73E4676E-31BF-44EC-B5CC-4945B5C206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 authorId="0" shapeId="0" xr:uid="{18621C9D-9576-458F-A867-301107AA37E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<sst xmlns="http://schemas.openxmlformats.org/spreadsheetml/2006/main" count="1219" uniqueCount="641">
  <si>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</si>
  <si>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</si>
  <si>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</si>
  <si>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</si>
  <si>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</si>
  <si>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</si>
  <si>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</si>
  <si>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</si>
  <si>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</si>
  <si>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</si>
  <si>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</si>
  <si>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</si>
  <si>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</si>
  <si>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</si>
  <si>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</si>
  <si>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</si>
  <si>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</si>
  <si>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</si>
  <si>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</si>
  <si>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</si>
  <si>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</si>
  <si>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</si>
  <si>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</si>
  <si>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</si>
  <si>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</si>
  <si>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</si>
  <si>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</si>
  <si>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</si>
  <si>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</si>
  <si>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</si>
  <si>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</si>
  <si>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</si>
  <si>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</si>
  <si>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</si>
  <si>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</si>
  <si>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</si>
  <si>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</si>
  <si>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</si>
  <si>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</si>
  <si>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</si>
  <si>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</si>
  <si>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</si>
  <si>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</si>
  <si>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</si>
  <si>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</si>
  <si>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</si>
  <si>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</si>
  <si>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</si>
  <si>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</si>
  <si>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</si>
  <si>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</si>
  <si>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</si>
  <si>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</si>
  <si>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</si>
  <si>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</si>
  <si>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</si>
  <si>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</si>
  <si>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</si>
  <si>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</si>
  <si>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</si>
  <si>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</si>
  <si>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</si>
  <si>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</si>
  <si>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</si>
  <si>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</si>
  <si>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</si>
  <si>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</si>
  <si>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</si>
  <si>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</si>
  <si>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</si>
  <si>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</si>
  <si>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</si>
  <si>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</si>
  <si>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</si>
  <si>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</si>
  <si>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</si>
  <si>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</si>
  <si>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</si>
  <si>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</si>
  <si>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</si>
  <si>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</si>
  <si>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</si>
  <si>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</si>
  <si>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</si>
  <si>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</si>
  <si>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</si>
  <si>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</si>
  <si>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</si>
  <si>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</si>
  <si>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</si>
  <si>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</si>
  <si>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</si>
  <si>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</si>
  <si>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</si>
  <si>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</si>
  <si>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</si>
  <si>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</si>
  <si>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</si>
  <si>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</si>
  <si>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</si>
  <si>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</si>
  <si>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</si>
  <si>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</si>
  <si>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</si>
  <si>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</si>
  <si>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</si>
  <si>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</si>
  <si>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</si>
  <si>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</si>
  <si>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</si>
  <si>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</si>
  <si>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</si>
  <si>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</si>
  <si>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</si>
  <si>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 Sectoral commodities</t>
  </si>
  <si>
    <t>* Emissions</t>
  </si>
  <si>
    <t>PJ</t>
  </si>
  <si>
    <t>%</t>
  </si>
  <si>
    <t>COM,NRG,DAYNITE,ELC</t>
  </si>
  <si>
    <t>COM,NRG,ANNUAL,FOSSIL</t>
  </si>
  <si>
    <t>KT</t>
  </si>
  <si>
    <t>COM,ENV,ANNUAL,GHG</t>
  </si>
  <si>
    <t>ACT_EFF</t>
  </si>
  <si>
    <t>ANNUAL</t>
  </si>
  <si>
    <t>Conversion L1</t>
  </si>
  <si>
    <t>Supply</t>
  </si>
  <si>
    <t>Secondary Commodities</t>
  </si>
  <si>
    <t>REGION1</t>
  </si>
  <si>
    <t>Commodity</t>
  </si>
  <si>
    <t>mt</t>
  </si>
  <si>
    <t>COM_PROJ</t>
  </si>
  <si>
    <t>Producers</t>
  </si>
  <si>
    <t>Tech description</t>
  </si>
  <si>
    <t>Consumers</t>
  </si>
  <si>
    <t>unit</t>
  </si>
  <si>
    <t>value</t>
  </si>
  <si>
    <t>kton</t>
  </si>
  <si>
    <t>Source</t>
  </si>
  <si>
    <t>Commodity Code</t>
  </si>
  <si>
    <t>Tech Code</t>
  </si>
  <si>
    <t>Coal</t>
  </si>
  <si>
    <t>PRC_ACTFLO</t>
  </si>
  <si>
    <t>Existing Capacity</t>
  </si>
  <si>
    <t>Relationship between main activity flow and other flows</t>
  </si>
  <si>
    <t>Main activity efficiency</t>
  </si>
  <si>
    <t>PRC_RESID</t>
  </si>
  <si>
    <t>Fixed Cost</t>
  </si>
  <si>
    <t>NCAP_FOM</t>
  </si>
  <si>
    <t>GJ/ton</t>
  </si>
  <si>
    <t>CV (MJ/kg)</t>
  </si>
  <si>
    <t>LHV</t>
  </si>
  <si>
    <t>2017 Energy/Commodity Balance</t>
  </si>
  <si>
    <t>Exports/Links/Demands</t>
  </si>
  <si>
    <t>Feedstock</t>
  </si>
  <si>
    <t>Process</t>
  </si>
  <si>
    <r>
      <t>Net primary energy consumption [GJ/t NH</t>
    </r>
    <r>
      <rPr>
        <b/>
        <vertAlign val="subscript"/>
        <sz val="8"/>
        <color rgb="FFFFFFFF"/>
        <rFont val="Arial"/>
        <family val="2"/>
      </rPr>
      <t>3</t>
    </r>
    <r>
      <rPr>
        <b/>
        <sz val="8"/>
        <color rgb="FFFFFFFF"/>
        <rFont val="Arial"/>
        <family val="2"/>
      </rPr>
      <t xml:space="preserve"> (LHV)]</t>
    </r>
  </si>
  <si>
    <t>Natural gas</t>
  </si>
  <si>
    <t>Steam reforming</t>
  </si>
  <si>
    <t>Heavy hydrocarbon</t>
  </si>
  <si>
    <t>Partial oxidation</t>
  </si>
  <si>
    <t>Gas turbine required</t>
  </si>
  <si>
    <t>Electricity from H2 Plant</t>
  </si>
  <si>
    <t>Energy requirement</t>
  </si>
  <si>
    <t>kWh/tonne NH3</t>
  </si>
  <si>
    <t>Electricity production LHV efficiency</t>
  </si>
  <si>
    <r>
      <t>Equivalent H</t>
    </r>
    <r>
      <rPr>
        <vertAlign val="subscript"/>
        <sz val="8"/>
        <rFont val="Roboto Light"/>
      </rPr>
      <t>2</t>
    </r>
    <r>
      <rPr>
        <sz val="8"/>
        <rFont val="Roboto Light"/>
      </rPr>
      <t xml:space="preserve"> requirement</t>
    </r>
  </si>
  <si>
    <t>Kg/tonne NH3</t>
  </si>
  <si>
    <r>
      <t>Total H</t>
    </r>
    <r>
      <rPr>
        <vertAlign val="subscript"/>
        <sz val="8"/>
        <rFont val="Roboto Light"/>
      </rPr>
      <t>2</t>
    </r>
    <r>
      <rPr>
        <sz val="8"/>
        <rFont val="Roboto Light"/>
      </rPr>
      <t xml:space="preserve"> requirement per tonne NH</t>
    </r>
    <r>
      <rPr>
        <vertAlign val="subscript"/>
        <sz val="8"/>
        <rFont val="Roboto Light"/>
      </rPr>
      <t>3</t>
    </r>
  </si>
  <si>
    <t>Per tonne NH3</t>
  </si>
  <si>
    <t>LHV efficiency</t>
  </si>
  <si>
    <t>Source JRC 2007</t>
  </si>
  <si>
    <t xml:space="preserve">Bartels and Pate, 2008 </t>
  </si>
  <si>
    <t>CV NH3</t>
  </si>
  <si>
    <t>LHV MJ/kg</t>
  </si>
  <si>
    <t>CV H2</t>
  </si>
  <si>
    <t>kWh/t</t>
  </si>
  <si>
    <t>CH4S</t>
  </si>
  <si>
    <t>CH4S South Africa</t>
  </si>
  <si>
    <t>Hydrogen per unit of ammonia</t>
  </si>
  <si>
    <t>ton H2/ton NH3</t>
  </si>
  <si>
    <t>GJ H2/ton NH3</t>
  </si>
  <si>
    <t>GJ H2/GJ NH3</t>
  </si>
  <si>
    <t>Investment Cost</t>
  </si>
  <si>
    <t>NCAP_COST</t>
  </si>
  <si>
    <t>Emission factor</t>
  </si>
  <si>
    <t>FLO_EMIS-O</t>
  </si>
  <si>
    <t>COM,DEM,ANNUAL,RES</t>
  </si>
  <si>
    <t>With Gas turbine</t>
  </si>
  <si>
    <t>Without Gas turbine</t>
  </si>
  <si>
    <t>Eff</t>
  </si>
  <si>
    <t>GJ elc/GJ NH3</t>
  </si>
  <si>
    <t>GJ elc/ton NH3</t>
  </si>
  <si>
    <t>IFAELC</t>
  </si>
  <si>
    <t>Industry-FA-Electricity</t>
  </si>
  <si>
    <t>IISCKE</t>
  </si>
  <si>
    <t>Industry - Iron and Steel - Coke</t>
  </si>
  <si>
    <t>IISCOA</t>
  </si>
  <si>
    <t>Industry - Iron and Steel - Coal</t>
  </si>
  <si>
    <t>Industry Biochar</t>
  </si>
  <si>
    <t>(existing)</t>
  </si>
  <si>
    <t>Industry - Ferro Alloy Metals production</t>
  </si>
  <si>
    <t>BIO</t>
  </si>
  <si>
    <t>FerroChrome existing</t>
  </si>
  <si>
    <t>IFCEAF-N</t>
  </si>
  <si>
    <t>IFCEAF-E</t>
  </si>
  <si>
    <t>IFCEAFB-N</t>
  </si>
  <si>
    <t>FerroChrome with biomass</t>
  </si>
  <si>
    <t>NCAP_START</t>
  </si>
  <si>
    <t>IFACR</t>
  </si>
  <si>
    <t>Electricity</t>
  </si>
  <si>
    <t>GWh</t>
  </si>
  <si>
    <t>Coal+Anthracite</t>
  </si>
  <si>
    <t>Coke+char</t>
  </si>
  <si>
    <t>EB:</t>
  </si>
  <si>
    <t>Capacity</t>
  </si>
  <si>
    <t>2017 produciton</t>
  </si>
  <si>
    <t>CO2SPIFC</t>
  </si>
  <si>
    <t>Process Emissions FerroChrome South Africa</t>
  </si>
  <si>
    <t>Reubens thesis</t>
  </si>
  <si>
    <t>Furnace route</t>
  </si>
  <si>
    <t>Characteristics</t>
  </si>
  <si>
    <r>
      <t>Open or semi-</t>
    </r>
    <r>
      <rPr>
        <b/>
        <sz val="11"/>
        <color rgb="FF000000"/>
        <rFont val="Times New Roman"/>
        <family val="1"/>
      </rPr>
      <t xml:space="preserve"> open submerged AC</t>
    </r>
  </si>
  <si>
    <r>
      <t>·</t>
    </r>
    <r>
      <rPr>
        <sz val="7"/>
        <color theme="1"/>
        <rFont val="Times New Roman"/>
        <family val="1"/>
      </rPr>
      <t xml:space="preserve">         </t>
    </r>
    <r>
      <rPr>
        <sz val="11"/>
        <color rgb="FF000000"/>
        <rFont val="Times New Roman"/>
        <family val="1"/>
      </rPr>
      <t>&lt;30 MVA</t>
    </r>
  </si>
  <si>
    <r>
      <t>·</t>
    </r>
    <r>
      <rPr>
        <sz val="7"/>
        <color theme="1"/>
        <rFont val="Times New Roman"/>
        <family val="1"/>
      </rPr>
      <t xml:space="preserve">         </t>
    </r>
    <r>
      <rPr>
        <sz val="11"/>
        <color rgb="FF000000"/>
        <rFont val="Times New Roman"/>
        <family val="1"/>
      </rPr>
      <t>70-75% Cr recovery</t>
    </r>
  </si>
  <si>
    <r>
      <t>·</t>
    </r>
    <r>
      <rPr>
        <sz val="7"/>
        <color theme="1"/>
        <rFont val="Times New Roman"/>
        <family val="1"/>
      </rPr>
      <t xml:space="preserve">         </t>
    </r>
    <r>
      <rPr>
        <sz val="11"/>
        <color rgb="FF000000"/>
        <rFont val="Times New Roman"/>
        <family val="1"/>
      </rPr>
      <t>4300 kWh/t</t>
    </r>
  </si>
  <si>
    <t>Closed submerged arc AC</t>
  </si>
  <si>
    <r>
      <t>·</t>
    </r>
    <r>
      <rPr>
        <sz val="7"/>
        <color theme="1"/>
        <rFont val="Times New Roman"/>
        <family val="1"/>
      </rPr>
      <t xml:space="preserve">         </t>
    </r>
    <r>
      <rPr>
        <sz val="11"/>
        <color theme="1"/>
        <rFont val="Times New Roman"/>
        <family val="1"/>
      </rPr>
      <t>&gt;135 MVA</t>
    </r>
  </si>
  <si>
    <r>
      <t>·</t>
    </r>
    <r>
      <rPr>
        <sz val="7"/>
        <color theme="1"/>
        <rFont val="Times New Roman"/>
        <family val="1"/>
      </rPr>
      <t xml:space="preserve">         </t>
    </r>
    <r>
      <rPr>
        <sz val="11"/>
        <color theme="1"/>
        <rFont val="Times New Roman"/>
        <family val="1"/>
      </rPr>
      <t>83-87% Cr recovery</t>
    </r>
  </si>
  <si>
    <r>
      <t>·</t>
    </r>
    <r>
      <rPr>
        <sz val="7"/>
        <color theme="1"/>
        <rFont val="Times New Roman"/>
        <family val="1"/>
      </rPr>
      <t xml:space="preserve">         </t>
    </r>
    <r>
      <rPr>
        <sz val="11"/>
        <color theme="1"/>
        <rFont val="Times New Roman"/>
        <family val="1"/>
      </rPr>
      <t>3200 kWh/t</t>
    </r>
  </si>
  <si>
    <t>Prereduction preceding closed submerged arc AC</t>
  </si>
  <si>
    <r>
      <t>·</t>
    </r>
    <r>
      <rPr>
        <sz val="7"/>
        <color theme="1"/>
        <rFont val="Times New Roman"/>
        <family val="1"/>
      </rPr>
      <t xml:space="preserve">         </t>
    </r>
    <r>
      <rPr>
        <sz val="11"/>
        <color theme="1"/>
        <rFont val="Times New Roman"/>
        <family val="1"/>
      </rPr>
      <t>60 MVA</t>
    </r>
  </si>
  <si>
    <r>
      <t>·</t>
    </r>
    <r>
      <rPr>
        <sz val="7"/>
        <color theme="1"/>
        <rFont val="Times New Roman"/>
        <family val="1"/>
      </rPr>
      <t xml:space="preserve">         </t>
    </r>
    <r>
      <rPr>
        <sz val="11"/>
        <color theme="1"/>
        <rFont val="Times New Roman"/>
        <family val="1"/>
      </rPr>
      <t>88-92% Cr recovery</t>
    </r>
  </si>
  <si>
    <r>
      <t>·</t>
    </r>
    <r>
      <rPr>
        <sz val="7"/>
        <color theme="1"/>
        <rFont val="Times New Roman"/>
        <family val="1"/>
      </rPr>
      <t xml:space="preserve">         </t>
    </r>
    <r>
      <rPr>
        <sz val="11"/>
        <color theme="1"/>
        <rFont val="Times New Roman"/>
        <family val="1"/>
      </rPr>
      <t>2400 kWh/t (Electrical energy only)</t>
    </r>
  </si>
  <si>
    <t>Open DC</t>
  </si>
  <si>
    <r>
      <t>·</t>
    </r>
    <r>
      <rPr>
        <sz val="7"/>
        <color theme="1"/>
        <rFont val="Times New Roman"/>
        <family val="1"/>
      </rPr>
      <t xml:space="preserve">         </t>
    </r>
    <r>
      <rPr>
        <sz val="11"/>
        <color theme="1"/>
        <rFont val="Times New Roman"/>
        <family val="1"/>
      </rPr>
      <t>4300 kWh/t</t>
    </r>
  </si>
  <si>
    <t>Lion project:</t>
  </si>
  <si>
    <t>Company</t>
  </si>
  <si>
    <t>Production capacity (kt/year)</t>
  </si>
  <si>
    <t>Premus (lion)</t>
  </si>
  <si>
    <t>Outukumpu</t>
  </si>
  <si>
    <t>Conv. Closed</t>
  </si>
  <si>
    <t>Semi-closed</t>
  </si>
  <si>
    <t>Cogen?</t>
  </si>
  <si>
    <t>Prereduce</t>
  </si>
  <si>
    <t>https://www.engineeringnews.co.za/print-version/lion-ferrochrome-smelter-eastern-chrome-mines-restart-merafe-2020-05-08</t>
  </si>
  <si>
    <r>
      <t xml:space="preserve">Glencore Merafe </t>
    </r>
    <r>
      <rPr>
        <sz val="11"/>
        <color rgb="FF000000"/>
        <rFont val="Times New Roman"/>
        <family val="1"/>
      </rPr>
      <t>(Xstrata)</t>
    </r>
  </si>
  <si>
    <t>assume rest os Outukumpu</t>
  </si>
  <si>
    <t>no</t>
  </si>
  <si>
    <t>Samancor Chrome Limited</t>
  </si>
  <si>
    <t>Assume all closed + outukumpu. Henric assumed to be conventional</t>
  </si>
  <si>
    <t>(Samancor)</t>
  </si>
  <si>
    <t>billion ZAR for lion II</t>
  </si>
  <si>
    <t>Tata KZN</t>
  </si>
  <si>
    <t>assume</t>
  </si>
  <si>
    <t>Appear to be offline</t>
  </si>
  <si>
    <t>Mt Capacity of lion II</t>
  </si>
  <si>
    <t>Mt of lion I</t>
  </si>
  <si>
    <t>Includes Mogale alloys processing plant</t>
  </si>
  <si>
    <t>bn ZAR/Mt</t>
  </si>
  <si>
    <t>Hernic Ferrochrome</t>
  </si>
  <si>
    <t>Now owned by Samancor</t>
  </si>
  <si>
    <t>International Ferro Metals</t>
  </si>
  <si>
    <t>MW</t>
  </si>
  <si>
    <t>http://www.ifml.com/operations/project-development.html</t>
  </si>
  <si>
    <t>.</t>
  </si>
  <si>
    <t>(IFML)</t>
  </si>
  <si>
    <t>ASA Metals (Newco)</t>
  </si>
  <si>
    <t>https://www.miningweekly.com/print-version/asa-metals-builds-on-quality-2005-03-25</t>
  </si>
  <si>
    <t>Assmang Chrome</t>
  </si>
  <si>
    <t>https://www.miningweekly.com/article/technology-slashes-power-use-at-glencores-huge-s-african-chrome-smelter-2014-11-05/rep_id:3650</t>
  </si>
  <si>
    <t>Total South African capacity</t>
  </si>
  <si>
    <t>total capacity</t>
  </si>
  <si>
    <t>Mt</t>
  </si>
  <si>
    <t>Lion is preheat, prereduce and CO recovery (for drying and preheating)</t>
  </si>
  <si>
    <t>technology intensity</t>
  </si>
  <si>
    <t xml:space="preserve">MWh/tonne </t>
  </si>
  <si>
    <t>total elec:</t>
  </si>
  <si>
    <t>total gen:</t>
  </si>
  <si>
    <t>furnces total for company Glencore</t>
  </si>
  <si>
    <t>total net</t>
  </si>
  <si>
    <t>a mix of Semi-open furnaces some with Otukumpu pelletiser tech</t>
  </si>
  <si>
    <t>kWh/t avg - SA</t>
  </si>
  <si>
    <t>Close furnaces at Boshoek, uses outukumpu</t>
  </si>
  <si>
    <t>kWh/t avg - Glencore</t>
  </si>
  <si>
    <t>Lion furnaces (not clear if Lion II included) - using premus</t>
  </si>
  <si>
    <t>https://docplayer.net/86507326-Production-technologies-of-crm-from-primary.html</t>
  </si>
  <si>
    <t xml:space="preserve">Chapter 7 </t>
  </si>
  <si>
    <t>Conventional (AF)</t>
  </si>
  <si>
    <t>Reductants (source: Gegiba and Russ) - tonnes</t>
  </si>
  <si>
    <t>DC</t>
  </si>
  <si>
    <t>total</t>
  </si>
  <si>
    <t>Coke</t>
  </si>
  <si>
    <t>Char</t>
  </si>
  <si>
    <t>Anthracite</t>
  </si>
  <si>
    <t>no coke</t>
  </si>
  <si>
    <t>Conventional</t>
  </si>
  <si>
    <t>Pelletise, sinter, preheat</t>
  </si>
  <si>
    <t>Premus</t>
  </si>
  <si>
    <t>Recover CO gas for preheating</t>
  </si>
  <si>
    <t>"Premus was to reduce use of coke (high cost)" - Naiker 2006 Xstrata alloys profile</t>
  </si>
  <si>
    <t>"overall cant reduce reductants, just the type" - reuben thesis</t>
  </si>
  <si>
    <t>Sinter, pre-reduce, smelt</t>
  </si>
  <si>
    <t>CO gas + Coal for pre-reduce</t>
  </si>
  <si>
    <t>Conventional closed</t>
  </si>
  <si>
    <t>Onsite Elec gen. (MW)</t>
  </si>
  <si>
    <t>Notes</t>
  </si>
  <si>
    <t>Energy</t>
  </si>
  <si>
    <t>Electricity kWh/t FeCr</t>
  </si>
  <si>
    <t>Reductants (tonnes per t FeCr)</t>
  </si>
  <si>
    <t>Premus tech: asume half coke, increased anthracite</t>
  </si>
  <si>
    <t>coke</t>
  </si>
  <si>
    <t>Gediga and russ</t>
  </si>
  <si>
    <t>Gediga and Russ: Life Cycle Inventory (LCI) update of primary Ferrochrome production, 2007</t>
  </si>
  <si>
    <t>char</t>
  </si>
  <si>
    <t>anthracite</t>
  </si>
  <si>
    <t>Closed furnace without preheating</t>
  </si>
  <si>
    <t>subtotal</t>
  </si>
  <si>
    <t>kWh/kg</t>
  </si>
  <si>
    <t>Company capacity (Mt)</t>
  </si>
  <si>
    <t>kg reductants</t>
  </si>
  <si>
    <t>Includes Henric smelter (now owned by Samancor)</t>
  </si>
  <si>
    <t>of which:</t>
  </si>
  <si>
    <t>coal</t>
  </si>
  <si>
    <t>assume converted to conventional</t>
  </si>
  <si>
    <t>Total capacity</t>
  </si>
  <si>
    <t>Calibration check</t>
  </si>
  <si>
    <t>total here</t>
  </si>
  <si>
    <t>Consumption:</t>
  </si>
  <si>
    <t>Closed with preheating</t>
  </si>
  <si>
    <t>CV MJ/kg</t>
  </si>
  <si>
    <t>eskom incl. Manganese + silicon</t>
  </si>
  <si>
    <t>kWh</t>
  </si>
  <si>
    <t>reductants</t>
  </si>
  <si>
    <t>of which</t>
  </si>
  <si>
    <t>kWh/tonne</t>
  </si>
  <si>
    <t>PJ/Mt</t>
  </si>
  <si>
    <t>Mt - XMP coal for 2017 "mettalurgical" which is metals without steel sector</t>
  </si>
  <si>
    <t xml:space="preserve">Mt for Manganese </t>
  </si>
  <si>
    <t>PJ for Mn</t>
  </si>
  <si>
    <t>Production</t>
  </si>
  <si>
    <t>Bio-reductants</t>
  </si>
  <si>
    <r>
      <t xml:space="preserve">Surup, G. R., Trubetskaya, A. and Tangstad, M. (2020) ‘Charcoal as an alternative reductant in ferroalloy production: A review’, </t>
    </r>
    <r>
      <rPr>
        <i/>
        <sz val="12"/>
        <color theme="1"/>
        <rFont val="Calibri"/>
        <family val="2"/>
        <scheme val="minor"/>
      </rPr>
      <t>Processes</t>
    </r>
    <r>
      <rPr>
        <sz val="10"/>
        <rFont val="Arial"/>
        <family val="2"/>
      </rPr>
      <t>, 8(11), pp. 1–41. doi: 10.3390/pr8111432.</t>
    </r>
  </si>
  <si>
    <t>Exarro opens char plant (2009)</t>
  </si>
  <si>
    <t>Charcoal kilns</t>
  </si>
  <si>
    <t>https://www.miningreview.com/top-stories/exxaro-opens-char-plant/</t>
  </si>
  <si>
    <t>efficiency</t>
  </si>
  <si>
    <t>Classic charcol kiln</t>
  </si>
  <si>
    <t>"officially opened its char plant alongside the Grootegeluk coal mine"</t>
  </si>
  <si>
    <t>Industrial retorts (kiln)</t>
  </si>
  <si>
    <t>"Char is a product that contains more than 80% fixed carbon and less than 5% volatile content. It is produced from metallurgical coal that contains more than 20% volatiles."</t>
  </si>
  <si>
    <t>kt.pa</t>
  </si>
  <si>
    <t>Chrome existing</t>
  </si>
  <si>
    <t>assume mixture of current tech</t>
  </si>
  <si>
    <t xml:space="preserve">Chrome new </t>
  </si>
  <si>
    <t>Chrome bio new</t>
  </si>
  <si>
    <t>Chrome existing:</t>
  </si>
  <si>
    <t>Chrome new</t>
  </si>
  <si>
    <t>Chrome new biomass</t>
  </si>
  <si>
    <t>Biomass charring plant:</t>
  </si>
  <si>
    <t>Capacity Mt FeCr:</t>
  </si>
  <si>
    <t>Costs for biomass based plant:</t>
  </si>
  <si>
    <t>Capital cost</t>
  </si>
  <si>
    <t>assume extra for furnace operations, handling, other equipment</t>
  </si>
  <si>
    <t>Production in 2017</t>
  </si>
  <si>
    <t>Lifespan</t>
  </si>
  <si>
    <t>Costs for second stage pyrolysis:</t>
  </si>
  <si>
    <t>assume in addition</t>
  </si>
  <si>
    <t>Inputs:</t>
  </si>
  <si>
    <t>carbon content:</t>
  </si>
  <si>
    <t>assump</t>
  </si>
  <si>
    <t>IndBiochar</t>
  </si>
  <si>
    <t xml:space="preserve">NOTE:This might actually be coal derived, not biomass. Char is 'activated carbon' basically. But the source of the carbon is not always clear in literature. </t>
  </si>
  <si>
    <t>http://www.fao.org/3/s4550e/s4550e09.htm#:~:text=Dried%20wood%20can%20give%204500,little%20around%207500%20Kcal%2Fkg.</t>
  </si>
  <si>
    <t>kcal/kg</t>
  </si>
  <si>
    <t>CO2SP</t>
  </si>
  <si>
    <t>KJ/kg</t>
  </si>
  <si>
    <t>charcoal</t>
  </si>
  <si>
    <t>FAO - BIOENERGY AND FOOD SECURITY RAPID APPRAISAL (BEFS RA) charcoal</t>
  </si>
  <si>
    <t>life"</t>
  </si>
  <si>
    <t>years</t>
  </si>
  <si>
    <t>http://www.fao.org/3/bp846e/bp846e.pdf</t>
  </si>
  <si>
    <t>USD $ /t</t>
  </si>
  <si>
    <t>In 2008</t>
  </si>
  <si>
    <t>in 2019</t>
  </si>
  <si>
    <t>2015 ZAR</t>
  </si>
  <si>
    <t>2019USD to 2015ZAR</t>
  </si>
  <si>
    <t>2008 to 2019</t>
  </si>
  <si>
    <t>Emissions factor</t>
  </si>
  <si>
    <t>from GHGinv</t>
  </si>
  <si>
    <t>need to update this factor</t>
  </si>
  <si>
    <t>SAMI 2018 report</t>
  </si>
  <si>
    <t>From NIR 2017 (presumably SAMI is the source)</t>
  </si>
  <si>
    <t>Activity tonnes per year</t>
  </si>
  <si>
    <t>Unit</t>
  </si>
  <si>
    <t>Ferrochromium</t>
  </si>
  <si>
    <t>tonnes</t>
  </si>
  <si>
    <t>Ferromanganeses (7% C)</t>
  </si>
  <si>
    <t>Ferromanganeses (1% C)</t>
  </si>
  <si>
    <t>Ferrosilicon 65% Si</t>
  </si>
  <si>
    <t>Silicon metal</t>
  </si>
  <si>
    <t>Summarised tonnes per year</t>
  </si>
  <si>
    <t>FerroChrome</t>
  </si>
  <si>
    <t>FerroManganese</t>
  </si>
  <si>
    <t>FerroSilicon</t>
  </si>
  <si>
    <t>Total</t>
  </si>
  <si>
    <t>Max value 2005 - 2017 from NIR 2017</t>
  </si>
  <si>
    <t xml:space="preserve">Summarised tonnes  per year </t>
  </si>
  <si>
    <t>total:</t>
  </si>
  <si>
    <t>From SAMI report 2018:</t>
  </si>
  <si>
    <t>YEAR</t>
  </si>
  <si>
    <t>PRODUCTION</t>
  </si>
  <si>
    <t>LOCAL SALES</t>
  </si>
  <si>
    <t>EXPORT SALES</t>
  </si>
  <si>
    <t>Mass</t>
  </si>
  <si>
    <t>Unit Value</t>
  </si>
  <si>
    <t>Mass       Value</t>
  </si>
  <si>
    <t>kt</t>
  </si>
  <si>
    <t>R' 000</t>
  </si>
  <si>
    <t>R/t</t>
  </si>
  <si>
    <t>FerroMn existing</t>
  </si>
  <si>
    <t>IFMEAF-E</t>
  </si>
  <si>
    <t>FerroMn New</t>
  </si>
  <si>
    <t>IFMEAF-N</t>
  </si>
  <si>
    <t>FerroMn with biomass</t>
  </si>
  <si>
    <t>IFMEAFB-N</t>
  </si>
  <si>
    <t>IFAMN</t>
  </si>
  <si>
    <t>Roughly, may be slightly less or slightly more</t>
  </si>
  <si>
    <t>Fixed carbon (% weight)</t>
  </si>
  <si>
    <t>Biochar</t>
  </si>
  <si>
    <t>what is the SA number?</t>
  </si>
  <si>
    <t>roughly, these were measurements specific to a batch</t>
  </si>
  <si>
    <t>This seems achievable with current technology</t>
  </si>
  <si>
    <t>New</t>
  </si>
  <si>
    <t>Coke or Coal</t>
  </si>
  <si>
    <t>SiMn</t>
  </si>
  <si>
    <t xml:space="preserve">Electicity </t>
  </si>
  <si>
    <t>MWh/tonne</t>
  </si>
  <si>
    <t>FEMn</t>
  </si>
  <si>
    <t>Share that is coal</t>
  </si>
  <si>
    <t>PJ total</t>
  </si>
  <si>
    <t>GWh total</t>
  </si>
  <si>
    <t>PJ/ktonne</t>
  </si>
  <si>
    <t>MWh/tonne assumed</t>
  </si>
  <si>
    <t>MWh/tonne Max</t>
  </si>
  <si>
    <t>MWh/tonne Min</t>
  </si>
  <si>
    <t>Says curerntly converted to FECR production</t>
  </si>
  <si>
    <t>Mogale</t>
  </si>
  <si>
    <t>Still in operation</t>
  </si>
  <si>
    <t>TransAlloys</t>
  </si>
  <si>
    <t>HCFEMn</t>
  </si>
  <si>
    <t>Assmang Machadodorp</t>
  </si>
  <si>
    <t>Assmang Cato Ridge</t>
  </si>
  <si>
    <t>Exept one of these sold to South32 and I think that smelter is closed, Steenkamp confirmed smelter closed</t>
  </si>
  <si>
    <t>Metalloys</t>
  </si>
  <si>
    <t>Capacity (Steenkamp, 2018)</t>
  </si>
  <si>
    <t>Installed capacity (MVA)</t>
  </si>
  <si>
    <t>Production rate</t>
  </si>
  <si>
    <t>FEMN</t>
  </si>
  <si>
    <t>Si</t>
  </si>
  <si>
    <t>seems too low, Steenkamp 2018 says that this is the MVA capacity for FeMn and SiMn, but that they are running at 50%, doesn't tie with production</t>
  </si>
  <si>
    <t>Mn</t>
  </si>
  <si>
    <t>thousand kt</t>
  </si>
  <si>
    <t>Cr</t>
  </si>
  <si>
    <t>Cap</t>
  </si>
  <si>
    <t>QUICK FIX: adding manganese to this book until it's complete in another workbook</t>
  </si>
  <si>
    <t xml:space="preserve">looks about right, </t>
  </si>
  <si>
    <t>Process Emissions FerroManganese South Africa</t>
  </si>
  <si>
    <t>CO2SPIFM</t>
  </si>
  <si>
    <t>GPS (Longtitude)</t>
  </si>
  <si>
    <t>?</t>
  </si>
  <si>
    <r>
      <t>Afarak (Probably now</t>
    </r>
    <r>
      <rPr>
        <b/>
        <sz val="11"/>
        <color rgb="FFFF0000"/>
        <rFont val="Times New Roman"/>
        <family val="1"/>
      </rPr>
      <t xml:space="preserve"> Zeetrust</t>
    </r>
    <r>
      <rPr>
        <b/>
        <sz val="11"/>
        <color theme="1"/>
        <rFont val="Times New Roman"/>
        <family val="1"/>
      </rPr>
      <t>)</t>
    </r>
  </si>
  <si>
    <t>Biomass Other</t>
  </si>
  <si>
    <t xml:space="preserve">This is the Ferro Alloys (FA) workbook. </t>
  </si>
  <si>
    <t>About</t>
  </si>
  <si>
    <t>Changelog</t>
  </si>
  <si>
    <t>B Mccall</t>
  </si>
  <si>
    <t xml:space="preserve">Joseph had put together the ferrochrome and ferromanganese workbooks. Am getting this set up to become the main workbook for ferroalloys. </t>
  </si>
  <si>
    <t>Idea for ferrochrome endogenous efficiency technology modelling</t>
  </si>
  <si>
    <t>RES diagram of how the chrome industry produces ferrochrome and the potential avenues for efficiency routes</t>
  </si>
  <si>
    <t xml:space="preserve">Parts of the methodology (NetZero work) are not connected to the model inputs. Need to align this better. </t>
  </si>
  <si>
    <t>Have removed all links to old ferromanganese workbook</t>
  </si>
  <si>
    <t>This includes ferrochrome and ferromanganese</t>
  </si>
  <si>
    <t>Fixed layout table</t>
  </si>
  <si>
    <t>* Define the commodities used in this workbook</t>
  </si>
  <si>
    <t>Commodities</t>
  </si>
  <si>
    <t>~FI_Comm</t>
  </si>
  <si>
    <t>Csets</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</si>
  <si>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</si>
  <si>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</si>
  <si>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</si>
  <si>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</si>
  <si>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</si>
  <si>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</si>
  <si>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</si>
  <si>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</si>
  <si>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</si>
  <si>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</si>
  <si>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</si>
  <si>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</si>
  <si>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 Define the Processes used in this workbook</t>
  </si>
  <si>
    <t>Processes</t>
  </si>
  <si>
    <t>~FI_Process</t>
  </si>
  <si>
    <t>Sets</t>
  </si>
  <si>
    <t>TechName</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</si>
  <si>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</si>
  <si>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</si>
  <si>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</si>
  <si>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</si>
  <si>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</si>
  <si>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</si>
  <si>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</si>
  <si>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</si>
  <si>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</si>
  <si>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</si>
  <si>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</si>
  <si>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</si>
  <si>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</si>
  <si>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</si>
  <si>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Comm-IN</t>
  </si>
  <si>
    <t>Comm-OUT</t>
  </si>
  <si>
    <t>Industry - FA - Electricity</t>
  </si>
  <si>
    <t>DAYNITE</t>
  </si>
  <si>
    <t>ELC</t>
  </si>
  <si>
    <t>Industry - FA - FerroChrome</t>
  </si>
  <si>
    <t>Industry - FA - FerroManganese</t>
  </si>
  <si>
    <t>PRE</t>
  </si>
  <si>
    <t>Pja</t>
  </si>
  <si>
    <t>*ProcUnits</t>
  </si>
  <si>
    <t>PRC_RESID~2017</t>
  </si>
  <si>
    <t>PRC_RESID~2035</t>
  </si>
  <si>
    <t>PRC_RESID~2036</t>
  </si>
  <si>
    <t>PRC_RESID~2040</t>
  </si>
  <si>
    <t>PRC_RESID~2045</t>
  </si>
  <si>
    <t>IFACHA</t>
  </si>
  <si>
    <t>INDBIW</t>
  </si>
  <si>
    <t>~FI_T</t>
  </si>
  <si>
    <t>*TechDesc</t>
  </si>
  <si>
    <t>Attribute</t>
  </si>
  <si>
    <t>*Unit</t>
  </si>
  <si>
    <t>Demand Commodity Name</t>
  </si>
  <si>
    <t>Demand Unit</t>
  </si>
  <si>
    <t>Demand Value</t>
  </si>
  <si>
    <t>Demand</t>
  </si>
  <si>
    <t>PRC_CAPACT</t>
  </si>
  <si>
    <t>*=RES_Cr!E2</t>
  </si>
  <si>
    <t>Mccall</t>
  </si>
  <si>
    <t xml:space="preserve">Adjusting the existing capacity again so it declines a bit more gradually. </t>
  </si>
  <si>
    <t>Energy and material use</t>
  </si>
  <si>
    <t>On CHAR</t>
  </si>
  <si>
    <t>Summarised twin-retort plant</t>
  </si>
  <si>
    <t>Reference</t>
  </si>
  <si>
    <t>Gediga and Russ</t>
  </si>
  <si>
    <t xml:space="preserve">Energy Calibration </t>
  </si>
  <si>
    <t>Aggregate intensity numbers</t>
  </si>
  <si>
    <t>Mt Calibration fix</t>
  </si>
  <si>
    <t>attribute</t>
  </si>
  <si>
    <t>INDCMU</t>
  </si>
  <si>
    <t>Feedstock coal (no emissions associated)</t>
  </si>
  <si>
    <t>Coal feedstock</t>
  </si>
  <si>
    <t>NCAP_TLIFE</t>
  </si>
  <si>
    <t>https://www.engineeringnews.co.za/article/regulator-approves-eskom-tariff-discounts-for-ferrochrome-groups-2023-11-06</t>
  </si>
  <si>
    <t>Regulator approves Eskom tariff discounts for ferrochrome groups</t>
  </si>
  <si>
    <t>Glencore-Merafe Venture</t>
  </si>
  <si>
    <t>Boshoek</t>
  </si>
  <si>
    <t>Wonderkop</t>
  </si>
  <si>
    <t>Lion</t>
  </si>
  <si>
    <t>Lyndenburg</t>
  </si>
  <si>
    <t>MVA</t>
  </si>
  <si>
    <t>Samancore Chrome</t>
  </si>
  <si>
    <t>baseload sales of'</t>
  </si>
  <si>
    <t>TWh</t>
  </si>
  <si>
    <t>Ferrometals</t>
  </si>
  <si>
    <t>Middleburg Ferrochrome</t>
  </si>
  <si>
    <t>Tubatse ferrochrome</t>
  </si>
  <si>
    <t>Tubatse Alloy</t>
  </si>
  <si>
    <t>TC Smelters</t>
  </si>
  <si>
    <t>Dikwene Chrome</t>
  </si>
  <si>
    <t xml:space="preserve">LITERATURE </t>
  </si>
  <si>
    <t>Comment:</t>
  </si>
  <si>
    <t>From the article it's not clear that these are all the operations</t>
  </si>
  <si>
    <t xml:space="preserve">or just the ones that got the tarriff approvals. </t>
  </si>
  <si>
    <t>Summary chrome smelters, and smelters with biomass</t>
  </si>
  <si>
    <t>of capital</t>
  </si>
  <si>
    <t>Based on premus tech</t>
  </si>
  <si>
    <t>Char/biochar?</t>
  </si>
  <si>
    <t>On reductants</t>
  </si>
  <si>
    <t>char is fossil coal</t>
  </si>
  <si>
    <t>Premus + biomass</t>
  </si>
  <si>
    <t>Total carbon based inputs:</t>
  </si>
  <si>
    <t>added char to here</t>
  </si>
  <si>
    <t>assume new is like premus most efficient route as above, but with biomass-char at 50% of the coke input</t>
  </si>
  <si>
    <t>IFCEAFP-N</t>
  </si>
  <si>
    <t>IFCEAFPB-N</t>
  </si>
  <si>
    <t>this is premus</t>
  </si>
  <si>
    <t>this is premus with added biomass</t>
  </si>
  <si>
    <t>assume:</t>
  </si>
  <si>
    <t>ENV_ACT~CO2SPIFC</t>
  </si>
  <si>
    <t>existing combination</t>
  </si>
  <si>
    <t>this is current (existing) tech combination but new</t>
  </si>
  <si>
    <t>Total production Mt</t>
  </si>
  <si>
    <t>Production by plant type</t>
  </si>
  <si>
    <t>Assumed utilisation factors</t>
  </si>
  <si>
    <t>FerroChrome New</t>
  </si>
  <si>
    <t>IFABIOCHAR</t>
  </si>
  <si>
    <t>Industry - FA - Biocharring plant</t>
  </si>
  <si>
    <t>Industry - FA - FerroChrome existing</t>
  </si>
  <si>
    <t>Industry - FA - FerroChrome New</t>
  </si>
  <si>
    <t>Industry - FA - FerroChrome New Premus</t>
  </si>
  <si>
    <t>Industry - FA - FerroChrome New Premus with Bio</t>
  </si>
  <si>
    <t>Industry - FA - FerroMang existing</t>
  </si>
  <si>
    <t>Industry - FA - FerroMang New</t>
  </si>
  <si>
    <t>Industry - FA - FerroMang New with biomass</t>
  </si>
  <si>
    <t>Industry - FA - Biochar</t>
  </si>
  <si>
    <t>MUST REDO THIS</t>
  </si>
  <si>
    <t xml:space="preserve">large overhaul of Chrome sector. Moved biochar based production out, as it was coming in too early. </t>
  </si>
  <si>
    <t xml:space="preserve">Added a couple extra new chrome techs - new premus etc. </t>
  </si>
  <si>
    <t xml:space="preserve">Renamed a few things. </t>
  </si>
  <si>
    <t>Cleaned up the methodology more, and the sheets.</t>
  </si>
  <si>
    <t>Add mininum utilisation to the plants so we don’t get idling capacity</t>
  </si>
  <si>
    <t>NCAP_AFA~LO</t>
  </si>
  <si>
    <t>on the start of premus: it's already available (and deployed)</t>
  </si>
  <si>
    <t>Carbon Mt/Mt commodity</t>
  </si>
  <si>
    <t>Reductants as energy</t>
  </si>
  <si>
    <t>GJ/tonne</t>
  </si>
  <si>
    <t>Carbon content of coals for industry</t>
  </si>
  <si>
    <t>USE OF CHARCOAL IN SILICOMANGANESE PRODUCTION</t>
  </si>
  <si>
    <t xml:space="preserve">B. Monsen1, M. Tangstad2 and H. Midtgaard3 </t>
  </si>
  <si>
    <t>2004, online in 2014</t>
  </si>
  <si>
    <t>http://www.carborobot.hu/EN/Coal.htm</t>
  </si>
  <si>
    <t>assumption: drop Capacity gradually</t>
  </si>
  <si>
    <t>Year</t>
  </si>
  <si>
    <t>Indicator</t>
  </si>
  <si>
    <t>Scenario</t>
  </si>
  <si>
    <t>Subsector</t>
  </si>
  <si>
    <t>TechDescription</t>
  </si>
  <si>
    <t>Commodity Short Description</t>
  </si>
  <si>
    <t>FlowOut</t>
  </si>
  <si>
    <t>testChrome</t>
  </si>
  <si>
    <t>FerroAlloys</t>
  </si>
  <si>
    <t>FerroChrome Metal</t>
  </si>
  <si>
    <t>NCAP_BND~UP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</si>
</sst>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 #,##0.00_ ;_ * \-#,##0.00_ ;_ * &quot;-&quot;??_ ;_ @_ "/>
    <numFmt numFmtId="170" formatCode="_ * #,##0_ ;_ * \-#,##0_ ;_ * &quot;-&quot;??_ ;_ @_ "/>
    <numFmt numFmtId="171" formatCode="_-* #,##0_-;\-* #,##0_-;_-* &quot;-&quot;??_-;_-@_-"/>
    <numFmt numFmtId="172" formatCode="0.0"/>
    <numFmt numFmtId="173" formatCode="[$£-809]#,##0.000;[Red]&quot;-&quot;[$£-809]#,##0.000"/>
  </numFmts>
  <fonts count="9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color theme="1"/>
      <name val="Calibri"/>
      <family val="2"/>
      <scheme val="minor"/>
    </font>
    <font>
      <i/>
      <sz val="12"/>
      <color theme="1"/>
      <name val="Calibri"/>
      <family val="2"/>
      <scheme val="minor"/>
    </font>
    <font>
      <b/>
      <sz val="11"/>
      <color theme="1"/>
      <name val="Times New Roman"/>
      <family val="1"/>
    </font>
    <font>
      <b/>
      <sz val="11"/>
      <color rgb="FF000000"/>
      <name val="Times New Roman"/>
      <family val="1"/>
    </font>
    <font>
      <sz val="11"/>
      <color theme="1"/>
      <name val="Symbol"/>
      <family val="1"/>
      <charset val="2"/>
    </font>
    <font>
      <sz val="7"/>
      <color theme="1"/>
      <name val="Times New Roman"/>
      <family val="1"/>
    </font>
    <font>
      <sz val="11"/>
      <color rgb="FF000000"/>
      <name val="Times New Roman"/>
      <family val="1"/>
    </font>
    <font>
      <sz val="11"/>
      <color theme="1"/>
      <name val="Times New Roman"/>
      <family val="1"/>
    </font>
    <font>
      <b/>
      <sz val="12"/>
      <color rgb="FFFFFFFF"/>
      <name val="Times New Roman"/>
      <family val="1"/>
    </font>
    <font>
      <u/>
      <sz val="12"/>
      <color theme="10"/>
      <name val="Calibri"/>
      <family val="2"/>
      <scheme val="minor"/>
    </font>
    <font>
      <b/>
      <sz val="12"/>
      <color theme="1"/>
      <name val="Calibri"/>
      <family val="2"/>
      <scheme val="minor"/>
    </font>
    <font>
      <b/>
      <i/>
      <sz val="12"/>
      <color theme="1"/>
      <name val="Calibri"/>
      <family val="2"/>
      <scheme val="minor"/>
    </font>
    <font>
      <sz val="12"/>
      <color rgb="FFFF0000"/>
      <name val="Calibri"/>
      <family val="2"/>
      <scheme val="minor"/>
    </font>
    <font>
      <b/>
      <sz val="20"/>
      <color theme="1"/>
      <name val="Calibri"/>
      <family val="2"/>
      <scheme val="minor"/>
    </font>
    <font>
      <b/>
      <sz val="18"/>
      <color theme="1"/>
      <name val="Calibri"/>
      <family val="2"/>
      <scheme val="minor"/>
    </font>
    <font>
      <sz val="11"/>
      <color indexed="8"/>
      <name val="Arial"/>
      <family val="2"/>
    </font>
    <font>
      <sz val="10"/>
      <name val="Times New Roman"/>
      <family val="1"/>
      <charset val="204"/>
    </font>
    <font>
      <sz val="10"/>
      <color rgb="FFFF0000"/>
      <name val="Arial"/>
      <family val="2"/>
    </font>
    <font>
      <b/>
      <sz val="10"/>
      <color rgb="FFFF0000"/>
      <name val="Arial"/>
      <family val="2"/>
    </font>
    <font>
      <sz val="10"/>
      <color theme="1"/>
      <name val="Calibri"/>
      <family val="2"/>
      <scheme val="minor"/>
    </font>
    <font>
      <b/>
      <sz val="8"/>
      <color rgb="FFFFFFFF"/>
      <name val="Times New Roman"/>
      <family val="1"/>
    </font>
    <font>
      <b/>
      <sz val="11"/>
      <color rgb="FFFF0000"/>
      <name val="Times New Roman"/>
      <family val="1"/>
    </font>
    <font>
      <sz val="11"/>
      <color rgb="FFFF0000"/>
      <name val="Times New Roman"/>
      <family val="1"/>
    </font>
    <font>
      <b/>
      <sz val="11"/>
      <color rgb="FFFA7D00"/>
      <name val="Calibri"/>
      <family val="2"/>
      <scheme val="minor"/>
    </font>
    <font>
      <sz val="11"/>
      <color theme="0"/>
      <name val="Calibri"/>
      <family val="2"/>
      <scheme val="minor"/>
    </font>
    <font>
      <b/>
      <sz val="20"/>
      <color theme="2" tint="-9.9978637043366805E-2"/>
      <name val="Arial"/>
      <family val="2"/>
    </font>
    <font>
      <sz val="12"/>
      <color theme="3"/>
      <name val="Arial"/>
      <family val="2"/>
    </font>
    <font>
      <sz val="14"/>
      <color indexed="9"/>
      <name val="Arial"/>
      <family val="2"/>
    </font>
    <font>
      <sz val="10"/>
      <color indexed="9"/>
      <name val="Arial"/>
      <family val="2"/>
    </font>
    <font>
      <b/>
      <sz val="10"/>
      <color indexed="12"/>
      <name val="Arial"/>
      <family val="2"/>
    </font>
    <font>
      <b/>
      <sz val="14"/>
      <name val="Arial"/>
      <family val="2"/>
    </font>
    <font>
      <sz val="12"/>
      <color indexed="53"/>
      <name val="Arial"/>
      <family val="2"/>
    </font>
    <font>
      <sz val="10"/>
      <color rgb="FF000000"/>
      <name val="Times New Roman"/>
      <family val="1"/>
    </font>
    <font>
      <sz val="12"/>
      <color theme="1"/>
      <name val="Arial"/>
      <family val="2"/>
    </font>
    <font>
      <sz val="11"/>
      <color indexed="8"/>
      <name val="Calibri"/>
      <family val="2"/>
    </font>
    <font>
      <u/>
      <sz val="11"/>
      <color theme="10"/>
      <name val="Calibri"/>
      <family val="2"/>
      <scheme val="minor"/>
    </font>
    <font>
      <sz val="10"/>
      <name val="Courier"/>
      <family val="3"/>
    </font>
    <font>
      <sz val="11"/>
      <color rgb="FF9C6500"/>
      <name val="Calibri"/>
      <family val="2"/>
      <scheme val="minor"/>
    </font>
    <font>
      <sz val="10"/>
      <name val="Arial"/>
      <family val="2"/>
      <charset val="238"/>
    </font>
    <font>
      <b/>
      <sz val="14"/>
      <color theme="1"/>
      <name val="Calibri"/>
      <family val="2"/>
      <scheme val="minor"/>
    </font>
    <font>
      <b/>
      <sz val="16"/>
      <color theme="1"/>
      <name val="Calibri"/>
      <family val="2"/>
      <scheme val="minor"/>
    </font>
    <font>
      <b/>
      <sz val="12"/>
      <color rgb="FFFF0000"/>
      <name val="Calibri"/>
      <family val="2"/>
      <scheme val="minor"/>
    </font>
    <font>
      <b/>
      <sz val="14"/>
      <color rgb="FF212529"/>
      <name val="Times New Roman"/>
      <family val="1"/>
    </font>
    <font>
      <sz val="10"/>
      <name val="Arial"/>
      <family val="2"/>
    </font>
  </fonts>
  <fills count="2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EEAF6"/>
        <bgColor indexed="64"/>
      </patternFill>
    </fill>
    <fill>
      <patternFill patternType="solid">
        <fgColor rgb="FF6FAC46"/>
        <bgColor indexed="64"/>
      </patternFill>
    </fill>
    <fill>
      <patternFill patternType="solid">
        <fgColor rgb="FFE1EED9"/>
        <bgColor indexed="64"/>
      </patternFill>
    </fill>
    <fill>
      <patternFill patternType="solid">
        <fgColor rgb="FFD9D9D9"/>
        <bgColor indexed="64"/>
      </patternFill>
    </fill>
    <fill>
      <patternFill patternType="solid">
        <fgColor rgb="FFF9BE8F"/>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rgb="FFF2F2F2"/>
      </patternFill>
    </fill>
    <fill>
      <patternFill patternType="solid">
        <fgColor theme="5" tint="0.39997558519241921"/>
        <bgColor indexed="65"/>
      </patternFill>
    </fill>
    <fill>
      <patternFill patternType="solid">
        <fgColor theme="8" tint="0.79998168889431442"/>
        <bgColor indexed="65"/>
      </patternFill>
    </fill>
    <fill>
      <patternFill patternType="solid">
        <fgColor indexed="12"/>
        <bgColor indexed="64"/>
      </patternFill>
    </fill>
    <fill>
      <patternFill patternType="solid">
        <fgColor indexed="43"/>
        <bgColor indexed="64"/>
      </patternFill>
    </fill>
    <fill>
      <patternFill patternType="solid">
        <fgColor indexed="42"/>
        <bgColor indexed="64"/>
      </patternFill>
    </fill>
    <fill>
      <patternFill patternType="solid">
        <fgColor rgb="FF0070C0"/>
        <bgColor indexed="64"/>
      </patternFill>
    </fill>
    <fill>
      <patternFill patternType="solid">
        <fgColor theme="4" tint="0.59999389629810485"/>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right style="medium">
        <color rgb="FF9CC2E4"/>
      </right>
      <top/>
      <bottom/>
      <diagonal/>
    </border>
    <border>
      <left/>
      <right style="medium">
        <color rgb="FF9CC2E4"/>
      </right>
      <top/>
      <bottom style="medium">
        <color rgb="FF9CC2E4"/>
      </bottom>
      <diagonal/>
    </border>
    <border>
      <left/>
      <right/>
      <top/>
      <bottom style="medium">
        <color rgb="FFA8D08D"/>
      </bottom>
      <diagonal/>
    </border>
    <border>
      <left style="medium">
        <color rgb="FFA8D08D"/>
      </left>
      <right/>
      <top style="medium">
        <color rgb="FFA8D08D"/>
      </top>
      <bottom/>
      <diagonal/>
    </border>
    <border>
      <left style="medium">
        <color rgb="FFA8D08D"/>
      </left>
      <right/>
      <top/>
      <bottom style="medium">
        <color rgb="FFA8D08D"/>
      </bottom>
      <diagonal/>
    </border>
    <border>
      <left style="thin">
        <color indexed="64"/>
      </left>
      <right/>
      <top style="thin">
        <color rgb="FF000000"/>
      </top>
      <bottom/>
      <diagonal/>
    </border>
    <border>
      <left/>
      <right/>
      <top style="thin">
        <color rgb="FF000000"/>
      </top>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right style="thin">
        <color indexed="64"/>
      </right>
      <top style="thin">
        <color rgb="FF000000"/>
      </top>
      <bottom/>
      <diagonal/>
    </border>
    <border>
      <left/>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rgb="FF9CC2E4"/>
      </right>
      <top/>
      <bottom/>
      <diagonal/>
    </border>
    <border>
      <left/>
      <right style="medium">
        <color indexed="64"/>
      </right>
      <top/>
      <bottom/>
      <diagonal/>
    </border>
    <border>
      <left style="medium">
        <color indexed="64"/>
      </left>
      <right style="medium">
        <color rgb="FF9CC2E4"/>
      </right>
      <top/>
      <bottom style="medium">
        <color rgb="FF9CC2E4"/>
      </bottom>
      <diagonal/>
    </border>
    <border>
      <left style="medium">
        <color indexed="64"/>
      </left>
      <right style="medium">
        <color rgb="FF9CC2E4"/>
      </right>
      <top style="medium">
        <color rgb="FF9CC2E4"/>
      </top>
      <bottom/>
      <diagonal/>
    </border>
    <border>
      <left style="medium">
        <color indexed="64"/>
      </left>
      <right/>
      <top/>
      <bottom/>
      <diagonal/>
    </border>
    <border>
      <left style="medium">
        <color indexed="64"/>
      </left>
      <right style="medium">
        <color rgb="FFA8D08D"/>
      </right>
      <top/>
      <bottom style="medium">
        <color rgb="FFA8D08D"/>
      </bottom>
      <diagonal/>
    </border>
    <border>
      <left/>
      <right style="medium">
        <color indexed="64"/>
      </right>
      <top/>
      <bottom style="medium">
        <color rgb="FFA8D08D"/>
      </bottom>
      <diagonal/>
    </border>
    <border>
      <left style="medium">
        <color indexed="64"/>
      </left>
      <right style="medium">
        <color rgb="FFA8D08D"/>
      </right>
      <top/>
      <bottom/>
      <diagonal/>
    </border>
    <border>
      <left style="medium">
        <color rgb="FFA8D08D"/>
      </left>
      <right style="medium">
        <color indexed="64"/>
      </right>
      <top/>
      <bottom style="medium">
        <color rgb="FFA8D08D"/>
      </bottom>
      <diagonal/>
    </border>
    <border>
      <left style="medium">
        <color rgb="FFA8D08D"/>
      </left>
      <right style="medium">
        <color indexed="64"/>
      </right>
      <top style="medium">
        <color rgb="FFA8D08D"/>
      </top>
      <bottom/>
      <diagonal/>
    </border>
    <border>
      <left style="medium">
        <color indexed="64"/>
      </left>
      <right style="medium">
        <color rgb="FFA8D08D"/>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78">
    <xf numFmtId="0" fontId="0" fillId="0" borderId="0"/>
    <xf numFmtId="0" fontId="23" fillId="0" borderId="0"/>
    <xf numFmtId="0" fontId="23" fillId="0" borderId="0"/>
    <xf numFmtId="0" fontId="23" fillId="0" borderId="0"/>
    <xf numFmtId="0" fontId="16" fillId="0" borderId="0"/>
    <xf numFmtId="0" fontId="23" fillId="0" borderId="0"/>
    <xf numFmtId="164" fontId="23" fillId="0" borderId="0" applyFont="0" applyFill="0" applyBorder="0" applyAlignment="0" applyProtection="0"/>
    <xf numFmtId="43" fontId="23" fillId="0" borderId="0" applyFont="0" applyFill="0" applyBorder="0" applyAlignment="0" applyProtection="0"/>
    <xf numFmtId="9" fontId="23" fillId="0" borderId="0" applyFont="0" applyFill="0" applyBorder="0" applyAlignment="0" applyProtection="0"/>
    <xf numFmtId="0" fontId="23" fillId="0" borderId="0"/>
    <xf numFmtId="0" fontId="16" fillId="0" borderId="0"/>
    <xf numFmtId="0" fontId="37" fillId="0" borderId="0" applyNumberFormat="0" applyFill="0" applyBorder="0" applyAlignment="0" applyProtection="0">
      <alignment vertical="top"/>
      <protection locked="0"/>
    </xf>
    <xf numFmtId="0" fontId="15" fillId="0" borderId="0"/>
    <xf numFmtId="9" fontId="15" fillId="0" borderId="0" applyFont="0" applyFill="0" applyBorder="0" applyAlignment="0" applyProtection="0"/>
    <xf numFmtId="0" fontId="43" fillId="0" borderId="0"/>
    <xf numFmtId="43" fontId="43" fillId="0" borderId="0" applyFont="0" applyFill="0" applyBorder="0" applyAlignment="0" applyProtection="0"/>
    <xf numFmtId="164" fontId="15" fillId="0" borderId="0" applyFont="0" applyFill="0" applyBorder="0" applyAlignment="0" applyProtection="0"/>
    <xf numFmtId="9" fontId="43" fillId="0" borderId="0" applyFont="0" applyFill="0" applyBorder="0" applyAlignment="0" applyProtection="0"/>
    <xf numFmtId="9" fontId="44" fillId="0" borderId="0" applyFont="0" applyFill="0" applyBorder="0" applyAlignment="0" applyProtection="0"/>
    <xf numFmtId="0" fontId="45" fillId="0" borderId="17" applyNumberFormat="0" applyFill="0" applyAlignment="0" applyProtection="0"/>
    <xf numFmtId="0" fontId="46" fillId="0" borderId="18" applyNumberFormat="0" applyFill="0" applyAlignment="0" applyProtection="0"/>
    <xf numFmtId="0" fontId="47" fillId="4" borderId="0" applyNumberFormat="0" applyBorder="0" applyAlignment="0" applyProtection="0"/>
    <xf numFmtId="0" fontId="53" fillId="0" borderId="0"/>
    <xf numFmtId="0" fontId="62" fillId="0" borderId="0" applyNumberFormat="0" applyFill="0" applyBorder="0" applyAlignment="0" applyProtection="0"/>
    <xf numFmtId="169" fontId="53" fillId="0" borderId="0" applyFont="0" applyFill="0" applyBorder="0" applyAlignment="0" applyProtection="0"/>
    <xf numFmtId="9" fontId="53" fillId="0" borderId="0" applyFont="0" applyFill="0" applyBorder="0" applyAlignment="0" applyProtection="0"/>
    <xf numFmtId="0" fontId="4" fillId="0" borderId="0"/>
    <xf numFmtId="0" fontId="23" fillId="0" borderId="0"/>
    <xf numFmtId="0" fontId="23" fillId="0" borderId="0"/>
    <xf numFmtId="0" fontId="3" fillId="0" borderId="0"/>
    <xf numFmtId="43" fontId="23" fillId="0" borderId="0" applyFont="0" applyFill="0" applyBorder="0" applyAlignment="0" applyProtection="0"/>
    <xf numFmtId="43" fontId="2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43" fontId="43" fillId="0" borderId="0" applyFont="0" applyFill="0" applyBorder="0" applyAlignment="0" applyProtection="0"/>
    <xf numFmtId="43" fontId="3" fillId="0" borderId="0" applyFont="0" applyFill="0" applyBorder="0" applyAlignment="0" applyProtection="0"/>
    <xf numFmtId="173" fontId="23" fillId="0" borderId="0"/>
    <xf numFmtId="0" fontId="53" fillId="0" borderId="0"/>
    <xf numFmtId="0" fontId="85" fillId="0" borderId="0"/>
    <xf numFmtId="0" fontId="3" fillId="0" borderId="0"/>
    <xf numFmtId="0" fontId="86" fillId="0" borderId="0"/>
    <xf numFmtId="0" fontId="3" fillId="0" borderId="0"/>
    <xf numFmtId="9" fontId="3" fillId="0" borderId="0" applyFont="0" applyFill="0" applyBorder="0" applyAlignment="0" applyProtection="0"/>
    <xf numFmtId="0" fontId="3" fillId="0" borderId="0"/>
    <xf numFmtId="43" fontId="87" fillId="0" borderId="0" applyFont="0" applyFill="0" applyBorder="0" applyAlignment="0" applyProtection="0"/>
    <xf numFmtId="0" fontId="88"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76" fillId="15" borderId="16" applyNumberFormat="0" applyAlignment="0" applyProtection="0"/>
    <xf numFmtId="0" fontId="48" fillId="5" borderId="16" applyNumberFormat="0" applyAlignment="0" applyProtection="0"/>
    <xf numFmtId="0" fontId="37" fillId="0" borderId="0" applyNumberFormat="0" applyFill="0" applyBorder="0" applyAlignment="0" applyProtection="0">
      <alignment vertical="top"/>
      <protection locked="0"/>
    </xf>
    <xf numFmtId="43" fontId="2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17" borderId="0" applyNumberFormat="0" applyBorder="0" applyAlignment="0" applyProtection="0"/>
    <xf numFmtId="0" fontId="77" fillId="16" borderId="0" applyNumberFormat="0" applyBorder="0" applyAlignment="0" applyProtection="0"/>
    <xf numFmtId="43" fontId="3" fillId="0" borderId="0" applyFont="0" applyFill="0" applyBorder="0" applyAlignment="0" applyProtection="0"/>
    <xf numFmtId="0" fontId="90" fillId="14" borderId="0" applyNumberFormat="0" applyBorder="0" applyAlignment="0" applyProtection="0"/>
    <xf numFmtId="0" fontId="23" fillId="0" borderId="0"/>
    <xf numFmtId="0" fontId="23" fillId="0" borderId="0"/>
    <xf numFmtId="0" fontId="3" fillId="0" borderId="0"/>
    <xf numFmtId="0" fontId="23" fillId="0" borderId="0"/>
    <xf numFmtId="0" fontId="89" fillId="0" borderId="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0"/>
    <xf numFmtId="43" fontId="96" fillId="0" borderId="0" applyFont="0" applyFill="0" applyBorder="0" applyAlignment="0" applyProtection="0"/>
  </cellStyleXfs>
  <cellXfs count="343">
    <xf numFmtId="0" fontId="0" fillId="0" borderId="0" xfId="0"/>
    <xf numFmtId="0" fontId="17" fillId="0" borderId="0" xfId="0" applyFont="1"/>
    <xf numFmtId="0" fontId="19" fillId="0" borderId="0" xfId="0" applyFont="1"/>
    <xf numFmtId="0" fontId="20" fillId="0" borderId="0" xfId="0" applyFont="1"/>
    <xf numFmtId="0" fontId="21" fillId="0" borderId="0" xfId="0" applyFont="1"/>
    <xf numFmtId="0" fontId="18" fillId="0" borderId="0" xfId="0" applyFont="1"/>
    <xf numFmtId="0" fontId="19" fillId="0" borderId="0" xfId="0" applyFont="1" applyAlignment="1">
      <alignment horizontal="center" wrapText="1"/>
    </xf>
    <xf numFmtId="0" fontId="17" fillId="0" borderId="0" xfId="1" applyFont="1"/>
    <xf numFmtId="0" fontId="23" fillId="0" borderId="0" xfId="1"/>
    <xf numFmtId="0" fontId="20" fillId="0" borderId="0" xfId="1" applyFont="1"/>
    <xf numFmtId="0" fontId="26" fillId="0" borderId="0" xfId="1" applyFont="1"/>
    <xf numFmtId="0" fontId="19" fillId="0" borderId="0" xfId="1" applyFont="1"/>
    <xf numFmtId="0" fontId="27" fillId="0" borderId="0" xfId="0" applyFont="1"/>
    <xf numFmtId="0" fontId="28" fillId="0" borderId="0" xfId="0" applyFont="1"/>
    <xf numFmtId="0" fontId="29" fillId="0" borderId="0" xfId="0" applyFont="1"/>
    <xf numFmtId="0" fontId="21" fillId="0" borderId="0" xfId="1" applyFont="1"/>
    <xf numFmtId="0" fontId="28" fillId="0" borderId="0" xfId="1" applyFont="1"/>
    <xf numFmtId="0" fontId="29" fillId="0" borderId="0" xfId="1" applyFont="1"/>
    <xf numFmtId="49" fontId="28" fillId="0" borderId="0" xfId="0" applyNumberFormat="1" applyFont="1" applyAlignment="1">
      <alignment horizontal="left"/>
    </xf>
    <xf numFmtId="0" fontId="30" fillId="0" borderId="0" xfId="1" applyFont="1"/>
    <xf numFmtId="0" fontId="24" fillId="0" borderId="0" xfId="1" applyFont="1" applyAlignment="1">
      <alignment horizontal="center"/>
    </xf>
    <xf numFmtId="0" fontId="20" fillId="0" borderId="0" xfId="1" applyFont="1" applyAlignment="1">
      <alignment horizontal="center"/>
    </xf>
    <xf numFmtId="0" fontId="20" fillId="0" borderId="0" xfId="1" applyFont="1" applyAlignment="1">
      <alignment horizontal="center" wrapText="1"/>
    </xf>
    <xf numFmtId="0" fontId="26" fillId="0" borderId="0" xfId="0" applyFont="1"/>
    <xf numFmtId="0" fontId="29" fillId="3" borderId="0" xfId="0" applyFont="1" applyFill="1"/>
    <xf numFmtId="0" fontId="29" fillId="3" borderId="0" xfId="1" applyFont="1" applyFill="1"/>
    <xf numFmtId="0" fontId="20" fillId="0" borderId="0" xfId="0" applyFont="1" applyAlignment="1">
      <alignment horizontal="center"/>
    </xf>
    <xf numFmtId="0" fontId="28" fillId="0" borderId="0" xfId="0" applyFont="1" applyAlignment="1">
      <alignment horizontal="center"/>
    </xf>
    <xf numFmtId="0" fontId="33" fillId="0" borderId="0" xfId="3" applyFont="1"/>
    <xf numFmtId="0" fontId="20" fillId="0" borderId="0" xfId="3" applyFont="1"/>
    <xf numFmtId="0" fontId="20" fillId="0" borderId="0" xfId="2" applyFont="1"/>
    <xf numFmtId="0" fontId="35" fillId="0" borderId="0" xfId="1" applyFont="1"/>
    <xf numFmtId="0" fontId="36" fillId="0" borderId="0" xfId="2" applyFont="1"/>
    <xf numFmtId="0" fontId="20" fillId="0" borderId="0" xfId="2" applyFont="1" applyAlignment="1">
      <alignment horizontal="right"/>
    </xf>
    <xf numFmtId="0" fontId="29" fillId="0" borderId="0" xfId="2" applyFont="1"/>
    <xf numFmtId="0" fontId="15" fillId="0" borderId="0" xfId="12"/>
    <xf numFmtId="0" fontId="32" fillId="0" borderId="0" xfId="12" applyFont="1"/>
    <xf numFmtId="0" fontId="15" fillId="0" borderId="5" xfId="12" applyBorder="1" applyAlignment="1">
      <alignment horizontal="center"/>
    </xf>
    <xf numFmtId="0" fontId="15" fillId="0" borderId="0" xfId="12" applyAlignment="1">
      <alignment horizontal="center"/>
    </xf>
    <xf numFmtId="0" fontId="15" fillId="0" borderId="14" xfId="12" applyBorder="1" applyAlignment="1">
      <alignment horizontal="center"/>
    </xf>
    <xf numFmtId="0" fontId="15" fillId="0" borderId="4" xfId="12" applyBorder="1" applyAlignment="1">
      <alignment horizontal="center"/>
    </xf>
    <xf numFmtId="0" fontId="15" fillId="0" borderId="9" xfId="12" applyBorder="1" applyAlignment="1">
      <alignment horizontal="center"/>
    </xf>
    <xf numFmtId="0" fontId="15" fillId="0" borderId="4" xfId="12" applyBorder="1"/>
    <xf numFmtId="0" fontId="15" fillId="0" borderId="14" xfId="12" applyBorder="1"/>
    <xf numFmtId="0" fontId="15" fillId="0" borderId="8" xfId="12" applyBorder="1" applyAlignment="1">
      <alignment horizontal="center"/>
    </xf>
    <xf numFmtId="0" fontId="15" fillId="0" borderId="10" xfId="12" applyBorder="1" applyAlignment="1">
      <alignment horizontal="center"/>
    </xf>
    <xf numFmtId="0" fontId="15" fillId="0" borderId="3" xfId="12" applyBorder="1" applyAlignment="1">
      <alignment horizontal="center"/>
    </xf>
    <xf numFmtId="0" fontId="15" fillId="0" borderId="1" xfId="12" applyBorder="1" applyAlignment="1">
      <alignment horizontal="center"/>
    </xf>
    <xf numFmtId="0" fontId="15" fillId="0" borderId="6" xfId="12" applyBorder="1" applyAlignment="1">
      <alignment horizontal="center"/>
    </xf>
    <xf numFmtId="0" fontId="41" fillId="0" borderId="15" xfId="12" applyFont="1" applyBorder="1" applyAlignment="1">
      <alignment horizontal="center"/>
    </xf>
    <xf numFmtId="0" fontId="15" fillId="0" borderId="5" xfId="12" applyBorder="1"/>
    <xf numFmtId="0" fontId="15" fillId="0" borderId="15" xfId="12" applyBorder="1" applyAlignment="1">
      <alignment horizontal="center"/>
    </xf>
    <xf numFmtId="0" fontId="15" fillId="0" borderId="12" xfId="12" applyBorder="1" applyAlignment="1">
      <alignment horizontal="center"/>
    </xf>
    <xf numFmtId="0" fontId="39" fillId="0" borderId="0" xfId="12" applyFont="1"/>
    <xf numFmtId="0" fontId="41" fillId="0" borderId="0" xfId="12" applyFont="1"/>
    <xf numFmtId="0" fontId="38" fillId="0" borderId="0" xfId="12" applyFont="1"/>
    <xf numFmtId="0" fontId="40" fillId="0" borderId="0" xfId="12" applyFont="1"/>
    <xf numFmtId="0" fontId="38" fillId="0" borderId="14" xfId="12" applyFont="1" applyBorder="1" applyAlignment="1">
      <alignment horizontal="center"/>
    </xf>
    <xf numFmtId="0" fontId="42" fillId="0" borderId="0" xfId="12" applyFont="1"/>
    <xf numFmtId="0" fontId="15" fillId="0" borderId="5" xfId="12" applyBorder="1" applyAlignment="1">
      <alignment horizontal="center" textRotation="90"/>
    </xf>
    <xf numFmtId="0" fontId="15" fillId="0" borderId="4" xfId="12" applyBorder="1" applyAlignment="1">
      <alignment horizontal="center" textRotation="90"/>
    </xf>
    <xf numFmtId="0" fontId="15" fillId="0" borderId="0" xfId="12" applyAlignment="1">
      <alignment horizontal="center" textRotation="90"/>
    </xf>
    <xf numFmtId="0" fontId="23" fillId="0" borderId="0" xfId="0" applyFont="1"/>
    <xf numFmtId="0" fontId="14" fillId="0" borderId="5" xfId="12" applyFont="1" applyBorder="1" applyAlignment="1">
      <alignment horizontal="center" textRotation="90"/>
    </xf>
    <xf numFmtId="167" fontId="20" fillId="0" borderId="0" xfId="2" applyNumberFormat="1" applyFont="1"/>
    <xf numFmtId="0" fontId="0" fillId="0" borderId="4" xfId="0"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45" fillId="0" borderId="0" xfId="19" applyBorder="1"/>
    <xf numFmtId="0" fontId="0" fillId="0" borderId="1" xfId="0" applyBorder="1"/>
    <xf numFmtId="0" fontId="17" fillId="0" borderId="6" xfId="0" applyFont="1" applyBorder="1"/>
    <xf numFmtId="0" fontId="17" fillId="0" borderId="7" xfId="0" applyFont="1" applyBorder="1"/>
    <xf numFmtId="0" fontId="17" fillId="0" borderId="8" xfId="0" applyFont="1" applyBorder="1"/>
    <xf numFmtId="0" fontId="23" fillId="0" borderId="7" xfId="0" applyFont="1" applyBorder="1"/>
    <xf numFmtId="2" fontId="0" fillId="0" borderId="2" xfId="0" applyNumberFormat="1" applyBorder="1"/>
    <xf numFmtId="0" fontId="23" fillId="0" borderId="2" xfId="0" applyFont="1" applyBorder="1"/>
    <xf numFmtId="0" fontId="0" fillId="0" borderId="13" xfId="0" applyBorder="1"/>
    <xf numFmtId="0" fontId="0" fillId="0" borderId="11" xfId="0" applyBorder="1"/>
    <xf numFmtId="0" fontId="23" fillId="0" borderId="11" xfId="0" applyFont="1" applyBorder="1"/>
    <xf numFmtId="0" fontId="0" fillId="0" borderId="12" xfId="0" applyBorder="1"/>
    <xf numFmtId="2" fontId="20" fillId="0" borderId="0" xfId="0" applyNumberFormat="1" applyFont="1"/>
    <xf numFmtId="0" fontId="29" fillId="0" borderId="0" xfId="2" applyFont="1" applyAlignment="1">
      <alignment wrapText="1"/>
    </xf>
    <xf numFmtId="168" fontId="0" fillId="0" borderId="3" xfId="18" applyNumberFormat="1" applyFont="1" applyBorder="1"/>
    <xf numFmtId="0" fontId="20" fillId="0" borderId="0" xfId="2" applyFont="1" applyAlignment="1">
      <alignment wrapText="1"/>
    </xf>
    <xf numFmtId="165" fontId="20" fillId="0" borderId="0" xfId="0" applyNumberFormat="1" applyFont="1"/>
    <xf numFmtId="165" fontId="20" fillId="0" borderId="0" xfId="0" applyNumberFormat="1" applyFont="1" applyAlignment="1">
      <alignment horizontal="center"/>
    </xf>
    <xf numFmtId="0" fontId="20" fillId="0" borderId="0" xfId="2" applyFont="1" applyAlignment="1">
      <alignment horizontal="left"/>
    </xf>
    <xf numFmtId="0" fontId="20" fillId="0" borderId="0" xfId="0" applyFont="1" applyAlignment="1">
      <alignment horizontal="left"/>
    </xf>
    <xf numFmtId="0" fontId="13" fillId="0" borderId="5" xfId="12" applyFont="1" applyBorder="1" applyAlignment="1">
      <alignment horizontal="center" textRotation="90"/>
    </xf>
    <xf numFmtId="0" fontId="46" fillId="0" borderId="19" xfId="20" applyBorder="1" applyAlignment="1">
      <alignment horizontal="center"/>
    </xf>
    <xf numFmtId="0" fontId="12" fillId="0" borderId="5" xfId="12" applyFont="1" applyBorder="1" applyAlignment="1">
      <alignment horizontal="center" textRotation="90"/>
    </xf>
    <xf numFmtId="0" fontId="15" fillId="0" borderId="13" xfId="12" applyBorder="1" applyAlignment="1">
      <alignment horizontal="center"/>
    </xf>
    <xf numFmtId="165" fontId="23" fillId="0" borderId="5" xfId="0" applyNumberFormat="1" applyFont="1" applyBorder="1"/>
    <xf numFmtId="165" fontId="23" fillId="0" borderId="2" xfId="0" applyNumberFormat="1" applyFont="1" applyBorder="1"/>
    <xf numFmtId="2" fontId="23" fillId="0" borderId="11" xfId="0" applyNumberFormat="1" applyFont="1" applyBorder="1"/>
    <xf numFmtId="0" fontId="23" fillId="0" borderId="3" xfId="0" applyFont="1" applyBorder="1"/>
    <xf numFmtId="0" fontId="11" fillId="0" borderId="5" xfId="12" applyFont="1" applyBorder="1" applyAlignment="1">
      <alignment horizontal="center" textRotation="90"/>
    </xf>
    <xf numFmtId="2" fontId="23" fillId="0" borderId="2" xfId="0" applyNumberFormat="1" applyFont="1" applyBorder="1"/>
    <xf numFmtId="0" fontId="10" fillId="0" borderId="0" xfId="12" applyFont="1"/>
    <xf numFmtId="0" fontId="10" fillId="0" borderId="5" xfId="12" applyFont="1" applyBorder="1" applyAlignment="1">
      <alignment horizontal="center" textRotation="90"/>
    </xf>
    <xf numFmtId="0" fontId="50" fillId="6" borderId="20" xfId="0" applyFont="1" applyFill="1" applyBorder="1" applyAlignment="1">
      <alignment horizontal="center" vertical="center"/>
    </xf>
    <xf numFmtId="0" fontId="50" fillId="6" borderId="21" xfId="0" applyFont="1" applyFill="1" applyBorder="1" applyAlignment="1">
      <alignment horizontal="center" vertical="center"/>
    </xf>
    <xf numFmtId="0" fontId="49" fillId="0" borderId="22" xfId="0" applyFont="1" applyBorder="1" applyAlignment="1">
      <alignment vertical="center"/>
    </xf>
    <xf numFmtId="0" fontId="49" fillId="0" borderId="23" xfId="0" applyFont="1" applyBorder="1" applyAlignment="1">
      <alignment vertical="center"/>
    </xf>
    <xf numFmtId="0" fontId="49" fillId="0" borderId="0" xfId="0" applyFont="1" applyAlignment="1">
      <alignment vertical="center"/>
    </xf>
    <xf numFmtId="0" fontId="49" fillId="0" borderId="24" xfId="0" applyFont="1" applyBorder="1" applyAlignment="1">
      <alignment vertical="center"/>
    </xf>
    <xf numFmtId="0" fontId="23" fillId="0" borderId="13" xfId="0" applyFont="1" applyBorder="1"/>
    <xf numFmtId="2" fontId="47" fillId="4" borderId="11" xfId="21" applyNumberFormat="1" applyBorder="1"/>
    <xf numFmtId="0" fontId="9" fillId="0" borderId="5" xfId="12" applyFont="1" applyBorder="1" applyAlignment="1">
      <alignment horizontal="center" textRotation="90"/>
    </xf>
    <xf numFmtId="0" fontId="8" fillId="0" borderId="5" xfId="12" applyFont="1" applyBorder="1" applyAlignment="1">
      <alignment horizontal="center" textRotation="90"/>
    </xf>
    <xf numFmtId="0" fontId="8" fillId="0" borderId="14" xfId="12" applyFont="1" applyBorder="1" applyAlignment="1">
      <alignment horizontal="center"/>
    </xf>
    <xf numFmtId="4" fontId="0" fillId="0" borderId="0" xfId="0" applyNumberFormat="1"/>
    <xf numFmtId="4" fontId="0" fillId="0" borderId="2" xfId="0" applyNumberFormat="1" applyBorder="1"/>
    <xf numFmtId="0" fontId="47" fillId="4" borderId="0" xfId="21" applyAlignment="1">
      <alignment horizontal="center"/>
    </xf>
    <xf numFmtId="0" fontId="47" fillId="4" borderId="0" xfId="21"/>
    <xf numFmtId="0" fontId="7" fillId="0" borderId="9" xfId="12" applyFont="1" applyBorder="1" applyAlignment="1">
      <alignment horizontal="center"/>
    </xf>
    <xf numFmtId="2" fontId="20" fillId="0" borderId="0" xfId="0" applyNumberFormat="1" applyFont="1" applyAlignment="1">
      <alignment horizontal="center"/>
    </xf>
    <xf numFmtId="0" fontId="7" fillId="0" borderId="5" xfId="12" applyFont="1" applyBorder="1" applyAlignment="1">
      <alignment horizontal="center" textRotation="90"/>
    </xf>
    <xf numFmtId="0" fontId="54" fillId="0" borderId="0" xfId="22" applyFont="1"/>
    <xf numFmtId="0" fontId="53" fillId="0" borderId="0" xfId="22"/>
    <xf numFmtId="0" fontId="53" fillId="0" borderId="1" xfId="22" applyBorder="1"/>
    <xf numFmtId="0" fontId="53" fillId="0" borderId="2" xfId="22" applyBorder="1"/>
    <xf numFmtId="0" fontId="53" fillId="0" borderId="3" xfId="22" applyBorder="1"/>
    <xf numFmtId="0" fontId="57" fillId="7" borderId="25" xfId="22" applyFont="1" applyFill="1" applyBorder="1" applyAlignment="1">
      <alignment horizontal="left" vertical="center" wrapText="1" indent="2"/>
    </xf>
    <xf numFmtId="0" fontId="53" fillId="0" borderId="5" xfId="22" applyBorder="1"/>
    <xf numFmtId="0" fontId="57" fillId="7" borderId="26" xfId="22" applyFont="1" applyFill="1" applyBorder="1" applyAlignment="1">
      <alignment horizontal="left" vertical="center" wrapText="1" indent="2"/>
    </xf>
    <xf numFmtId="0" fontId="57" fillId="0" borderId="25" xfId="22" applyFont="1" applyBorder="1" applyAlignment="1">
      <alignment horizontal="left" vertical="center" wrapText="1" indent="2"/>
    </xf>
    <xf numFmtId="0" fontId="57" fillId="0" borderId="26" xfId="22" applyFont="1" applyBorder="1" applyAlignment="1">
      <alignment horizontal="left" vertical="center" wrapText="1" indent="2"/>
    </xf>
    <xf numFmtId="0" fontId="53" fillId="0" borderId="4" xfId="22" applyBorder="1"/>
    <xf numFmtId="0" fontId="62" fillId="0" borderId="1" xfId="23" applyBorder="1"/>
    <xf numFmtId="0" fontId="59" fillId="9" borderId="27" xfId="22" applyFont="1" applyFill="1" applyBorder="1" applyAlignment="1">
      <alignment horizontal="center" vertical="center" wrapText="1"/>
    </xf>
    <xf numFmtId="0" fontId="53" fillId="3" borderId="0" xfId="22" applyFill="1"/>
    <xf numFmtId="9" fontId="53" fillId="0" borderId="0" xfId="22" applyNumberFormat="1"/>
    <xf numFmtId="0" fontId="62" fillId="0" borderId="0" xfId="23"/>
    <xf numFmtId="0" fontId="53" fillId="0" borderId="6" xfId="22" applyBorder="1"/>
    <xf numFmtId="0" fontId="53" fillId="0" borderId="7" xfId="22" applyBorder="1"/>
    <xf numFmtId="0" fontId="53" fillId="0" borderId="8" xfId="22" applyBorder="1"/>
    <xf numFmtId="0" fontId="60" fillId="0" borderId="27" xfId="22" applyFont="1" applyBorder="1" applyAlignment="1">
      <alignment horizontal="center" vertical="center" wrapText="1"/>
    </xf>
    <xf numFmtId="0" fontId="62" fillId="0" borderId="4" xfId="23" applyBorder="1"/>
    <xf numFmtId="0" fontId="59" fillId="9" borderId="7" xfId="22" applyFont="1" applyFill="1" applyBorder="1" applyAlignment="1">
      <alignment horizontal="center" vertical="center" wrapText="1"/>
    </xf>
    <xf numFmtId="169" fontId="63" fillId="0" borderId="0" xfId="24" applyFont="1"/>
    <xf numFmtId="170" fontId="63" fillId="0" borderId="0" xfId="24" applyNumberFormat="1" applyFont="1"/>
    <xf numFmtId="0" fontId="63" fillId="0" borderId="0" xfId="22" applyFont="1"/>
    <xf numFmtId="170" fontId="53" fillId="0" borderId="0" xfId="22" applyNumberFormat="1"/>
    <xf numFmtId="171" fontId="53" fillId="0" borderId="0" xfId="22" applyNumberFormat="1"/>
    <xf numFmtId="1" fontId="53" fillId="0" borderId="0" xfId="22" applyNumberFormat="1"/>
    <xf numFmtId="0" fontId="63" fillId="0" borderId="4" xfId="22" applyFont="1" applyBorder="1"/>
    <xf numFmtId="0" fontId="53" fillId="0" borderId="10" xfId="22" applyBorder="1"/>
    <xf numFmtId="0" fontId="63" fillId="0" borderId="10" xfId="22" applyFont="1" applyBorder="1"/>
    <xf numFmtId="0" fontId="64" fillId="0" borderId="10" xfId="22" applyFont="1" applyBorder="1"/>
    <xf numFmtId="2" fontId="64" fillId="0" borderId="10" xfId="22" applyNumberFormat="1" applyFont="1" applyBorder="1"/>
    <xf numFmtId="2" fontId="63" fillId="0" borderId="10" xfId="22" applyNumberFormat="1" applyFont="1" applyBorder="1"/>
    <xf numFmtId="2" fontId="53" fillId="0" borderId="10" xfId="22" applyNumberFormat="1" applyBorder="1"/>
    <xf numFmtId="9" fontId="53" fillId="0" borderId="10" xfId="22" applyNumberFormat="1" applyBorder="1"/>
    <xf numFmtId="9" fontId="53" fillId="3" borderId="10" xfId="22" applyNumberFormat="1" applyFill="1" applyBorder="1"/>
    <xf numFmtId="9" fontId="53" fillId="3" borderId="0" xfId="22" applyNumberFormat="1" applyFill="1"/>
    <xf numFmtId="0" fontId="53" fillId="0" borderId="0" xfId="22" applyAlignment="1">
      <alignment horizontal="right"/>
    </xf>
    <xf numFmtId="2" fontId="53" fillId="0" borderId="0" xfId="22" applyNumberFormat="1"/>
    <xf numFmtId="0" fontId="63" fillId="0" borderId="0" xfId="22" applyFont="1" applyAlignment="1">
      <alignment horizontal="left"/>
    </xf>
    <xf numFmtId="43" fontId="53" fillId="0" borderId="0" xfId="22" applyNumberFormat="1"/>
    <xf numFmtId="2" fontId="65" fillId="0" borderId="0" xfId="22" applyNumberFormat="1" applyFont="1"/>
    <xf numFmtId="0" fontId="65" fillId="0" borderId="0" xfId="22" applyFont="1"/>
    <xf numFmtId="0" fontId="65" fillId="0" borderId="4" xfId="22" applyFont="1" applyBorder="1"/>
    <xf numFmtId="0" fontId="66" fillId="0" borderId="0" xfId="22" applyFont="1"/>
    <xf numFmtId="9" fontId="0" fillId="0" borderId="0" xfId="25" applyFont="1"/>
    <xf numFmtId="172" fontId="53" fillId="0" borderId="0" xfId="22" applyNumberFormat="1"/>
    <xf numFmtId="9" fontId="53" fillId="0" borderId="1" xfId="22" applyNumberFormat="1" applyBorder="1"/>
    <xf numFmtId="9" fontId="53" fillId="0" borderId="4" xfId="22" applyNumberFormat="1" applyBorder="1"/>
    <xf numFmtId="9" fontId="53" fillId="0" borderId="6" xfId="22" applyNumberFormat="1" applyBorder="1"/>
    <xf numFmtId="2" fontId="63" fillId="0" borderId="0" xfId="22" applyNumberFormat="1" applyFont="1"/>
    <xf numFmtId="172" fontId="63" fillId="0" borderId="0" xfId="22" applyNumberFormat="1" applyFont="1"/>
    <xf numFmtId="165" fontId="53" fillId="0" borderId="0" xfId="22" applyNumberFormat="1"/>
    <xf numFmtId="0" fontId="67" fillId="0" borderId="0" xfId="22" applyFont="1"/>
    <xf numFmtId="0" fontId="63" fillId="0" borderId="1" xfId="22" applyFont="1" applyBorder="1"/>
    <xf numFmtId="0" fontId="63" fillId="0" borderId="2" xfId="22" applyFont="1" applyBorder="1"/>
    <xf numFmtId="170" fontId="0" fillId="0" borderId="0" xfId="24" applyNumberFormat="1" applyFont="1" applyBorder="1"/>
    <xf numFmtId="0" fontId="53" fillId="0" borderId="2" xfId="22" applyBorder="1" applyAlignment="1">
      <alignment wrapText="1"/>
    </xf>
    <xf numFmtId="0" fontId="68" fillId="10" borderId="30" xfId="22" applyFont="1" applyFill="1" applyBorder="1" applyAlignment="1">
      <alignment horizontal="left" vertical="top" wrapText="1" indent="1"/>
    </xf>
    <xf numFmtId="0" fontId="68" fillId="10" borderId="31" xfId="22" applyFont="1" applyFill="1" applyBorder="1" applyAlignment="1">
      <alignment horizontal="center" vertical="top" wrapText="1"/>
    </xf>
    <xf numFmtId="0" fontId="69" fillId="10" borderId="1" xfId="22" applyFont="1" applyFill="1" applyBorder="1" applyAlignment="1">
      <alignment horizontal="left" wrapText="1"/>
    </xf>
    <xf numFmtId="0" fontId="69" fillId="11" borderId="4" xfId="22" applyFont="1" applyFill="1" applyBorder="1" applyAlignment="1">
      <alignment horizontal="left" vertical="center" wrapText="1"/>
    </xf>
    <xf numFmtId="0" fontId="69" fillId="11" borderId="0" xfId="22" applyFont="1" applyFill="1" applyAlignment="1">
      <alignment horizontal="left" vertical="center" wrapText="1"/>
    </xf>
    <xf numFmtId="0" fontId="68" fillId="11" borderId="4" xfId="22" applyFont="1" applyFill="1" applyBorder="1" applyAlignment="1">
      <alignment horizontal="center" vertical="top" wrapText="1"/>
    </xf>
    <xf numFmtId="0" fontId="68" fillId="11" borderId="0" xfId="22" applyFont="1" applyFill="1" applyAlignment="1">
      <alignment horizontal="center" vertical="top" wrapText="1"/>
    </xf>
    <xf numFmtId="0" fontId="68" fillId="11" borderId="5" xfId="22" applyFont="1" applyFill="1" applyBorder="1" applyAlignment="1">
      <alignment horizontal="center" vertical="top" wrapText="1"/>
    </xf>
    <xf numFmtId="0" fontId="68" fillId="11" borderId="0" xfId="22" applyFont="1" applyFill="1" applyAlignment="1">
      <alignment horizontal="left" vertical="top" wrapText="1" indent="1"/>
    </xf>
    <xf numFmtId="0" fontId="69" fillId="11" borderId="32" xfId="22" applyFont="1" applyFill="1" applyBorder="1" applyAlignment="1">
      <alignment horizontal="left" wrapText="1"/>
    </xf>
    <xf numFmtId="0" fontId="68" fillId="11" borderId="33" xfId="22" applyFont="1" applyFill="1" applyBorder="1" applyAlignment="1">
      <alignment horizontal="center" vertical="top" wrapText="1"/>
    </xf>
    <xf numFmtId="0" fontId="68" fillId="11" borderId="32" xfId="22" applyFont="1" applyFill="1" applyBorder="1" applyAlignment="1">
      <alignment horizontal="center" vertical="top" wrapText="1"/>
    </xf>
    <xf numFmtId="0" fontId="68" fillId="11" borderId="34" xfId="22" applyFont="1" applyFill="1" applyBorder="1" applyAlignment="1">
      <alignment horizontal="center" vertical="top" wrapText="1"/>
    </xf>
    <xf numFmtId="0" fontId="68" fillId="11" borderId="33" xfId="22" applyFont="1" applyFill="1" applyBorder="1" applyAlignment="1">
      <alignment horizontal="left" vertical="top" wrapText="1" indent="2"/>
    </xf>
    <xf numFmtId="1" fontId="68" fillId="0" borderId="30" xfId="22" applyNumberFormat="1" applyFont="1" applyBorder="1" applyAlignment="1">
      <alignment horizontal="left" vertical="top" indent="1" shrinkToFit="1"/>
    </xf>
    <xf numFmtId="0" fontId="68" fillId="0" borderId="31" xfId="22" applyFont="1" applyBorder="1" applyAlignment="1">
      <alignment horizontal="center" vertical="top" wrapText="1"/>
    </xf>
    <xf numFmtId="1" fontId="68" fillId="0" borderId="30" xfId="22" applyNumberFormat="1" applyFont="1" applyBorder="1" applyAlignment="1">
      <alignment horizontal="center" vertical="top" shrinkToFit="1"/>
    </xf>
    <xf numFmtId="0" fontId="68" fillId="0" borderId="35" xfId="22" applyFont="1" applyBorder="1" applyAlignment="1">
      <alignment horizontal="center" vertical="top" wrapText="1"/>
    </xf>
    <xf numFmtId="0" fontId="68" fillId="0" borderId="31" xfId="22" applyFont="1" applyBorder="1" applyAlignment="1">
      <alignment horizontal="left" vertical="top" wrapText="1" indent="1"/>
    </xf>
    <xf numFmtId="0" fontId="68" fillId="0" borderId="31" xfId="22" applyFont="1" applyBorder="1" applyAlignment="1">
      <alignment horizontal="right" vertical="top" wrapText="1" indent="1"/>
    </xf>
    <xf numFmtId="0" fontId="68" fillId="0" borderId="31" xfId="22" applyFont="1" applyBorder="1" applyAlignment="1">
      <alignment horizontal="left" vertical="top" wrapText="1" indent="2"/>
    </xf>
    <xf numFmtId="1" fontId="68" fillId="0" borderId="4" xfId="22" applyNumberFormat="1" applyFont="1" applyBorder="1" applyAlignment="1">
      <alignment horizontal="left" vertical="top" indent="1" shrinkToFit="1"/>
    </xf>
    <xf numFmtId="0" fontId="68" fillId="0" borderId="0" xfId="22" applyFont="1" applyAlignment="1">
      <alignment horizontal="center" vertical="top" wrapText="1"/>
    </xf>
    <xf numFmtId="1" fontId="68" fillId="0" borderId="4" xfId="22" applyNumberFormat="1" applyFont="1" applyBorder="1" applyAlignment="1">
      <alignment horizontal="center" vertical="top" shrinkToFit="1"/>
    </xf>
    <xf numFmtId="0" fontId="68" fillId="0" borderId="5" xfId="22" applyFont="1" applyBorder="1" applyAlignment="1">
      <alignment horizontal="center" vertical="top" wrapText="1"/>
    </xf>
    <xf numFmtId="0" fontId="68" fillId="0" borderId="0" xfId="22" applyFont="1" applyAlignment="1">
      <alignment horizontal="left" vertical="top" wrapText="1" indent="1"/>
    </xf>
    <xf numFmtId="0" fontId="68" fillId="0" borderId="0" xfId="22" applyFont="1" applyAlignment="1">
      <alignment horizontal="right" vertical="top" wrapText="1" indent="1"/>
    </xf>
    <xf numFmtId="0" fontId="68" fillId="0" borderId="0" xfId="22" applyFont="1" applyAlignment="1">
      <alignment horizontal="left" vertical="top" wrapText="1" indent="2"/>
    </xf>
    <xf numFmtId="1" fontId="68" fillId="0" borderId="32" xfId="22" applyNumberFormat="1" applyFont="1" applyBorder="1" applyAlignment="1">
      <alignment horizontal="left" vertical="top" indent="1" shrinkToFit="1"/>
    </xf>
    <xf numFmtId="0" fontId="68" fillId="0" borderId="33" xfId="22" applyFont="1" applyBorder="1" applyAlignment="1">
      <alignment horizontal="center" vertical="top" wrapText="1"/>
    </xf>
    <xf numFmtId="1" fontId="68" fillId="0" borderId="6" xfId="22" applyNumberFormat="1" applyFont="1" applyBorder="1" applyAlignment="1">
      <alignment horizontal="center" vertical="top" shrinkToFit="1"/>
    </xf>
    <xf numFmtId="0" fontId="68" fillId="0" borderId="7" xfId="22" applyFont="1" applyBorder="1" applyAlignment="1">
      <alignment horizontal="center" vertical="top" wrapText="1"/>
    </xf>
    <xf numFmtId="0" fontId="68" fillId="0" borderId="8" xfId="22" applyFont="1" applyBorder="1" applyAlignment="1">
      <alignment horizontal="center" vertical="top" wrapText="1"/>
    </xf>
    <xf numFmtId="0" fontId="68" fillId="0" borderId="33" xfId="22" applyFont="1" applyBorder="1" applyAlignment="1">
      <alignment horizontal="left" vertical="top" wrapText="1" indent="1"/>
    </xf>
    <xf numFmtId="0" fontId="68" fillId="0" borderId="33" xfId="22" applyFont="1" applyBorder="1" applyAlignment="1">
      <alignment horizontal="right" vertical="top" wrapText="1" indent="1"/>
    </xf>
    <xf numFmtId="0" fontId="6" fillId="0" borderId="5" xfId="12" applyFont="1" applyBorder="1" applyAlignment="1">
      <alignment horizontal="center" textRotation="90"/>
    </xf>
    <xf numFmtId="0" fontId="0" fillId="12" borderId="0" xfId="0" applyFill="1"/>
    <xf numFmtId="0" fontId="23" fillId="12" borderId="0" xfId="0" applyFont="1" applyFill="1"/>
    <xf numFmtId="0" fontId="0" fillId="13" borderId="0" xfId="0" applyFill="1"/>
    <xf numFmtId="0" fontId="23" fillId="13" borderId="0" xfId="0" applyFont="1" applyFill="1"/>
    <xf numFmtId="0" fontId="70" fillId="13" borderId="0" xfId="0" applyFont="1" applyFill="1"/>
    <xf numFmtId="0" fontId="71" fillId="13" borderId="0" xfId="0" applyFont="1" applyFill="1" applyAlignment="1">
      <alignment horizontal="center"/>
    </xf>
    <xf numFmtId="0" fontId="23" fillId="13" borderId="0" xfId="0" applyFont="1" applyFill="1" applyAlignment="1">
      <alignment horizontal="center"/>
    </xf>
    <xf numFmtId="0" fontId="0" fillId="13" borderId="0" xfId="0" applyFill="1" applyAlignment="1">
      <alignment horizontal="center"/>
    </xf>
    <xf numFmtId="0" fontId="17" fillId="13" borderId="0" xfId="0" applyFont="1" applyFill="1"/>
    <xf numFmtId="0" fontId="0" fillId="0" borderId="5" xfId="0" applyBorder="1"/>
    <xf numFmtId="168" fontId="0" fillId="0" borderId="3" xfId="8" applyNumberFormat="1" applyFont="1" applyBorder="1"/>
    <xf numFmtId="2" fontId="0" fillId="0" borderId="0" xfId="0" applyNumberFormat="1"/>
    <xf numFmtId="0" fontId="70" fillId="0" borderId="0" xfId="0" applyFont="1"/>
    <xf numFmtId="2" fontId="47" fillId="4" borderId="0" xfId="21" applyNumberFormat="1" applyAlignment="1">
      <alignment horizontal="center"/>
    </xf>
    <xf numFmtId="166" fontId="59" fillId="9" borderId="27" xfId="22" applyNumberFormat="1" applyFont="1" applyFill="1" applyBorder="1" applyAlignment="1">
      <alignment horizontal="center" vertical="center" wrapText="1"/>
    </xf>
    <xf numFmtId="0" fontId="5" fillId="0" borderId="5" xfId="12" applyFont="1" applyBorder="1" applyAlignment="1">
      <alignment horizontal="center" textRotation="90"/>
    </xf>
    <xf numFmtId="15" fontId="0" fillId="0" borderId="0" xfId="0" applyNumberFormat="1"/>
    <xf numFmtId="0" fontId="4" fillId="0" borderId="0" xfId="26"/>
    <xf numFmtId="0" fontId="4" fillId="0" borderId="5" xfId="26" applyBorder="1" applyAlignment="1">
      <alignment horizontal="center"/>
    </xf>
    <xf numFmtId="0" fontId="4" fillId="0" borderId="14" xfId="26" applyBorder="1" applyAlignment="1">
      <alignment horizontal="center"/>
    </xf>
    <xf numFmtId="0" fontId="4" fillId="0" borderId="0" xfId="26" applyAlignment="1">
      <alignment horizontal="center"/>
    </xf>
    <xf numFmtId="0" fontId="4" fillId="0" borderId="4" xfId="26" applyBorder="1" applyAlignment="1">
      <alignment horizontal="center"/>
    </xf>
    <xf numFmtId="0" fontId="39" fillId="0" borderId="0" xfId="26" applyFont="1"/>
    <xf numFmtId="0" fontId="4" fillId="0" borderId="9" xfId="26" applyBorder="1" applyAlignment="1">
      <alignment horizontal="center"/>
    </xf>
    <xf numFmtId="0" fontId="4" fillId="0" borderId="14" xfId="26" applyBorder="1"/>
    <xf numFmtId="0" fontId="4" fillId="0" borderId="12" xfId="26" applyBorder="1" applyAlignment="1">
      <alignment horizontal="center"/>
    </xf>
    <xf numFmtId="0" fontId="4" fillId="0" borderId="13" xfId="26" applyBorder="1" applyAlignment="1">
      <alignment horizontal="center"/>
    </xf>
    <xf numFmtId="0" fontId="4" fillId="0" borderId="10" xfId="26" applyBorder="1" applyAlignment="1">
      <alignment horizontal="center"/>
    </xf>
    <xf numFmtId="0" fontId="41" fillId="0" borderId="0" xfId="26" applyFont="1"/>
    <xf numFmtId="0" fontId="4" fillId="0" borderId="3" xfId="26" applyBorder="1" applyAlignment="1">
      <alignment horizontal="center"/>
    </xf>
    <xf numFmtId="0" fontId="4" fillId="0" borderId="1" xfId="26" applyBorder="1" applyAlignment="1">
      <alignment horizontal="center"/>
    </xf>
    <xf numFmtId="0" fontId="38" fillId="0" borderId="14" xfId="26" applyFont="1" applyBorder="1" applyAlignment="1">
      <alignment horizontal="center"/>
    </xf>
    <xf numFmtId="0" fontId="4" fillId="0" borderId="8" xfId="26" applyBorder="1" applyAlignment="1">
      <alignment horizontal="center"/>
    </xf>
    <xf numFmtId="0" fontId="4" fillId="0" borderId="6" xfId="26" applyBorder="1" applyAlignment="1">
      <alignment horizontal="center"/>
    </xf>
    <xf numFmtId="0" fontId="41" fillId="0" borderId="15" xfId="26" applyFont="1" applyBorder="1" applyAlignment="1">
      <alignment horizontal="center"/>
    </xf>
    <xf numFmtId="0" fontId="32" fillId="0" borderId="0" xfId="26" applyFont="1"/>
    <xf numFmtId="0" fontId="38" fillId="0" borderId="0" xfId="26" applyFont="1"/>
    <xf numFmtId="0" fontId="4" fillId="0" borderId="4" xfId="26" applyBorder="1"/>
    <xf numFmtId="0" fontId="4" fillId="0" borderId="15" xfId="26" applyBorder="1" applyAlignment="1">
      <alignment horizontal="center"/>
    </xf>
    <xf numFmtId="0" fontId="40" fillId="0" borderId="0" xfId="26" applyFont="1"/>
    <xf numFmtId="0" fontId="42" fillId="0" borderId="0" xfId="26" applyFont="1"/>
    <xf numFmtId="0" fontId="4" fillId="0" borderId="5" xfId="26" applyBorder="1"/>
    <xf numFmtId="0" fontId="4" fillId="0" borderId="5" xfId="26" applyBorder="1" applyAlignment="1">
      <alignment horizontal="center" textRotation="90"/>
    </xf>
    <xf numFmtId="0" fontId="4" fillId="0" borderId="0" xfId="26" applyAlignment="1">
      <alignment horizontal="center" textRotation="90"/>
    </xf>
    <xf numFmtId="0" fontId="4" fillId="0" borderId="4" xfId="26" applyBorder="1" applyAlignment="1">
      <alignment horizontal="center" textRotation="90"/>
    </xf>
    <xf numFmtId="0" fontId="78" fillId="0" borderId="0" xfId="5" applyFont="1"/>
    <xf numFmtId="0" fontId="23" fillId="0" borderId="0" xfId="2"/>
    <xf numFmtId="0" fontId="79" fillId="0" borderId="0" xfId="5" applyFont="1"/>
    <xf numFmtId="0" fontId="80" fillId="18" borderId="0" xfId="2" applyFont="1" applyFill="1"/>
    <xf numFmtId="0" fontId="81" fillId="18" borderId="0" xfId="2" applyFont="1" applyFill="1"/>
    <xf numFmtId="0" fontId="82" fillId="0" borderId="0" xfId="2" applyFont="1"/>
    <xf numFmtId="0" fontId="17" fillId="19" borderId="2" xfId="2" applyFont="1" applyFill="1" applyBorder="1"/>
    <xf numFmtId="0" fontId="17" fillId="19" borderId="11" xfId="2" applyFont="1" applyFill="1" applyBorder="1"/>
    <xf numFmtId="0" fontId="17" fillId="19" borderId="2" xfId="2" applyFont="1" applyFill="1" applyBorder="1" applyAlignment="1">
      <alignment horizontal="left"/>
    </xf>
    <xf numFmtId="0" fontId="23" fillId="20" borderId="36" xfId="27" applyFill="1" applyBorder="1" applyAlignment="1">
      <alignment horizontal="left" wrapText="1"/>
    </xf>
    <xf numFmtId="0" fontId="23" fillId="20" borderId="37" xfId="27" applyFill="1" applyBorder="1" applyAlignment="1">
      <alignment horizontal="left" wrapText="1"/>
    </xf>
    <xf numFmtId="0" fontId="23" fillId="0" borderId="0" xfId="27"/>
    <xf numFmtId="0" fontId="83" fillId="0" borderId="0" xfId="27" applyFont="1"/>
    <xf numFmtId="0" fontId="84" fillId="0" borderId="0" xfId="27" applyFont="1"/>
    <xf numFmtId="0" fontId="80" fillId="18" borderId="0" xfId="27" applyFont="1" applyFill="1"/>
    <xf numFmtId="0" fontId="82" fillId="0" borderId="0" xfId="27" applyFont="1"/>
    <xf numFmtId="0" fontId="17" fillId="19" borderId="11" xfId="27" applyFont="1" applyFill="1" applyBorder="1"/>
    <xf numFmtId="0" fontId="23" fillId="2" borderId="0" xfId="27" applyFill="1"/>
    <xf numFmtId="0" fontId="20" fillId="0" borderId="0" xfId="2" applyFont="1" applyAlignment="1">
      <alignment horizontal="center" wrapText="1"/>
    </xf>
    <xf numFmtId="0" fontId="19" fillId="0" borderId="0" xfId="2" applyFont="1"/>
    <xf numFmtId="0" fontId="91" fillId="0" borderId="0" xfId="1" applyFont="1"/>
    <xf numFmtId="167" fontId="20" fillId="0" borderId="0" xfId="0" applyNumberFormat="1" applyFont="1"/>
    <xf numFmtId="0" fontId="2" fillId="0" borderId="5" xfId="12" applyFont="1" applyBorder="1" applyAlignment="1">
      <alignment horizontal="center" textRotation="90"/>
    </xf>
    <xf numFmtId="0" fontId="72" fillId="0" borderId="38" xfId="22" applyFont="1" applyBorder="1"/>
    <xf numFmtId="0" fontId="72" fillId="0" borderId="39" xfId="22" applyFont="1" applyBorder="1"/>
    <xf numFmtId="0" fontId="53" fillId="0" borderId="39" xfId="22" applyBorder="1"/>
    <xf numFmtId="0" fontId="53" fillId="0" borderId="40" xfId="22" applyBorder="1"/>
    <xf numFmtId="0" fontId="53" fillId="0" borderId="42" xfId="22" applyBorder="1"/>
    <xf numFmtId="0" fontId="53" fillId="0" borderId="45" xfId="22" applyBorder="1"/>
    <xf numFmtId="0" fontId="61" fillId="8" borderId="45" xfId="22" applyFont="1" applyFill="1" applyBorder="1" applyAlignment="1">
      <alignment horizontal="center" vertical="center" wrapText="1"/>
    </xf>
    <xf numFmtId="0" fontId="61" fillId="8" borderId="0" xfId="22" applyFont="1" applyFill="1" applyAlignment="1">
      <alignment horizontal="left" vertical="center" wrapText="1" indent="4"/>
    </xf>
    <xf numFmtId="0" fontId="73" fillId="8" borderId="0" xfId="22" applyFont="1" applyFill="1" applyAlignment="1">
      <alignment horizontal="center" vertical="center" wrapText="1"/>
    </xf>
    <xf numFmtId="0" fontId="73" fillId="8" borderId="42" xfId="22" applyFont="1" applyFill="1" applyBorder="1" applyAlignment="1">
      <alignment horizontal="center" vertical="center" wrapText="1"/>
    </xf>
    <xf numFmtId="0" fontId="56" fillId="9" borderId="46" xfId="22" applyFont="1" applyFill="1" applyBorder="1" applyAlignment="1">
      <alignment horizontal="center" vertical="center" wrapText="1"/>
    </xf>
    <xf numFmtId="166" fontId="59" fillId="9" borderId="47" xfId="22" applyNumberFormat="1" applyFont="1" applyFill="1" applyBorder="1" applyAlignment="1">
      <alignment horizontal="center" vertical="center" wrapText="1"/>
    </xf>
    <xf numFmtId="0" fontId="55" fillId="0" borderId="48" xfId="22" applyFont="1" applyBorder="1" applyAlignment="1">
      <alignment horizontal="center" vertical="center" wrapText="1"/>
    </xf>
    <xf numFmtId="0" fontId="65" fillId="0" borderId="42" xfId="22" applyFont="1" applyBorder="1"/>
    <xf numFmtId="0" fontId="60" fillId="0" borderId="46" xfId="22" applyFont="1" applyBorder="1" applyAlignment="1">
      <alignment horizontal="center" vertical="center" wrapText="1"/>
    </xf>
    <xf numFmtId="0" fontId="75" fillId="0" borderId="49" xfId="22" applyFont="1" applyBorder="1" applyAlignment="1">
      <alignment horizontal="center" vertical="center" wrapText="1"/>
    </xf>
    <xf numFmtId="0" fontId="59" fillId="9" borderId="47" xfId="22" applyFont="1" applyFill="1" applyBorder="1" applyAlignment="1">
      <alignment horizontal="center" vertical="center" wrapText="1"/>
    </xf>
    <xf numFmtId="0" fontId="55" fillId="0" borderId="46" xfId="22" applyFont="1" applyBorder="1" applyAlignment="1">
      <alignment horizontal="center" vertical="center" wrapText="1"/>
    </xf>
    <xf numFmtId="0" fontId="60" fillId="0" borderId="47" xfId="22" applyFont="1" applyBorder="1" applyAlignment="1">
      <alignment horizontal="center" vertical="center" wrapText="1"/>
    </xf>
    <xf numFmtId="0" fontId="56" fillId="9" borderId="51" xfId="22" applyFont="1" applyFill="1" applyBorder="1" applyAlignment="1">
      <alignment horizontal="center" vertical="center" wrapText="1"/>
    </xf>
    <xf numFmtId="0" fontId="59" fillId="9" borderId="52" xfId="22" applyFont="1" applyFill="1" applyBorder="1" applyAlignment="1">
      <alignment horizontal="center" vertical="center" wrapText="1"/>
    </xf>
    <xf numFmtId="0" fontId="53" fillId="0" borderId="53" xfId="22" applyBorder="1"/>
    <xf numFmtId="0" fontId="53" fillId="0" borderId="37" xfId="22" applyBorder="1"/>
    <xf numFmtId="0" fontId="53" fillId="0" borderId="54" xfId="22" applyBorder="1"/>
    <xf numFmtId="0" fontId="64" fillId="0" borderId="0" xfId="22" applyFont="1"/>
    <xf numFmtId="0" fontId="92" fillId="0" borderId="0" xfId="22" applyFont="1"/>
    <xf numFmtId="0" fontId="93" fillId="0" borderId="0" xfId="22" applyFont="1"/>
    <xf numFmtId="0" fontId="94" fillId="0" borderId="0" xfId="22" applyFont="1"/>
    <xf numFmtId="171" fontId="63" fillId="0" borderId="0" xfId="22" applyNumberFormat="1" applyFont="1"/>
    <xf numFmtId="171" fontId="65" fillId="0" borderId="0" xfId="22" applyNumberFormat="1" applyFont="1"/>
    <xf numFmtId="0" fontId="63" fillId="21" borderId="0" xfId="22" applyFont="1" applyFill="1"/>
    <xf numFmtId="169" fontId="53" fillId="0" borderId="0" xfId="22" applyNumberFormat="1"/>
    <xf numFmtId="0" fontId="53" fillId="22" borderId="0" xfId="22" applyFill="1"/>
    <xf numFmtId="0" fontId="1" fillId="0" borderId="5" xfId="12" applyFont="1" applyBorder="1" applyAlignment="1">
      <alignment horizontal="center" textRotation="90"/>
    </xf>
    <xf numFmtId="0" fontId="1" fillId="0" borderId="5" xfId="26" applyFont="1" applyBorder="1" applyAlignment="1">
      <alignment horizontal="center" textRotation="90"/>
    </xf>
    <xf numFmtId="0" fontId="95" fillId="0" borderId="1" xfId="0" applyFont="1" applyBorder="1"/>
    <xf numFmtId="0" fontId="53" fillId="0" borderId="0" xfId="22" quotePrefix="1"/>
    <xf numFmtId="0" fontId="34" fillId="0" borderId="0" xfId="0" applyFont="1"/>
    <xf numFmtId="43" fontId="53" fillId="0" borderId="0" xfId="77" applyFont="1"/>
    <xf numFmtId="3" fontId="0" fillId="0" borderId="0" xfId="0" applyNumberFormat="1"/>
    <xf numFmtId="0" fontId="68" fillId="10" borderId="2" xfId="22" applyFont="1" applyFill="1" applyBorder="1" applyAlignment="1">
      <alignment horizontal="left" vertical="top" wrapText="1"/>
    </xf>
    <xf numFmtId="0" fontId="68" fillId="10" borderId="3" xfId="22" applyFont="1" applyFill="1" applyBorder="1" applyAlignment="1">
      <alignment horizontal="left" vertical="top" wrapText="1"/>
    </xf>
    <xf numFmtId="0" fontId="68" fillId="10" borderId="31" xfId="22" applyFont="1" applyFill="1" applyBorder="1" applyAlignment="1">
      <alignment horizontal="left" vertical="top" wrapText="1" indent="5"/>
    </xf>
    <xf numFmtId="0" fontId="68" fillId="11" borderId="0" xfId="22" applyFont="1" applyFill="1" applyAlignment="1">
      <alignment horizontal="left" vertical="top" wrapText="1"/>
    </xf>
    <xf numFmtId="0" fontId="60" fillId="0" borderId="28" xfId="22" applyFont="1" applyBorder="1" applyAlignment="1">
      <alignment horizontal="center" vertical="center" wrapText="1"/>
    </xf>
    <xf numFmtId="0" fontId="60" fillId="0" borderId="29" xfId="22" applyFont="1" applyBorder="1" applyAlignment="1">
      <alignment horizontal="center" vertical="center" wrapText="1"/>
    </xf>
    <xf numFmtId="166" fontId="60" fillId="0" borderId="28" xfId="22" applyNumberFormat="1" applyFont="1" applyBorder="1" applyAlignment="1">
      <alignment horizontal="center" vertical="center" wrapText="1"/>
    </xf>
    <xf numFmtId="166" fontId="60" fillId="0" borderId="29" xfId="22" applyNumberFormat="1" applyFont="1" applyBorder="1" applyAlignment="1">
      <alignment horizontal="center" vertical="center" wrapText="1"/>
    </xf>
    <xf numFmtId="166" fontId="60" fillId="0" borderId="50" xfId="22" applyNumberFormat="1" applyFont="1" applyBorder="1" applyAlignment="1">
      <alignment horizontal="center" vertical="center" wrapText="1"/>
    </xf>
    <xf numFmtId="166" fontId="60" fillId="0" borderId="49" xfId="22" applyNumberFormat="1" applyFont="1" applyBorder="1" applyAlignment="1">
      <alignment horizontal="center" vertical="center" wrapText="1"/>
    </xf>
    <xf numFmtId="0" fontId="60" fillId="0" borderId="50" xfId="22" applyFont="1" applyBorder="1" applyAlignment="1">
      <alignment horizontal="center" vertical="center" wrapText="1"/>
    </xf>
    <xf numFmtId="0" fontId="60" fillId="0" borderId="49" xfId="22" applyFont="1" applyBorder="1" applyAlignment="1">
      <alignment horizontal="center" vertical="center" wrapText="1"/>
    </xf>
    <xf numFmtId="0" fontId="75" fillId="0" borderId="28" xfId="22" applyFont="1" applyBorder="1" applyAlignment="1">
      <alignment horizontal="center" vertical="center" wrapText="1"/>
    </xf>
    <xf numFmtId="0" fontId="75" fillId="0" borderId="29" xfId="22" applyFont="1" applyBorder="1" applyAlignment="1">
      <alignment horizontal="center" vertical="center" wrapText="1"/>
    </xf>
    <xf numFmtId="0" fontId="55" fillId="7" borderId="41" xfId="22" applyFont="1" applyFill="1" applyBorder="1" applyAlignment="1">
      <alignment horizontal="center" vertical="center" wrapText="1"/>
    </xf>
    <xf numFmtId="0" fontId="55" fillId="7" borderId="43" xfId="22" applyFont="1" applyFill="1" applyBorder="1" applyAlignment="1">
      <alignment horizontal="center" vertical="center" wrapText="1"/>
    </xf>
    <xf numFmtId="0" fontId="55" fillId="0" borderId="44" xfId="22" applyFont="1" applyBorder="1" applyAlignment="1">
      <alignment horizontal="center" vertical="center" wrapText="1"/>
    </xf>
    <xf numFmtId="0" fontId="55" fillId="0" borderId="41" xfId="22" applyFont="1" applyBorder="1" applyAlignment="1">
      <alignment horizontal="center" vertical="center" wrapText="1"/>
    </xf>
    <xf numFmtId="0" fontId="55" fillId="0" borderId="43" xfId="22" applyFont="1" applyBorder="1" applyAlignment="1">
      <alignment horizontal="center" vertical="center" wrapText="1"/>
    </xf>
  </cellXfs>
  <cellStyles count="78">
    <cellStyle name="20% - Accent5 2" xfId="59" xr:uid="{5E09AC11-EE5C-47C6-AC38-01F75E51F2D0}"/>
    <cellStyle name="60% - Accent2 2" xfId="60" xr:uid="{FE58BDC0-25A6-4848-8201-E7BB26715D1B}"/>
    <cellStyle name="Bad" xfId="21" builtinId="27"/>
    <cellStyle name="Calculation 2" xfId="50" xr:uid="{DF1D445C-49D7-46C4-A295-44C707A94294}"/>
    <cellStyle name="Comma" xfId="77" builtinId="3"/>
    <cellStyle name="Comma 2" xfId="7" xr:uid="{00000000-0005-0000-0000-000000000000}"/>
    <cellStyle name="Comma 2 2" xfId="15" xr:uid="{2D29F2AE-A72A-4F35-A2CA-2C4A01C4F113}"/>
    <cellStyle name="Comma 2 2 2" xfId="48" xr:uid="{A34E4498-602E-4C2D-A0C6-28E96ED7A8D3}"/>
    <cellStyle name="Comma 2 2 3" xfId="35" xr:uid="{888B5626-B45A-4186-8498-47FDAD21BDAF}"/>
    <cellStyle name="Comma 2 3" xfId="6" xr:uid="{00000000-0005-0000-0000-000001000000}"/>
    <cellStyle name="Comma 2 3 2" xfId="30" xr:uid="{AA24BE92-96AC-4E4A-AE3B-D6C0C40F98F4}"/>
    <cellStyle name="Comma 2 4" xfId="47" xr:uid="{E270BFF4-407E-476B-AB21-58D2FD0BDF9B}"/>
    <cellStyle name="Comma 2 5" xfId="61" xr:uid="{7BCA5F1A-FA3D-4E83-8BDC-598DB31CB61D}"/>
    <cellStyle name="Comma 2 6" xfId="31" xr:uid="{D835B7A5-2FC6-4A21-AA92-8A250F47F7CB}"/>
    <cellStyle name="Comma 3" xfId="16" xr:uid="{C170A3C1-B68E-4AAE-92F6-CE979AB71698}"/>
    <cellStyle name="Comma 3 2" xfId="45" xr:uid="{BFAEF587-E245-422B-8663-87B2007EF306}"/>
    <cellStyle name="Comma 3 3" xfId="36" xr:uid="{2389C955-9D73-4444-882C-7D9D61DFC2F7}"/>
    <cellStyle name="Comma 4" xfId="24" xr:uid="{D1FA687A-5F8A-4679-9E4B-2C7C071EDA03}"/>
    <cellStyle name="Comma 4 2" xfId="58" xr:uid="{FBC7307C-D67A-4A1D-AD17-3EFB6E9D1474}"/>
    <cellStyle name="Comma 5" xfId="53" xr:uid="{432C402E-0D2E-4730-93AD-DC8D806FC586}"/>
    <cellStyle name="Heading 2" xfId="19" builtinId="17"/>
    <cellStyle name="Heading 3" xfId="20" builtinId="18"/>
    <cellStyle name="Hyperlink 2" xfId="11" xr:uid="{00000000-0005-0000-0000-000003000000}"/>
    <cellStyle name="Hyperlink 2 2" xfId="46" xr:uid="{BD6E85D7-D167-4D25-B815-CAC057C986E9}"/>
    <cellStyle name="Hyperlink 2 2 2" xfId="52" xr:uid="{52C98FC7-C905-4735-A68A-AFA00F1B5479}"/>
    <cellStyle name="Hyperlink 3" xfId="23" xr:uid="{9B1B0654-5311-4CDE-8D43-C62E5399FAF2}"/>
    <cellStyle name="Input 2" xfId="51" xr:uid="{4CC81B05-ABC3-40BE-B0AD-1DF7BF80F606}"/>
    <cellStyle name="Neutral 2" xfId="62" xr:uid="{D7C4774E-31D5-4013-845A-6B31AE5B37A2}"/>
    <cellStyle name="Normal" xfId="0" builtinId="0"/>
    <cellStyle name="Normal 10" xfId="27" xr:uid="{B74125DF-4299-416F-82F8-E26254227A36}"/>
    <cellStyle name="Normal 10 4" xfId="10" xr:uid="{00000000-0005-0000-0000-000005000000}"/>
    <cellStyle name="Normal 10 4 2" xfId="32" xr:uid="{80D9551D-CA87-46DC-B295-C61D763654B9}"/>
    <cellStyle name="Normal 12" xfId="39" xr:uid="{AF4231FE-7F67-48EC-B9F3-C3D1291C87ED}"/>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2 3" xfId="37" xr:uid="{B450799A-C01C-4916-A9E5-98A92616C968}"/>
    <cellStyle name="Normal 2 2 4" xfId="29" xr:uid="{CFC2FAF6-3EAB-43F6-8A45-DE52C53AAC1C}"/>
    <cellStyle name="Normal 2 3" xfId="14" xr:uid="{4AB230A0-E2D6-4984-83A4-4F34927A69CA}"/>
    <cellStyle name="Normal 2 3 2" xfId="49" xr:uid="{14AC1902-C30C-4CCE-B9EB-A2BA8AB830FC}"/>
    <cellStyle name="Normal 3" xfId="5" xr:uid="{00000000-0005-0000-0000-00000B000000}"/>
    <cellStyle name="Normal 3 2" xfId="38" xr:uid="{880715CD-F35C-4D5C-8953-037587400521}"/>
    <cellStyle name="Normal 4" xfId="12" xr:uid="{0BAD2C5B-36F5-4320-A9B9-F030A7823A07}"/>
    <cellStyle name="Normal 4 2" xfId="26" xr:uid="{9D395F08-F32A-4542-9182-03C1E3847973}"/>
    <cellStyle name="Normal 4 2 2" xfId="64" xr:uid="{DD2EC371-8E9F-40A2-8DC2-F9078DFECD98}"/>
    <cellStyle name="Normal 4 3" xfId="28" xr:uid="{4DD45C9D-445A-45F0-87E4-618656B045DC}"/>
    <cellStyle name="Normal 4 3 2" xfId="44" xr:uid="{5462DB82-F997-470E-A02D-B9650C4D902A}"/>
    <cellStyle name="Normal 4 4" xfId="63" xr:uid="{C1ECE29E-394D-4C4B-A0B9-40652E7D864E}"/>
    <cellStyle name="Normal 4 5" xfId="33" xr:uid="{0EAA9C07-3917-4C47-94FE-50E86606405E}"/>
    <cellStyle name="Normal 5" xfId="22" xr:uid="{4E7D1ADD-8FD9-49C2-88AA-2E3776C577CC}"/>
    <cellStyle name="Normal 5 2" xfId="41" xr:uid="{0EE34AFE-3D22-4330-88C6-46BD256A16D0}"/>
    <cellStyle name="Normal 6" xfId="40" xr:uid="{4FD9816D-8348-40C8-A669-8612EBA59A53}"/>
    <cellStyle name="Normal 7" xfId="42" xr:uid="{0ED0897A-D3C5-4EB6-B948-FAC682D0E4F4}"/>
    <cellStyle name="Normal 8" xfId="54" xr:uid="{48D0C8BB-970A-4DB8-97C4-BE34D4C66181}"/>
    <cellStyle name="Normal 8 2" xfId="65" xr:uid="{CC571C80-1E3B-4A73-9A4F-99589AAFADA3}"/>
    <cellStyle name="Normal 9" xfId="56" xr:uid="{E4DFF265-7E3A-4425-A804-16CA357492E5}"/>
    <cellStyle name="Normal 9 2" xfId="66" xr:uid="{97506B56-F1DD-4CF6-9F60-E730746DCF87}"/>
    <cellStyle name="Normale_B2020" xfId="67" xr:uid="{5CC06BF5-D1DF-4323-B112-121A26919E0E}"/>
    <cellStyle name="Percent" xfId="18" builtinId="5"/>
    <cellStyle name="Percent 2" xfId="13" xr:uid="{6FC4F8D8-ECD7-4A9E-B183-CAC9CE80278F}"/>
    <cellStyle name="Percent 2 2" xfId="17" xr:uid="{FFCF24A5-FA7A-4E91-8E3F-2BDE50B65C19}"/>
    <cellStyle name="Percent 2 3" xfId="43" xr:uid="{063D3976-0679-4FF7-88E6-171C8546CA9D}"/>
    <cellStyle name="Percent 2 4" xfId="68" xr:uid="{72E47F92-B2F2-4B3A-A59F-4BA9C0EA4D3C}"/>
    <cellStyle name="Percent 2 5" xfId="34" xr:uid="{0315B09A-2807-40A2-96EA-5AC900BB1DC0}"/>
    <cellStyle name="Percent 3" xfId="8" xr:uid="{00000000-0005-0000-0000-000010000000}"/>
    <cellStyle name="Percent 3 2" xfId="69" xr:uid="{32A0756E-D064-46A6-BC2A-CC03F65FEC0C}"/>
    <cellStyle name="Percent 3 3" xfId="70" xr:uid="{482A094C-AABF-4AC1-9885-18E5FE049259}"/>
    <cellStyle name="Percent 4" xfId="25" xr:uid="{5D598AA8-28F2-44B6-AA1E-F52C90C682F2}"/>
    <cellStyle name="Percent 4 2" xfId="72" xr:uid="{94260920-81B0-4F12-A73D-2B97D6F8E51B}"/>
    <cellStyle name="Percent 4 3" xfId="73" xr:uid="{39FEB2E0-6EBB-4816-9756-449FC78CBF78}"/>
    <cellStyle name="Percent 4 4" xfId="71" xr:uid="{5A0D1D1F-60C2-404E-992B-8D7F6B9B484F}"/>
    <cellStyle name="Percent 4 5" xfId="55" xr:uid="{DE28563D-E23D-4C36-BCDE-FCA2DCB76858}"/>
    <cellStyle name="Percent 5" xfId="57" xr:uid="{6E204304-458F-4588-816D-C85906389B62}"/>
    <cellStyle name="Percent 5 2" xfId="74" xr:uid="{F1E703E6-90C1-40A2-9E6E-A1927CCA79F8}"/>
    <cellStyle name="Percent 6" xfId="75" xr:uid="{487F0A5F-CAD2-4C00-AC9C-A1DD744A113B}"/>
    <cellStyle name="Standard_Sce_D_Extraction" xfId="76" xr:uid="{027E5D5B-E069-498A-B3B4-95B1EFAB636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9.emf"/><Relationship Id="rId7" Type="http://schemas.openxmlformats.org/officeDocument/2006/relationships/image" Target="../media/image23.emf"/><Relationship Id="rId2" Type="http://schemas.openxmlformats.org/officeDocument/2006/relationships/image" Target="../media/image18.emf"/><Relationship Id="rId1" Type="http://schemas.openxmlformats.org/officeDocument/2006/relationships/image" Target="../media/image17.emf"/><Relationship Id="rId6" Type="http://schemas.openxmlformats.org/officeDocument/2006/relationships/image" Target="../media/image22.emf"/><Relationship Id="rId5" Type="http://schemas.openxmlformats.org/officeDocument/2006/relationships/image" Target="../media/image21.emf"/><Relationship Id="rId4" Type="http://schemas.openxmlformats.org/officeDocument/2006/relationships/image" Target="../media/image20.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jpe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3.xml.rels><?xml version="1.0" encoding="UTF-8" standalone="yes"?>
<Relationships xmlns="http://schemas.openxmlformats.org/package/2006/relationships"><Relationship Id="rId8" Type="http://schemas.openxmlformats.org/officeDocument/2006/relationships/image" Target="../media/image38.emf"/><Relationship Id="rId3" Type="http://schemas.openxmlformats.org/officeDocument/2006/relationships/image" Target="../media/image33.emf"/><Relationship Id="rId7" Type="http://schemas.openxmlformats.org/officeDocument/2006/relationships/image" Target="../media/image37.emf"/><Relationship Id="rId2" Type="http://schemas.openxmlformats.org/officeDocument/2006/relationships/image" Target="../media/image32.emf"/><Relationship Id="rId1" Type="http://schemas.openxmlformats.org/officeDocument/2006/relationships/image" Target="../media/image31.emf"/><Relationship Id="rId6" Type="http://schemas.openxmlformats.org/officeDocument/2006/relationships/image" Target="../media/image36.emf"/><Relationship Id="rId5" Type="http://schemas.openxmlformats.org/officeDocument/2006/relationships/image" Target="../media/image35.emf"/><Relationship Id="rId4" Type="http://schemas.openxmlformats.org/officeDocument/2006/relationships/image" Target="../media/image34.emf"/></Relationships>
</file>

<file path=xl/drawings/_rels/drawing14.xml.rels><?xml version="1.0" encoding="UTF-8" standalone="yes"?>
<Relationships xmlns="http://schemas.openxmlformats.org/package/2006/relationships"><Relationship Id="rId3" Type="http://schemas.openxmlformats.org/officeDocument/2006/relationships/image" Target="../media/image41.emf"/><Relationship Id="rId2" Type="http://schemas.openxmlformats.org/officeDocument/2006/relationships/image" Target="../media/image40.emf"/><Relationship Id="rId1" Type="http://schemas.openxmlformats.org/officeDocument/2006/relationships/image" Target="../media/image39.emf"/><Relationship Id="rId4" Type="http://schemas.openxmlformats.org/officeDocument/2006/relationships/image" Target="../media/image42.emf"/></Relationships>
</file>

<file path=xl/drawings/_rels/drawing15.xml.rels><?xml version="1.0" encoding="UTF-8" standalone="yes"?>
<Relationships xmlns="http://schemas.openxmlformats.org/package/2006/relationships"><Relationship Id="rId8" Type="http://schemas.openxmlformats.org/officeDocument/2006/relationships/image" Target="../media/image50.emf"/><Relationship Id="rId3" Type="http://schemas.openxmlformats.org/officeDocument/2006/relationships/image" Target="../media/image45.emf"/><Relationship Id="rId7" Type="http://schemas.openxmlformats.org/officeDocument/2006/relationships/image" Target="../media/image49.emf"/><Relationship Id="rId2" Type="http://schemas.openxmlformats.org/officeDocument/2006/relationships/image" Target="../media/image44.emf"/><Relationship Id="rId1" Type="http://schemas.openxmlformats.org/officeDocument/2006/relationships/image" Target="../media/image43.emf"/><Relationship Id="rId6" Type="http://schemas.openxmlformats.org/officeDocument/2006/relationships/image" Target="../media/image48.emf"/><Relationship Id="rId5" Type="http://schemas.openxmlformats.org/officeDocument/2006/relationships/image" Target="../media/image47.emf"/><Relationship Id="rId10" Type="http://schemas.openxmlformats.org/officeDocument/2006/relationships/image" Target="../media/image52.emf"/><Relationship Id="rId4" Type="http://schemas.openxmlformats.org/officeDocument/2006/relationships/image" Target="../media/image46.emf"/><Relationship Id="rId9" Type="http://schemas.openxmlformats.org/officeDocument/2006/relationships/image" Target="../media/image51.emf"/></Relationships>
</file>

<file path=xl/drawings/_rels/drawing16.xml.rels><?xml version="1.0" encoding="UTF-8" standalone="yes"?>
<Relationships xmlns="http://schemas.openxmlformats.org/package/2006/relationships"><Relationship Id="rId8" Type="http://schemas.openxmlformats.org/officeDocument/2006/relationships/image" Target="../media/image60.emf"/><Relationship Id="rId3" Type="http://schemas.openxmlformats.org/officeDocument/2006/relationships/image" Target="../media/image55.emf"/><Relationship Id="rId7" Type="http://schemas.openxmlformats.org/officeDocument/2006/relationships/image" Target="../media/image59.emf"/><Relationship Id="rId2" Type="http://schemas.openxmlformats.org/officeDocument/2006/relationships/image" Target="../media/image54.emf"/><Relationship Id="rId1" Type="http://schemas.openxmlformats.org/officeDocument/2006/relationships/image" Target="../media/image53.emf"/><Relationship Id="rId6" Type="http://schemas.openxmlformats.org/officeDocument/2006/relationships/image" Target="../media/image58.emf"/><Relationship Id="rId5" Type="http://schemas.openxmlformats.org/officeDocument/2006/relationships/image" Target="../media/image57.emf"/><Relationship Id="rId4" Type="http://schemas.openxmlformats.org/officeDocument/2006/relationships/image" Target="../media/image56.emf"/></Relationships>
</file>

<file path=xl/drawings/_rels/drawing17.xml.rels><?xml version="1.0" encoding="UTF-8" standalone="yes"?>
<Relationships xmlns="http://schemas.openxmlformats.org/package/2006/relationships"><Relationship Id="rId8" Type="http://schemas.openxmlformats.org/officeDocument/2006/relationships/image" Target="../media/image68.emf"/><Relationship Id="rId3" Type="http://schemas.openxmlformats.org/officeDocument/2006/relationships/image" Target="../media/image63.emf"/><Relationship Id="rId7" Type="http://schemas.openxmlformats.org/officeDocument/2006/relationships/image" Target="../media/image67.emf"/><Relationship Id="rId2" Type="http://schemas.openxmlformats.org/officeDocument/2006/relationships/image" Target="../media/image62.emf"/><Relationship Id="rId1" Type="http://schemas.openxmlformats.org/officeDocument/2006/relationships/image" Target="../media/image61.emf"/><Relationship Id="rId6" Type="http://schemas.openxmlformats.org/officeDocument/2006/relationships/image" Target="../media/image66.emf"/><Relationship Id="rId5" Type="http://schemas.openxmlformats.org/officeDocument/2006/relationships/image" Target="../media/image65.emf"/><Relationship Id="rId10" Type="http://schemas.openxmlformats.org/officeDocument/2006/relationships/image" Target="../media/image70.emf"/><Relationship Id="rId4" Type="http://schemas.openxmlformats.org/officeDocument/2006/relationships/image" Target="../media/image64.emf"/><Relationship Id="rId9" Type="http://schemas.openxmlformats.org/officeDocument/2006/relationships/image" Target="../media/image69.emf"/></Relationships>
</file>

<file path=xl/drawings/_rels/drawing18.xml.rels><?xml version="1.0" encoding="UTF-8" standalone="yes"?>
<Relationships xmlns="http://schemas.openxmlformats.org/package/2006/relationships"><Relationship Id="rId8" Type="http://schemas.openxmlformats.org/officeDocument/2006/relationships/image" Target="../media/image78.emf"/><Relationship Id="rId3" Type="http://schemas.openxmlformats.org/officeDocument/2006/relationships/image" Target="../media/image73.emf"/><Relationship Id="rId7" Type="http://schemas.openxmlformats.org/officeDocument/2006/relationships/image" Target="../media/image77.emf"/><Relationship Id="rId2" Type="http://schemas.openxmlformats.org/officeDocument/2006/relationships/image" Target="../media/image72.emf"/><Relationship Id="rId1" Type="http://schemas.openxmlformats.org/officeDocument/2006/relationships/image" Target="../media/image71.emf"/><Relationship Id="rId6" Type="http://schemas.openxmlformats.org/officeDocument/2006/relationships/image" Target="../media/image76.emf"/><Relationship Id="rId5" Type="http://schemas.openxmlformats.org/officeDocument/2006/relationships/image" Target="../media/image75.emf"/><Relationship Id="rId10" Type="http://schemas.openxmlformats.org/officeDocument/2006/relationships/image" Target="../media/image80.emf"/><Relationship Id="rId4" Type="http://schemas.openxmlformats.org/officeDocument/2006/relationships/image" Target="../media/image74.emf"/><Relationship Id="rId9" Type="http://schemas.openxmlformats.org/officeDocument/2006/relationships/image" Target="../media/image79.emf"/></Relationships>
</file>

<file path=xl/drawings/_rels/drawing19.xml.rels><?xml version="1.0" encoding="UTF-8" standalone="yes"?>
<Relationships xmlns="http://schemas.openxmlformats.org/package/2006/relationships"><Relationship Id="rId8" Type="http://schemas.openxmlformats.org/officeDocument/2006/relationships/image" Target="../media/image88.emf"/><Relationship Id="rId3" Type="http://schemas.openxmlformats.org/officeDocument/2006/relationships/image" Target="../media/image83.emf"/><Relationship Id="rId7" Type="http://schemas.openxmlformats.org/officeDocument/2006/relationships/image" Target="../media/image87.emf"/><Relationship Id="rId2" Type="http://schemas.openxmlformats.org/officeDocument/2006/relationships/image" Target="../media/image82.emf"/><Relationship Id="rId1" Type="http://schemas.openxmlformats.org/officeDocument/2006/relationships/image" Target="../media/image81.emf"/><Relationship Id="rId6" Type="http://schemas.openxmlformats.org/officeDocument/2006/relationships/image" Target="../media/image86.emf"/><Relationship Id="rId5" Type="http://schemas.openxmlformats.org/officeDocument/2006/relationships/image" Target="../media/image85.emf"/><Relationship Id="rId4" Type="http://schemas.openxmlformats.org/officeDocument/2006/relationships/image" Target="../media/image84.emf"/></Relationships>
</file>

<file path=xl/drawings/_rels/drawing20.xml.rels><?xml version="1.0" encoding="UTF-8" standalone="yes"?>
<Relationships xmlns="http://schemas.openxmlformats.org/package/2006/relationships"><Relationship Id="rId8" Type="http://schemas.openxmlformats.org/officeDocument/2006/relationships/image" Target="../media/image96.emf"/><Relationship Id="rId3" Type="http://schemas.openxmlformats.org/officeDocument/2006/relationships/image" Target="../media/image91.emf"/><Relationship Id="rId7" Type="http://schemas.openxmlformats.org/officeDocument/2006/relationships/image" Target="../media/image95.emf"/><Relationship Id="rId2" Type="http://schemas.openxmlformats.org/officeDocument/2006/relationships/image" Target="../media/image90.emf"/><Relationship Id="rId1" Type="http://schemas.openxmlformats.org/officeDocument/2006/relationships/image" Target="../media/image89.emf"/><Relationship Id="rId6" Type="http://schemas.openxmlformats.org/officeDocument/2006/relationships/image" Target="../media/image94.emf"/><Relationship Id="rId5" Type="http://schemas.openxmlformats.org/officeDocument/2006/relationships/image" Target="../media/image93.emf"/><Relationship Id="rId10" Type="http://schemas.openxmlformats.org/officeDocument/2006/relationships/image" Target="../media/image98.emf"/><Relationship Id="rId4" Type="http://schemas.openxmlformats.org/officeDocument/2006/relationships/image" Target="../media/image92.emf"/><Relationship Id="rId9" Type="http://schemas.openxmlformats.org/officeDocument/2006/relationships/image" Target="../media/image97.emf"/></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 Id="rId5" Type="http://schemas.openxmlformats.org/officeDocument/2006/relationships/image" Target="../media/image16.emf"/><Relationship Id="rId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7</xdr:col>
      <xdr:colOff>600075</xdr:colOff>
      <xdr:row>22</xdr:row>
      <xdr:rowOff>66675</xdr:rowOff>
    </xdr:from>
    <xdr:to>
      <xdr:col>22</xdr:col>
      <xdr:colOff>76200</xdr:colOff>
      <xdr:row>47</xdr:row>
      <xdr:rowOff>123825</xdr:rowOff>
    </xdr:to>
    <xdr:sp macro="" textlink="">
      <xdr:nvSpPr>
        <xdr:cNvPr id="2" name="TextBox 1">
          <a:extLst>
            <a:ext uri="{FF2B5EF4-FFF2-40B4-BE49-F238E27FC236}">
              <a16:creationId xmlns:a16="http://schemas.microsoft.com/office/drawing/2014/main" id="{656F174F-B143-BA51-0525-C7B57369A0C1}"/>
            </a:ext>
          </a:extLst>
        </xdr:cNvPr>
        <xdr:cNvSpPr txBox="1"/>
      </xdr:nvSpPr>
      <xdr:spPr>
        <a:xfrm>
          <a:off x="4886325" y="3629025"/>
          <a:ext cx="8620125" cy="410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For</a:t>
          </a:r>
          <a:r>
            <a:rPr lang="en-ZA" sz="1100" b="1" baseline="0"/>
            <a:t> future overhaul of this sector in the modelling</a:t>
          </a:r>
        </a:p>
        <a:p>
          <a:r>
            <a:rPr lang="en-ZA" sz="1100" b="1" baseline="0"/>
            <a:t>-&gt; link PGM and FA. </a:t>
          </a:r>
        </a:p>
        <a:p>
          <a:endParaRPr lang="en-ZA" sz="1100" baseline="0"/>
        </a:p>
        <a:p>
          <a:r>
            <a:rPr lang="en-ZA" sz="1100"/>
            <a:t>https://www.mdpi.com/2075-163X/13/1/44</a:t>
          </a:r>
        </a:p>
        <a:p>
          <a:r>
            <a:rPr lang="en-ZA" sz="1100"/>
            <a:t>Reubens thesis as a paper.</a:t>
          </a:r>
        </a:p>
        <a:p>
          <a:endParaRPr lang="en-ZA" sz="1100"/>
        </a:p>
        <a:p>
          <a:r>
            <a:rPr lang="en-ZA" b="1"/>
            <a:t>Conclusions</a:t>
          </a:r>
        </a:p>
        <a:p>
          <a:endParaRPr lang="en-ZA"/>
        </a:p>
        <a:p>
          <a:r>
            <a:rPr lang="en-ZA"/>
            <a:t>From 2007 to 2020, the South African ferrochrome industry increased production by 18.9%, whilst the amount of chromite ore mined per ton of ferrochrome produced has reduced by 20%. These efficiency improvements have partly been enabled by the emergence of industrial symbioses with platinum-group metals mining companies, who provide chromium-rich tailings for beneficiation, pelletisation, and sintering for smelting by ferrochrome producers. Improvements in ore quality in the form of increased cold and hot strength have resulted in higher metallurgical efficiencies. The electrical energy intensity decreased by 17.6% over the review period. The increased use of closed furnaces, enabling the use of furnaces off gas for preheating, pre-reduction, and sintering has enabled these gains without increasing direct energy use significantly. In addition, the cogeneration of electricity from furnace gases has also contributed to the reductions in electricity intensity. Contrary to the expected increase in resource intensity due to declining ore grades, this industry has become more resource-efficient owing to it embracing industrial symbiosis, cleaner technology, and cleaner production methods.</a:t>
          </a:r>
          <a:endParaRPr lang="en-ZA"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xmlns:a14="http://schemas.microsoft.com/office/drawing/2010/main" spid="_x0000_s113665"/>
            </a:ext>
            <a:ext uri="{FF2B5EF4-FFF2-40B4-BE49-F238E27FC236}">
              <a16:creationId xmlns:a16="http://schemas.microsoft.com/office/drawing/2014/main" id="{00000000-0008-0000-0C00-000001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xmlns:a14="http://schemas.microsoft.com/office/drawing/2010/main" spid="_x0000_s113666"/>
            </a:ext>
            <a:ext uri="{FF2B5EF4-FFF2-40B4-BE49-F238E27FC236}">
              <a16:creationId xmlns:a16="http://schemas.microsoft.com/office/drawing/2014/main" id="{00000000-0008-0000-0C00-000002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xmlns:a14="http://schemas.microsoft.com/office/drawing/2010/main" spid="_x0000_s113667"/>
            </a:ext>
            <a:ext uri="{FF2B5EF4-FFF2-40B4-BE49-F238E27FC236}">
              <a16:creationId xmlns:a16="http://schemas.microsoft.com/office/drawing/2014/main" id="{00000000-0008-0000-0C00-000003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xmlns:a14="http://schemas.microsoft.com/office/drawing/2010/main" spid="_x0000_s113668"/>
            </a:ext>
            <a:ext uri="{FF2B5EF4-FFF2-40B4-BE49-F238E27FC236}">
              <a16:creationId xmlns:a16="http://schemas.microsoft.com/office/drawing/2014/main" id="{00000000-0008-0000-0C00-000004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xmlns:a14="http://schemas.microsoft.com/office/drawing/2010/main" spid="_x0000_s113669"/>
            </a:ext>
            <a:ext uri="{FF2B5EF4-FFF2-40B4-BE49-F238E27FC236}">
              <a16:creationId xmlns:a16="http://schemas.microsoft.com/office/drawing/2014/main" id="{00000000-0008-0000-0C00-000005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xmlns:a14="http://schemas.microsoft.com/office/drawing/2010/main" spid="_x0000_s113670"/>
            </a:ext>
            <a:ext uri="{FF2B5EF4-FFF2-40B4-BE49-F238E27FC236}">
              <a16:creationId xmlns:a16="http://schemas.microsoft.com/office/drawing/2014/main" id="{00000000-0008-0000-0C00-000006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xmlns:a14="http://schemas.microsoft.com/office/drawing/2010/main" spid="_x0000_s113672"/>
            </a:ext>
            <a:ext uri="{FF2B5EF4-FFF2-40B4-BE49-F238E27FC236}">
              <a16:creationId xmlns:a16="http://schemas.microsoft.com/office/drawing/2014/main" id="{00000000-0008-0000-0C00-000008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0</xdr:colOff>
      <xdr:row>1</xdr:row>
      <xdr:rowOff>114300</xdr:rowOff>
    </xdr:from>
    <xdr:to>
      <xdr:col>2</xdr:col>
      <xdr:colOff>1304925</xdr:colOff>
      <xdr:row>2</xdr:row>
      <xdr:rowOff>209550</xdr:rowOff>
    </xdr:to>
    <xdr:pic>
      <xdr:nvPicPr>
        <xdr:cNvPr id="2" name="cmdTechNameAndDesc">
          <a:extLst>
            <a:ext uri="{FF2B5EF4-FFF2-40B4-BE49-F238E27FC236}">
              <a16:creationId xmlns:a16="http://schemas.microsoft.com/office/drawing/2014/main" id="{B6FC7E93-8EB1-4FCF-B0E1-EE1F2945D9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57175"/>
          <a:ext cx="18669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114300</xdr:rowOff>
    </xdr:from>
    <xdr:to>
      <xdr:col>5</xdr:col>
      <xdr:colOff>28575</xdr:colOff>
      <xdr:row>2</xdr:row>
      <xdr:rowOff>209550</xdr:rowOff>
    </xdr:to>
    <xdr:pic>
      <xdr:nvPicPr>
        <xdr:cNvPr id="3" name="cmdCommIN">
          <a:extLst>
            <a:ext uri="{FF2B5EF4-FFF2-40B4-BE49-F238E27FC236}">
              <a16:creationId xmlns:a16="http://schemas.microsoft.com/office/drawing/2014/main" id="{D2D6B279-C1A4-4992-BF9F-C964F13AF7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71875" y="257175"/>
          <a:ext cx="619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1</xdr:row>
      <xdr:rowOff>114300</xdr:rowOff>
    </xdr:from>
    <xdr:to>
      <xdr:col>5</xdr:col>
      <xdr:colOff>619125</xdr:colOff>
      <xdr:row>2</xdr:row>
      <xdr:rowOff>209550</xdr:rowOff>
    </xdr:to>
    <xdr:pic>
      <xdr:nvPicPr>
        <xdr:cNvPr id="4" name="cmdCommOUT">
          <a:extLst>
            <a:ext uri="{FF2B5EF4-FFF2-40B4-BE49-F238E27FC236}">
              <a16:creationId xmlns:a16="http://schemas.microsoft.com/office/drawing/2014/main" id="{3B2272E4-F6E5-49B8-A864-1C7FC51619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62425" y="257175"/>
          <a:ext cx="619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190500</xdr:rowOff>
    </xdr:from>
    <xdr:to>
      <xdr:col>1</xdr:col>
      <xdr:colOff>9525</xdr:colOff>
      <xdr:row>3</xdr:row>
      <xdr:rowOff>152400</xdr:rowOff>
    </xdr:to>
    <xdr:pic>
      <xdr:nvPicPr>
        <xdr:cNvPr id="5" name="cmdAddParameter">
          <a:extLst>
            <a:ext uri="{FF2B5EF4-FFF2-40B4-BE49-F238E27FC236}">
              <a16:creationId xmlns:a16="http://schemas.microsoft.com/office/drawing/2014/main" id="{C8C1EEE3-9180-4B59-B9BD-45821614157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4762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3</xdr:row>
      <xdr:rowOff>171450</xdr:rowOff>
    </xdr:from>
    <xdr:to>
      <xdr:col>1</xdr:col>
      <xdr:colOff>9525</xdr:colOff>
      <xdr:row>4</xdr:row>
      <xdr:rowOff>190500</xdr:rowOff>
    </xdr:to>
    <xdr:pic>
      <xdr:nvPicPr>
        <xdr:cNvPr id="6" name="cmdAddParamQualifier1">
          <a:extLst>
            <a:ext uri="{FF2B5EF4-FFF2-40B4-BE49-F238E27FC236}">
              <a16:creationId xmlns:a16="http://schemas.microsoft.com/office/drawing/2014/main" id="{452E08D8-BDA7-4D06-9159-A3939FFB496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3342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1</xdr:row>
      <xdr:rowOff>114300</xdr:rowOff>
    </xdr:from>
    <xdr:to>
      <xdr:col>1</xdr:col>
      <xdr:colOff>9525</xdr:colOff>
      <xdr:row>2</xdr:row>
      <xdr:rowOff>209550</xdr:rowOff>
    </xdr:to>
    <xdr:pic>
      <xdr:nvPicPr>
        <xdr:cNvPr id="7" name="cmdCheckTechDataSheet">
          <a:extLst>
            <a:ext uri="{FF2B5EF4-FFF2-40B4-BE49-F238E27FC236}">
              <a16:creationId xmlns:a16="http://schemas.microsoft.com/office/drawing/2014/main" id="{3BD29D85-C882-418D-AD15-AFF4D71B886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525" y="2571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5</xdr:row>
      <xdr:rowOff>19050</xdr:rowOff>
    </xdr:from>
    <xdr:to>
      <xdr:col>1</xdr:col>
      <xdr:colOff>9525</xdr:colOff>
      <xdr:row>6</xdr:row>
      <xdr:rowOff>38100</xdr:rowOff>
    </xdr:to>
    <xdr:pic>
      <xdr:nvPicPr>
        <xdr:cNvPr id="8" name="cmdAddParamQualifier2">
          <a:extLst>
            <a:ext uri="{FF2B5EF4-FFF2-40B4-BE49-F238E27FC236}">
              <a16:creationId xmlns:a16="http://schemas.microsoft.com/office/drawing/2014/main" id="{765AB9CC-7456-40B9-87CA-6B023263D8A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25" y="10096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784679</xdr:colOff>
      <xdr:row>222</xdr:row>
      <xdr:rowOff>93569</xdr:rowOff>
    </xdr:from>
    <xdr:to>
      <xdr:col>12</xdr:col>
      <xdr:colOff>170329</xdr:colOff>
      <xdr:row>241</xdr:row>
      <xdr:rowOff>13555</xdr:rowOff>
    </xdr:to>
    <xdr:pic>
      <xdr:nvPicPr>
        <xdr:cNvPr id="2" name="Picture 1" descr="Production technologies of CRM from primary - PDF Free Download">
          <a:extLst>
            <a:ext uri="{FF2B5EF4-FFF2-40B4-BE49-F238E27FC236}">
              <a16:creationId xmlns:a16="http://schemas.microsoft.com/office/drawing/2014/main" id="{94814706-F942-417A-ADDE-CDE3B34ED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3279" y="45327794"/>
          <a:ext cx="5205425" cy="4372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960120</xdr:colOff>
      <xdr:row>247</xdr:row>
      <xdr:rowOff>129540</xdr:rowOff>
    </xdr:from>
    <xdr:ext cx="4939240" cy="4248150"/>
    <xdr:pic>
      <xdr:nvPicPr>
        <xdr:cNvPr id="3" name="Picture 2">
          <a:extLst>
            <a:ext uri="{FF2B5EF4-FFF2-40B4-BE49-F238E27FC236}">
              <a16:creationId xmlns:a16="http://schemas.microsoft.com/office/drawing/2014/main" id="{D14A9CF7-F6FD-4090-B1D9-711C3B316E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08720" y="50364390"/>
          <a:ext cx="4939240" cy="4248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340995</xdr:colOff>
      <xdr:row>270</xdr:row>
      <xdr:rowOff>79215</xdr:rowOff>
    </xdr:from>
    <xdr:ext cx="5335905" cy="4483929"/>
    <xdr:pic>
      <xdr:nvPicPr>
        <xdr:cNvPr id="4" name="Picture 3">
          <a:extLst>
            <a:ext uri="{FF2B5EF4-FFF2-40B4-BE49-F238E27FC236}">
              <a16:creationId xmlns:a16="http://schemas.microsoft.com/office/drawing/2014/main" id="{F0FABD81-2F44-43C4-A658-B4EAAE83ED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81170" y="18938715"/>
          <a:ext cx="5335905" cy="44839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xdr:col>
      <xdr:colOff>631248</xdr:colOff>
      <xdr:row>75</xdr:row>
      <xdr:rowOff>1</xdr:rowOff>
    </xdr:from>
    <xdr:to>
      <xdr:col>6</xdr:col>
      <xdr:colOff>495300</xdr:colOff>
      <xdr:row>78</xdr:row>
      <xdr:rowOff>142876</xdr:rowOff>
    </xdr:to>
    <xdr:sp macro="" textlink="">
      <xdr:nvSpPr>
        <xdr:cNvPr id="5" name="Arrow: Down 4">
          <a:extLst>
            <a:ext uri="{FF2B5EF4-FFF2-40B4-BE49-F238E27FC236}">
              <a16:creationId xmlns:a16="http://schemas.microsoft.com/office/drawing/2014/main" id="{FC9E0F02-04C5-4A5E-B67D-87090D9DE417}"/>
            </a:ext>
          </a:extLst>
        </xdr:cNvPr>
        <xdr:cNvSpPr/>
      </xdr:nvSpPr>
      <xdr:spPr>
        <a:xfrm>
          <a:off x="6574848" y="14554201"/>
          <a:ext cx="2483427" cy="742950"/>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ZA" sz="1100"/>
            <a:t>summarise</a:t>
          </a:r>
        </a:p>
      </xdr:txBody>
    </xdr:sp>
    <xdr:clientData/>
  </xdr:twoCellAnchor>
  <xdr:twoCellAnchor editAs="oneCell">
    <xdr:from>
      <xdr:col>1</xdr:col>
      <xdr:colOff>287111</xdr:colOff>
      <xdr:row>339</xdr:row>
      <xdr:rowOff>18858</xdr:rowOff>
    </xdr:from>
    <xdr:to>
      <xdr:col>9</xdr:col>
      <xdr:colOff>291857</xdr:colOff>
      <xdr:row>354</xdr:row>
      <xdr:rowOff>123607</xdr:rowOff>
    </xdr:to>
    <xdr:pic>
      <xdr:nvPicPr>
        <xdr:cNvPr id="6" name="Picture 5">
          <a:extLst>
            <a:ext uri="{FF2B5EF4-FFF2-40B4-BE49-F238E27FC236}">
              <a16:creationId xmlns:a16="http://schemas.microsoft.com/office/drawing/2014/main" id="{1F0890EC-EEB1-447A-8E7E-3971209B8F8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08486" y="32927733"/>
          <a:ext cx="9449903" cy="2962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69821</xdr:colOff>
      <xdr:row>387</xdr:row>
      <xdr:rowOff>131024</xdr:rowOff>
    </xdr:from>
    <xdr:to>
      <xdr:col>8</xdr:col>
      <xdr:colOff>590032</xdr:colOff>
      <xdr:row>413</xdr:row>
      <xdr:rowOff>119818</xdr:rowOff>
    </xdr:to>
    <xdr:sp macro="" textlink="">
      <xdr:nvSpPr>
        <xdr:cNvPr id="7" name="TextBox 6">
          <a:extLst>
            <a:ext uri="{FF2B5EF4-FFF2-40B4-BE49-F238E27FC236}">
              <a16:creationId xmlns:a16="http://schemas.microsoft.com/office/drawing/2014/main" id="{435CE53C-2354-504F-1BCE-FCBE2969229D}"/>
            </a:ext>
          </a:extLst>
        </xdr:cNvPr>
        <xdr:cNvSpPr txBox="1"/>
      </xdr:nvSpPr>
      <xdr:spPr>
        <a:xfrm>
          <a:off x="1952840" y="71956851"/>
          <a:ext cx="9063404" cy="5132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REDUCTANT CHARACTERISATION AND SELECTION: IMPLICATIONS FOR FERROALLOYS PROCESSING</a:t>
          </a:r>
        </a:p>
        <a:p>
          <a:r>
            <a:rPr lang="en-ZA" sz="1100" b="1"/>
            <a:t>V. Sahajwalla, M. Dubikova and R. Khanna </a:t>
          </a:r>
        </a:p>
        <a:p>
          <a:r>
            <a:rPr lang="en-ZA" sz="1100" b="1"/>
            <a:t>https://www.pyrometallurgy.co.za/InfaconX/049.pdf</a:t>
          </a:r>
        </a:p>
        <a:p>
          <a:endParaRPr lang="en-ZA" sz="1100" b="1"/>
        </a:p>
        <a:p>
          <a:endParaRPr lang="en-ZA" sz="1100" b="1"/>
        </a:p>
        <a:p>
          <a:r>
            <a:rPr lang="en-ZA" sz="1100" b="1"/>
            <a:t>Coal</a:t>
          </a:r>
          <a:r>
            <a:rPr lang="en-ZA" sz="1100"/>
            <a:t>: Coal is composed of mainly carbon, hydrogen, nitrogen, sulfur and inorganic matter. Coal is characterised by its rank, type and grade. Rank characterises the degree of metamorphism of coal and is an important criterion for determining the technological usage of coal. Degree of impurities, maceral composition and calorific value determine the type and grade of coal. Other factors such as texture, porosity, density also affects coal quality. Traditionally, coal selection criteria for ferroalloys production are volatile matter content, ash content and chemistry and (SiO, CO2) reactivity [4]. Since other reduction materials char and coke are produced from coal their properties will be derived and affected by properties of parent coal material. This is employed in prediction of coke properties and selection of coals in coke making. </a:t>
          </a:r>
        </a:p>
        <a:p>
          <a:endParaRPr lang="en-ZA" sz="1100"/>
        </a:p>
        <a:p>
          <a:r>
            <a:rPr lang="en-ZA" sz="1100" b="1"/>
            <a:t>Char:</a:t>
          </a:r>
          <a:r>
            <a:rPr lang="en-ZA" sz="1100"/>
            <a:t> Char is a product of coal combustion. It is formed during pyrolysis, that is the first stage of coal combustion, when heated particles are devolatilised yielding a carbon-rich solid residue. Char properties are affected by chemical and physical properties of the parent coal, temperature and time history. Extensive work has been carried out to characterize char oxidation and gasification and was reviewed by Smith at al. [5].   </a:t>
          </a:r>
        </a:p>
        <a:p>
          <a:endParaRPr lang="en-ZA" sz="1100"/>
        </a:p>
        <a:p>
          <a:r>
            <a:rPr lang="en-ZA" sz="1100" b="1"/>
            <a:t>Coke:</a:t>
          </a:r>
          <a:r>
            <a:rPr lang="en-ZA" sz="1100"/>
            <a:t> Coke is produced by heating coal blend in the absence of oxygen to about 1100 °C. Quality and properties of coke are affected by the coal-rank, fluidity, maceral and mineral matter composition as well as processing conditions. Traditionally, chemistry, particle size, reactivity (CRI) and strength after reaction (CSR) are considered as the most important properties of metallurgical coke for blast furnace operations. Electric furnace coke, however, requires higher reactivity, lower strength and proper electrical resistivity [6].   </a:t>
          </a:r>
        </a:p>
        <a:p>
          <a:endParaRPr lang="en-ZA" sz="1100"/>
        </a:p>
        <a:p>
          <a:r>
            <a:rPr lang="en-ZA" sz="1100" b="1"/>
            <a:t>Charcoal:</a:t>
          </a:r>
          <a:r>
            <a:rPr lang="en-ZA" sz="1100"/>
            <a:t> Charcoal is produced from plant-derived biomass material. Charcoal properties depend on the type of wood from which it is obtained as well as the carbonisation process [7]. As compared to coal and coke, charcoal has lower sulfur and ash content and higher fixed carbon content and reactivity. The amount of volatile matter in charcoal is an important factor affecting charcoal properties. High volatile charcoal is less friable but more hygroscopic and easy to ignite [8]. In comparison to fossil fuels, charcoal is a renewable and sustainable resource but is one of the most expensive raw material. The use of charcoal for metallurgy is likely to be profitable only in countries with extensive forests and deficient in coking coal. Brazil, Malaysia and Argentina are some of the few countries in the world with significant metallurgical industry based on charcoal [9]. Charcoal applications in metallurgy are considered as clean technology due to reduced levels of CO2 and SO2 emissions [10-11]</a:t>
          </a:r>
        </a:p>
      </xdr:txBody>
    </xdr:sp>
    <xdr:clientData/>
  </xdr:twoCellAnchor>
  <xdr:twoCellAnchor>
    <xdr:from>
      <xdr:col>21</xdr:col>
      <xdr:colOff>285750</xdr:colOff>
      <xdr:row>209</xdr:row>
      <xdr:rowOff>123825</xdr:rowOff>
    </xdr:from>
    <xdr:to>
      <xdr:col>21</xdr:col>
      <xdr:colOff>657225</xdr:colOff>
      <xdr:row>211</xdr:row>
      <xdr:rowOff>114300</xdr:rowOff>
    </xdr:to>
    <xdr:sp macro="" textlink="">
      <xdr:nvSpPr>
        <xdr:cNvPr id="8" name="Arrow: Down 7">
          <a:extLst>
            <a:ext uri="{FF2B5EF4-FFF2-40B4-BE49-F238E27FC236}">
              <a16:creationId xmlns:a16="http://schemas.microsoft.com/office/drawing/2014/main" id="{74E4F3EF-8B18-4204-854F-6C34260AC2BE}"/>
            </a:ext>
          </a:extLst>
        </xdr:cNvPr>
        <xdr:cNvSpPr/>
      </xdr:nvSpPr>
      <xdr:spPr>
        <a:xfrm>
          <a:off x="4752975" y="2124075"/>
          <a:ext cx="371475" cy="390525"/>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ZA" sz="1100"/>
        </a:p>
      </xdr:txBody>
    </xdr:sp>
    <xdr:clientData/>
  </xdr:twoCellAnchor>
  <xdr:twoCellAnchor>
    <xdr:from>
      <xdr:col>15</xdr:col>
      <xdr:colOff>902803</xdr:colOff>
      <xdr:row>304</xdr:row>
      <xdr:rowOff>49695</xdr:rowOff>
    </xdr:from>
    <xdr:to>
      <xdr:col>23</xdr:col>
      <xdr:colOff>472108</xdr:colOff>
      <xdr:row>309</xdr:row>
      <xdr:rowOff>140804</xdr:rowOff>
    </xdr:to>
    <xdr:sp macro="" textlink="">
      <xdr:nvSpPr>
        <xdr:cNvPr id="9" name="TextBox 8">
          <a:extLst>
            <a:ext uri="{FF2B5EF4-FFF2-40B4-BE49-F238E27FC236}">
              <a16:creationId xmlns:a16="http://schemas.microsoft.com/office/drawing/2014/main" id="{6583D190-4035-0DC4-7443-DA703B3AD15B}"/>
            </a:ext>
          </a:extLst>
        </xdr:cNvPr>
        <xdr:cNvSpPr txBox="1"/>
      </xdr:nvSpPr>
      <xdr:spPr>
        <a:xfrm>
          <a:off x="16888238" y="62409456"/>
          <a:ext cx="6626087" cy="1085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i="0" u="none" strike="noStrike" baseline="0">
              <a:solidFill>
                <a:schemeClr val="dk1"/>
              </a:solidFill>
              <a:latin typeface="+mn-lt"/>
              <a:ea typeface="+mn-ea"/>
              <a:cs typeface="+mn-cs"/>
            </a:rPr>
            <a:t>The results of the presented 5 pilot scale experiments with production of SiMn have shown that charcoal</a:t>
          </a:r>
        </a:p>
        <a:p>
          <a:r>
            <a:rPr lang="en-ZA" sz="1100" b="0" i="0" u="none" strike="noStrike" baseline="0">
              <a:solidFill>
                <a:schemeClr val="dk1"/>
              </a:solidFill>
              <a:latin typeface="+mn-lt"/>
              <a:ea typeface="+mn-ea"/>
              <a:cs typeface="+mn-cs"/>
            </a:rPr>
            <a:t>gives a higher metal production than coke, but also the lowest silicon content in the metal. With equal</a:t>
          </a:r>
        </a:p>
        <a:p>
          <a:r>
            <a:rPr lang="en-ZA" sz="1100" b="0" i="0" u="none" strike="noStrike" baseline="0">
              <a:solidFill>
                <a:schemeClr val="dk1"/>
              </a:solidFill>
              <a:latin typeface="+mn-lt"/>
              <a:ea typeface="+mn-ea"/>
              <a:cs typeface="+mn-cs"/>
            </a:rPr>
            <a:t>amounts of energy supply, the energy will mainly be used for reduction of MnO and/or SiO2. The more</a:t>
          </a:r>
        </a:p>
        <a:p>
          <a:r>
            <a:rPr lang="en-ZA" sz="1100" b="0" i="0" u="none" strike="noStrike" baseline="0">
              <a:solidFill>
                <a:schemeClr val="dk1"/>
              </a:solidFill>
              <a:latin typeface="+mn-lt"/>
              <a:ea typeface="+mn-ea"/>
              <a:cs typeface="+mn-cs"/>
            </a:rPr>
            <a:t>manganese that is reduced, the less energy remains for reduction to silicon. The high charcoal reactivity can</a:t>
          </a:r>
        </a:p>
        <a:p>
          <a:r>
            <a:rPr lang="en-ZA" sz="1100" b="0" i="0" u="none" strike="noStrike" baseline="0">
              <a:solidFill>
                <a:schemeClr val="dk1"/>
              </a:solidFill>
              <a:latin typeface="+mn-lt"/>
              <a:ea typeface="+mn-ea"/>
              <a:cs typeface="+mn-cs"/>
            </a:rPr>
            <a:t>be the reason why more manganese has been reduced.</a:t>
          </a:r>
          <a:endParaRPr lang="en-ZA" sz="1100"/>
        </a:p>
      </xdr:txBody>
    </xdr:sp>
    <xdr:clientData/>
  </xdr:twoCellAnchor>
  <xdr:twoCellAnchor editAs="oneCell">
    <xdr:from>
      <xdr:col>16</xdr:col>
      <xdr:colOff>36711</xdr:colOff>
      <xdr:row>310</xdr:row>
      <xdr:rowOff>91109</xdr:rowOff>
    </xdr:from>
    <xdr:to>
      <xdr:col>23</xdr:col>
      <xdr:colOff>523900</xdr:colOff>
      <xdr:row>326</xdr:row>
      <xdr:rowOff>147634</xdr:rowOff>
    </xdr:to>
    <xdr:pic>
      <xdr:nvPicPr>
        <xdr:cNvPr id="10" name="Picture 9">
          <a:extLst>
            <a:ext uri="{FF2B5EF4-FFF2-40B4-BE49-F238E27FC236}">
              <a16:creationId xmlns:a16="http://schemas.microsoft.com/office/drawing/2014/main" id="{97BD7F42-514B-AE05-D29C-D450B12538A1}"/>
            </a:ext>
          </a:extLst>
        </xdr:cNvPr>
        <xdr:cNvPicPr>
          <a:picLocks noChangeAspect="1"/>
        </xdr:cNvPicPr>
      </xdr:nvPicPr>
      <xdr:blipFill>
        <a:blip xmlns:r="http://schemas.openxmlformats.org/officeDocument/2006/relationships" r:embed="rId5"/>
        <a:stretch>
          <a:fillRect/>
        </a:stretch>
      </xdr:blipFill>
      <xdr:spPr>
        <a:xfrm>
          <a:off x="16924950" y="63643566"/>
          <a:ext cx="6641167" cy="3237047"/>
        </a:xfrm>
        <a:prstGeom prst="rect">
          <a:avLst/>
        </a:prstGeom>
      </xdr:spPr>
    </xdr:pic>
    <xdr:clientData/>
  </xdr:twoCellAnchor>
  <xdr:twoCellAnchor editAs="oneCell">
    <xdr:from>
      <xdr:col>16</xdr:col>
      <xdr:colOff>139210</xdr:colOff>
      <xdr:row>329</xdr:row>
      <xdr:rowOff>77456</xdr:rowOff>
    </xdr:from>
    <xdr:to>
      <xdr:col>22</xdr:col>
      <xdr:colOff>350469</xdr:colOff>
      <xdr:row>339</xdr:row>
      <xdr:rowOff>73267</xdr:rowOff>
    </xdr:to>
    <xdr:pic>
      <xdr:nvPicPr>
        <xdr:cNvPr id="11" name="Picture 10">
          <a:extLst>
            <a:ext uri="{FF2B5EF4-FFF2-40B4-BE49-F238E27FC236}">
              <a16:creationId xmlns:a16="http://schemas.microsoft.com/office/drawing/2014/main" id="{91BDC71B-27F0-FE22-39A8-F875293E2AE7}"/>
            </a:ext>
          </a:extLst>
        </xdr:cNvPr>
        <xdr:cNvPicPr>
          <a:picLocks noChangeAspect="1"/>
        </xdr:cNvPicPr>
      </xdr:nvPicPr>
      <xdr:blipFill>
        <a:blip xmlns:r="http://schemas.openxmlformats.org/officeDocument/2006/relationships" r:embed="rId6"/>
        <a:stretch>
          <a:fillRect/>
        </a:stretch>
      </xdr:blipFill>
      <xdr:spPr>
        <a:xfrm>
          <a:off x="17035095" y="67184744"/>
          <a:ext cx="5757739" cy="197408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85725</xdr:colOff>
      <xdr:row>4</xdr:row>
      <xdr:rowOff>133350</xdr:rowOff>
    </xdr:from>
    <xdr:to>
      <xdr:col>24</xdr:col>
      <xdr:colOff>412604</xdr:colOff>
      <xdr:row>48</xdr:row>
      <xdr:rowOff>61780</xdr:rowOff>
    </xdr:to>
    <xdr:pic>
      <xdr:nvPicPr>
        <xdr:cNvPr id="2" name="Picture 1">
          <a:extLst>
            <a:ext uri="{FF2B5EF4-FFF2-40B4-BE49-F238E27FC236}">
              <a16:creationId xmlns:a16="http://schemas.microsoft.com/office/drawing/2014/main" id="{67FAEDAB-BE3B-4B9B-94D9-BD4EF809C1DF}"/>
            </a:ext>
          </a:extLst>
        </xdr:cNvPr>
        <xdr:cNvPicPr>
          <a:picLocks noChangeAspect="1"/>
        </xdr:cNvPicPr>
      </xdr:nvPicPr>
      <xdr:blipFill>
        <a:blip xmlns:r="http://schemas.openxmlformats.org/officeDocument/2006/relationships" r:embed="rId1"/>
        <a:stretch>
          <a:fillRect/>
        </a:stretch>
      </xdr:blipFill>
      <xdr:spPr>
        <a:xfrm>
          <a:off x="1304925" y="781050"/>
          <a:ext cx="13738079" cy="705313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xmlns:a14="http://schemas.microsoft.com/office/drawing/2010/main" spid="_x0000_s102401"/>
            </a:ext>
            <a:ext uri="{FF2B5EF4-FFF2-40B4-BE49-F238E27FC236}">
              <a16:creationId xmlns:a16="http://schemas.microsoft.com/office/drawing/2014/main" id="{00000000-0008-0000-0E00-000001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xmlns:a14="http://schemas.microsoft.com/office/drawing/2010/main" spid="_x0000_s102402"/>
            </a:ext>
            <a:ext uri="{FF2B5EF4-FFF2-40B4-BE49-F238E27FC236}">
              <a16:creationId xmlns:a16="http://schemas.microsoft.com/office/drawing/2014/main" id="{00000000-0008-0000-0E00-000002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xmlns:a14="http://schemas.microsoft.com/office/drawing/2010/main" spid="_x0000_s102403"/>
            </a:ext>
            <a:ext uri="{FF2B5EF4-FFF2-40B4-BE49-F238E27FC236}">
              <a16:creationId xmlns:a16="http://schemas.microsoft.com/office/drawing/2014/main" id="{00000000-0008-0000-0E00-000003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xmlns:a14="http://schemas.microsoft.com/office/drawing/2010/main" spid="_x0000_s102404"/>
            </a:ext>
            <a:ext uri="{FF2B5EF4-FFF2-40B4-BE49-F238E27FC236}">
              <a16:creationId xmlns:a16="http://schemas.microsoft.com/office/drawing/2014/main" id="{00000000-0008-0000-0E00-000004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xmlns:a14="http://schemas.microsoft.com/office/drawing/2010/main" spid="_x0000_s102405"/>
            </a:ext>
            <a:ext uri="{FF2B5EF4-FFF2-40B4-BE49-F238E27FC236}">
              <a16:creationId xmlns:a16="http://schemas.microsoft.com/office/drawing/2014/main" id="{00000000-0008-0000-0E00-000005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xmlns:a14="http://schemas.microsoft.com/office/drawing/2010/main" spid="_x0000_s102407"/>
            </a:ext>
            <a:ext uri="{FF2B5EF4-FFF2-40B4-BE49-F238E27FC236}">
              <a16:creationId xmlns:a16="http://schemas.microsoft.com/office/drawing/2014/main" id="{00000000-0008-0000-0E00-000007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xmlns:a14="http://schemas.microsoft.com/office/drawing/2010/main" spid="_x0000_s102408"/>
            </a:ext>
            <a:ext uri="{FF2B5EF4-FFF2-40B4-BE49-F238E27FC236}">
              <a16:creationId xmlns:a16="http://schemas.microsoft.com/office/drawing/2014/main" id="{00000000-0008-0000-0E00-000008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xmlns:a14="http://schemas.microsoft.com/office/drawing/2010/main" spid="_x0000_s102409"/>
            </a:ext>
            <a:ext uri="{FF2B5EF4-FFF2-40B4-BE49-F238E27FC236}">
              <a16:creationId xmlns:a16="http://schemas.microsoft.com/office/drawing/2014/main" id="{00000000-0008-0000-0E00-000009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19050</xdr:colOff>
      <xdr:row>2</xdr:row>
      <xdr:rowOff>0</xdr:rowOff>
    </xdr:from>
    <xdr:to>
      <xdr:col>2</xdr:col>
      <xdr:colOff>1085850</xdr:colOff>
      <xdr:row>2</xdr:row>
      <xdr:rowOff>190500</xdr:rowOff>
    </xdr:to>
    <xdr:pic>
      <xdr:nvPicPr>
        <xdr:cNvPr id="2" name="cmdConstrNameAndDesc">
          <a:extLst>
            <a:ext uri="{FF2B5EF4-FFF2-40B4-BE49-F238E27FC236}">
              <a16:creationId xmlns:a16="http://schemas.microsoft.com/office/drawing/2014/main" id="{553358E6-FDAB-41E3-B880-D005DF631A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285750"/>
          <a:ext cx="18954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2</xdr:row>
      <xdr:rowOff>0</xdr:rowOff>
    </xdr:from>
    <xdr:to>
      <xdr:col>5</xdr:col>
      <xdr:colOff>0</xdr:colOff>
      <xdr:row>2</xdr:row>
      <xdr:rowOff>238125</xdr:rowOff>
    </xdr:to>
    <xdr:pic>
      <xdr:nvPicPr>
        <xdr:cNvPr id="3" name="cmdProcName">
          <a:extLst>
            <a:ext uri="{FF2B5EF4-FFF2-40B4-BE49-F238E27FC236}">
              <a16:creationId xmlns:a16="http://schemas.microsoft.com/office/drawing/2014/main" id="{11E6D97F-B557-4EAB-AE20-E9B4FAFF06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997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2</xdr:row>
      <xdr:rowOff>190500</xdr:rowOff>
    </xdr:from>
    <xdr:to>
      <xdr:col>0</xdr:col>
      <xdr:colOff>819150</xdr:colOff>
      <xdr:row>3</xdr:row>
      <xdr:rowOff>152400</xdr:rowOff>
    </xdr:to>
    <xdr:pic>
      <xdr:nvPicPr>
        <xdr:cNvPr id="4" name="cmdAddParameter">
          <a:extLst>
            <a:ext uri="{FF2B5EF4-FFF2-40B4-BE49-F238E27FC236}">
              <a16:creationId xmlns:a16="http://schemas.microsoft.com/office/drawing/2014/main" id="{45706E44-25A7-4401-9ACF-0AFC09EAD5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62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0</xdr:rowOff>
    </xdr:from>
    <xdr:to>
      <xdr:col>1</xdr:col>
      <xdr:colOff>0</xdr:colOff>
      <xdr:row>2</xdr:row>
      <xdr:rowOff>238125</xdr:rowOff>
    </xdr:to>
    <xdr:pic>
      <xdr:nvPicPr>
        <xdr:cNvPr id="5" name="cmdCheckConstrDataSheet">
          <a:extLst>
            <a:ext uri="{FF2B5EF4-FFF2-40B4-BE49-F238E27FC236}">
              <a16:creationId xmlns:a16="http://schemas.microsoft.com/office/drawing/2014/main" id="{FD036529-0568-4D63-BA0B-86256B6962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4</xdr:row>
      <xdr:rowOff>9525</xdr:rowOff>
    </xdr:from>
    <xdr:to>
      <xdr:col>0</xdr:col>
      <xdr:colOff>819150</xdr:colOff>
      <xdr:row>5</xdr:row>
      <xdr:rowOff>28575</xdr:rowOff>
    </xdr:to>
    <xdr:pic>
      <xdr:nvPicPr>
        <xdr:cNvPr id="6" name="cmdAddParamQualifier1">
          <a:extLst>
            <a:ext uri="{FF2B5EF4-FFF2-40B4-BE49-F238E27FC236}">
              <a16:creationId xmlns:a16="http://schemas.microsoft.com/office/drawing/2014/main" id="{CFE9C0A0-7504-45D3-B307-71F03D45BA0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7905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2</xdr:row>
      <xdr:rowOff>0</xdr:rowOff>
    </xdr:from>
    <xdr:to>
      <xdr:col>6</xdr:col>
      <xdr:colOff>9525</xdr:colOff>
      <xdr:row>2</xdr:row>
      <xdr:rowOff>238125</xdr:rowOff>
    </xdr:to>
    <xdr:pic>
      <xdr:nvPicPr>
        <xdr:cNvPr id="7" name="cmdCommName">
          <a:extLst>
            <a:ext uri="{FF2B5EF4-FFF2-40B4-BE49-F238E27FC236}">
              <a16:creationId xmlns:a16="http://schemas.microsoft.com/office/drawing/2014/main" id="{ABAE4EE7-E3F7-4635-BD31-4BC763F32AD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4291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0</xdr:colOff>
      <xdr:row>2</xdr:row>
      <xdr:rowOff>0</xdr:rowOff>
    </xdr:from>
    <xdr:to>
      <xdr:col>7</xdr:col>
      <xdr:colOff>9525</xdr:colOff>
      <xdr:row>2</xdr:row>
      <xdr:rowOff>238125</xdr:rowOff>
    </xdr:to>
    <xdr:pic>
      <xdr:nvPicPr>
        <xdr:cNvPr id="8" name="cmdTimeSlice">
          <a:extLst>
            <a:ext uri="{FF2B5EF4-FFF2-40B4-BE49-F238E27FC236}">
              <a16:creationId xmlns:a16="http://schemas.microsoft.com/office/drawing/2014/main" id="{DE5EBDA8-D579-4F33-A528-4C6CFCA00F5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238750"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5</xdr:row>
      <xdr:rowOff>19050</xdr:rowOff>
    </xdr:from>
    <xdr:to>
      <xdr:col>0</xdr:col>
      <xdr:colOff>819150</xdr:colOff>
      <xdr:row>6</xdr:row>
      <xdr:rowOff>38100</xdr:rowOff>
    </xdr:to>
    <xdr:pic>
      <xdr:nvPicPr>
        <xdr:cNvPr id="9" name="cmdAddParamQualifier2">
          <a:extLst>
            <a:ext uri="{FF2B5EF4-FFF2-40B4-BE49-F238E27FC236}">
              <a16:creationId xmlns:a16="http://schemas.microsoft.com/office/drawing/2014/main" id="{B1D5C044-D0B0-47E5-9934-6933AC5F571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0191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xmlns:a14="http://schemas.microsoft.com/office/drawing/2010/main" spid="_x0000_s55297"/>
            </a:ext>
            <a:ext uri="{FF2B5EF4-FFF2-40B4-BE49-F238E27FC236}">
              <a16:creationId xmlns:a16="http://schemas.microsoft.com/office/drawing/2014/main" id="{00000000-0008-0000-0F00-000001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xmlns:a14="http://schemas.microsoft.com/office/drawing/2010/main" spid="_x0000_s55298"/>
            </a:ext>
            <a:ext uri="{FF2B5EF4-FFF2-40B4-BE49-F238E27FC236}">
              <a16:creationId xmlns:a16="http://schemas.microsoft.com/office/drawing/2014/main" id="{00000000-0008-0000-0F00-000002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xmlns:a14="http://schemas.microsoft.com/office/drawing/2010/main" spid="_x0000_s55299"/>
            </a:ext>
            <a:ext uri="{FF2B5EF4-FFF2-40B4-BE49-F238E27FC236}">
              <a16:creationId xmlns:a16="http://schemas.microsoft.com/office/drawing/2014/main" id="{00000000-0008-0000-0F00-000003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xmlns:a14="http://schemas.microsoft.com/office/drawing/2010/main" spid="_x0000_s55300"/>
            </a:ext>
            <a:ext uri="{FF2B5EF4-FFF2-40B4-BE49-F238E27FC236}">
              <a16:creationId xmlns:a16="http://schemas.microsoft.com/office/drawing/2014/main" id="{00000000-0008-0000-0F00-000004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0</xdr:rowOff>
    </xdr:to>
    <xdr:pic>
      <xdr:nvPicPr>
        <xdr:cNvPr id="2" name="cmdCheckItemsSheet">
          <a:extLst>
            <a:ext uri="{FF2B5EF4-FFF2-40B4-BE49-F238E27FC236}">
              <a16:creationId xmlns:a16="http://schemas.microsoft.com/office/drawing/2014/main" id="{248168B4-37A5-4F79-AA0B-C49A1409DD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9525</xdr:colOff>
      <xdr:row>3</xdr:row>
      <xdr:rowOff>0</xdr:rowOff>
    </xdr:from>
    <xdr:to>
      <xdr:col>2</xdr:col>
      <xdr:colOff>152400</xdr:colOff>
      <xdr:row>4</xdr:row>
      <xdr:rowOff>95250</xdr:rowOff>
    </xdr:to>
    <xdr:pic>
      <xdr:nvPicPr>
        <xdr:cNvPr id="3" name="cmdSpecifyComponent">
          <a:extLst>
            <a:ext uri="{FF2B5EF4-FFF2-40B4-BE49-F238E27FC236}">
              <a16:creationId xmlns:a16="http://schemas.microsoft.com/office/drawing/2014/main" id="{C2F7FB0D-DDD4-445C-9659-2210932D4E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523875"/>
          <a:ext cx="7524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0</xdr:rowOff>
    </xdr:from>
    <xdr:to>
      <xdr:col>5</xdr:col>
      <xdr:colOff>0</xdr:colOff>
      <xdr:row>4</xdr:row>
      <xdr:rowOff>95250</xdr:rowOff>
    </xdr:to>
    <xdr:pic>
      <xdr:nvPicPr>
        <xdr:cNvPr id="4" name="cmdSpecifyUnits">
          <a:extLst>
            <a:ext uri="{FF2B5EF4-FFF2-40B4-BE49-F238E27FC236}">
              <a16:creationId xmlns:a16="http://schemas.microsoft.com/office/drawing/2014/main" id="{66D3393D-AFEA-4AAD-8A27-6269D7483E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19550" y="523875"/>
          <a:ext cx="6667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0</xdr:rowOff>
    </xdr:from>
    <xdr:to>
      <xdr:col>6</xdr:col>
      <xdr:colOff>0</xdr:colOff>
      <xdr:row>4</xdr:row>
      <xdr:rowOff>95250</xdr:rowOff>
    </xdr:to>
    <xdr:pic>
      <xdr:nvPicPr>
        <xdr:cNvPr id="5" name="cmdSpecifySets">
          <a:extLst>
            <a:ext uri="{FF2B5EF4-FFF2-40B4-BE49-F238E27FC236}">
              <a16:creationId xmlns:a16="http://schemas.microsoft.com/office/drawing/2014/main" id="{DBCC71F4-04EE-40D0-8368-D3DD85C7CEF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95825" y="523875"/>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xmlns:a14="http://schemas.microsoft.com/office/drawing/2010/main" spid="_x0000_s57345"/>
            </a:ext>
            <a:ext uri="{FF2B5EF4-FFF2-40B4-BE49-F238E27FC236}">
              <a16:creationId xmlns:a16="http://schemas.microsoft.com/office/drawing/2014/main" id="{00000000-0008-0000-1000-000001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xmlns:a14="http://schemas.microsoft.com/office/drawing/2010/main" spid="_x0000_s57346"/>
            </a:ext>
            <a:ext uri="{FF2B5EF4-FFF2-40B4-BE49-F238E27FC236}">
              <a16:creationId xmlns:a16="http://schemas.microsoft.com/office/drawing/2014/main" id="{00000000-0008-0000-1000-000002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xmlns:a14="http://schemas.microsoft.com/office/drawing/2010/main" spid="_x0000_s57347"/>
            </a:ext>
            <a:ext uri="{FF2B5EF4-FFF2-40B4-BE49-F238E27FC236}">
              <a16:creationId xmlns:a16="http://schemas.microsoft.com/office/drawing/2014/main" id="{00000000-0008-0000-1000-000003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xmlns:a14="http://schemas.microsoft.com/office/drawing/2010/main" spid="_x0000_s57348"/>
            </a:ext>
            <a:ext uri="{FF2B5EF4-FFF2-40B4-BE49-F238E27FC236}">
              <a16:creationId xmlns:a16="http://schemas.microsoft.com/office/drawing/2014/main" id="{00000000-0008-0000-1000-000004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xmlns:a14="http://schemas.microsoft.com/office/drawing/2010/main" spid="_x0000_s57349"/>
            </a:ext>
            <a:ext uri="{FF2B5EF4-FFF2-40B4-BE49-F238E27FC236}">
              <a16:creationId xmlns:a16="http://schemas.microsoft.com/office/drawing/2014/main" id="{00000000-0008-0000-1000-000005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xmlns:a14="http://schemas.microsoft.com/office/drawing/2010/main" spid="_x0000_s57350"/>
            </a:ext>
            <a:ext uri="{FF2B5EF4-FFF2-40B4-BE49-F238E27FC236}">
              <a16:creationId xmlns:a16="http://schemas.microsoft.com/office/drawing/2014/main" id="{00000000-0008-0000-1000-000006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xmlns:a14="http://schemas.microsoft.com/office/drawing/2010/main" spid="_x0000_s57351"/>
            </a:ext>
            <a:ext uri="{FF2B5EF4-FFF2-40B4-BE49-F238E27FC236}">
              <a16:creationId xmlns:a16="http://schemas.microsoft.com/office/drawing/2014/main" id="{00000000-0008-0000-1000-000007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xmlns:a14="http://schemas.microsoft.com/office/drawing/2010/main" spid="_x0000_s57352"/>
            </a:ext>
            <a:ext uri="{FF2B5EF4-FFF2-40B4-BE49-F238E27FC236}">
              <a16:creationId xmlns:a16="http://schemas.microsoft.com/office/drawing/2014/main" id="{00000000-0008-0000-1000-000008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xmlns:a14="http://schemas.microsoft.com/office/drawing/2010/main" spid="_x0000_s57353"/>
            </a:ext>
            <a:ext uri="{FF2B5EF4-FFF2-40B4-BE49-F238E27FC236}">
              <a16:creationId xmlns:a16="http://schemas.microsoft.com/office/drawing/2014/main" id="{00000000-0008-0000-1000-000009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xmlns:a14="http://schemas.microsoft.com/office/drawing/2010/main" spid="_x0000_s57354"/>
            </a:ext>
            <a:ext uri="{FF2B5EF4-FFF2-40B4-BE49-F238E27FC236}">
              <a16:creationId xmlns:a16="http://schemas.microsoft.com/office/drawing/2014/main" id="{00000000-0008-0000-1000-00000A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19050</xdr:rowOff>
    </xdr:to>
    <xdr:pic>
      <xdr:nvPicPr>
        <xdr:cNvPr id="2" name="cmdCheckTSDataSheet">
          <a:extLst>
            <a:ext uri="{FF2B5EF4-FFF2-40B4-BE49-F238E27FC236}">
              <a16:creationId xmlns:a16="http://schemas.microsoft.com/office/drawing/2014/main" id="{7390696B-C0DE-400A-AAE3-C61C0B96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9525</xdr:colOff>
      <xdr:row>3</xdr:row>
      <xdr:rowOff>0</xdr:rowOff>
    </xdr:from>
    <xdr:to>
      <xdr:col>2</xdr:col>
      <xdr:colOff>19050</xdr:colOff>
      <xdr:row>4</xdr:row>
      <xdr:rowOff>104775</xdr:rowOff>
    </xdr:to>
    <xdr:pic>
      <xdr:nvPicPr>
        <xdr:cNvPr id="3" name="cmdSpecifyParameter">
          <a:extLst>
            <a:ext uri="{FF2B5EF4-FFF2-40B4-BE49-F238E27FC236}">
              <a16:creationId xmlns:a16="http://schemas.microsoft.com/office/drawing/2014/main" id="{B5A6FCD9-9102-428D-8367-B8F2967848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504825"/>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9525</xdr:colOff>
      <xdr:row>3</xdr:row>
      <xdr:rowOff>0</xdr:rowOff>
    </xdr:from>
    <xdr:to>
      <xdr:col>3</xdr:col>
      <xdr:colOff>19050</xdr:colOff>
      <xdr:row>4</xdr:row>
      <xdr:rowOff>104775</xdr:rowOff>
    </xdr:to>
    <xdr:pic>
      <xdr:nvPicPr>
        <xdr:cNvPr id="4" name="cmdSpecifyArg1">
          <a:extLst>
            <a:ext uri="{FF2B5EF4-FFF2-40B4-BE49-F238E27FC236}">
              <a16:creationId xmlns:a16="http://schemas.microsoft.com/office/drawing/2014/main" id="{C5F0D1E8-CB94-419A-8683-04D08AB3B9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811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0</xdr:rowOff>
    </xdr:from>
    <xdr:to>
      <xdr:col>4</xdr:col>
      <xdr:colOff>19050</xdr:colOff>
      <xdr:row>4</xdr:row>
      <xdr:rowOff>104775</xdr:rowOff>
    </xdr:to>
    <xdr:pic>
      <xdr:nvPicPr>
        <xdr:cNvPr id="5" name="cmdSpecifyArg2">
          <a:extLst>
            <a:ext uri="{FF2B5EF4-FFF2-40B4-BE49-F238E27FC236}">
              <a16:creationId xmlns:a16="http://schemas.microsoft.com/office/drawing/2014/main" id="{E56E9487-CDF9-4E03-87C9-1E49B0D0920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907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0</xdr:rowOff>
    </xdr:from>
    <xdr:to>
      <xdr:col>5</xdr:col>
      <xdr:colOff>19050</xdr:colOff>
      <xdr:row>4</xdr:row>
      <xdr:rowOff>104775</xdr:rowOff>
    </xdr:to>
    <xdr:pic>
      <xdr:nvPicPr>
        <xdr:cNvPr id="6" name="cmdSpecifyArg3">
          <a:extLst>
            <a:ext uri="{FF2B5EF4-FFF2-40B4-BE49-F238E27FC236}">
              <a16:creationId xmlns:a16="http://schemas.microsoft.com/office/drawing/2014/main" id="{014CC773-D2AA-4940-A593-BD918008541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003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0</xdr:rowOff>
    </xdr:from>
    <xdr:to>
      <xdr:col>6</xdr:col>
      <xdr:colOff>19050</xdr:colOff>
      <xdr:row>4</xdr:row>
      <xdr:rowOff>104775</xdr:rowOff>
    </xdr:to>
    <xdr:pic>
      <xdr:nvPicPr>
        <xdr:cNvPr id="7" name="cmdSpecifyArg4">
          <a:extLst>
            <a:ext uri="{FF2B5EF4-FFF2-40B4-BE49-F238E27FC236}">
              <a16:creationId xmlns:a16="http://schemas.microsoft.com/office/drawing/2014/main" id="{61F72968-1CFA-4DA6-B067-63DE122421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099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0</xdr:rowOff>
    </xdr:from>
    <xdr:to>
      <xdr:col>7</xdr:col>
      <xdr:colOff>19050</xdr:colOff>
      <xdr:row>4</xdr:row>
      <xdr:rowOff>104775</xdr:rowOff>
    </xdr:to>
    <xdr:pic>
      <xdr:nvPicPr>
        <xdr:cNvPr id="8" name="cmdSpecifyArg5">
          <a:extLst>
            <a:ext uri="{FF2B5EF4-FFF2-40B4-BE49-F238E27FC236}">
              <a16:creationId xmlns:a16="http://schemas.microsoft.com/office/drawing/2014/main" id="{F84A0A01-62D6-4008-B963-EEB28C42AE3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195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0</xdr:rowOff>
    </xdr:from>
    <xdr:to>
      <xdr:col>8</xdr:col>
      <xdr:colOff>19050</xdr:colOff>
      <xdr:row>4</xdr:row>
      <xdr:rowOff>104775</xdr:rowOff>
    </xdr:to>
    <xdr:pic>
      <xdr:nvPicPr>
        <xdr:cNvPr id="9" name="cmdSpecifyArg6">
          <a:extLst>
            <a:ext uri="{FF2B5EF4-FFF2-40B4-BE49-F238E27FC236}">
              <a16:creationId xmlns:a16="http://schemas.microsoft.com/office/drawing/2014/main" id="{A3A7C019-6CF7-4129-8033-65BBFCA12BE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291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xdr:colOff>
      <xdr:row>3</xdr:row>
      <xdr:rowOff>0</xdr:rowOff>
    </xdr:from>
    <xdr:to>
      <xdr:col>9</xdr:col>
      <xdr:colOff>19050</xdr:colOff>
      <xdr:row>4</xdr:row>
      <xdr:rowOff>85725</xdr:rowOff>
    </xdr:to>
    <xdr:pic>
      <xdr:nvPicPr>
        <xdr:cNvPr id="10" name="cmdSpecifyIEOptcode">
          <a:extLst>
            <a:ext uri="{FF2B5EF4-FFF2-40B4-BE49-F238E27FC236}">
              <a16:creationId xmlns:a16="http://schemas.microsoft.com/office/drawing/2014/main" id="{86404911-9763-4877-9C0A-C9CC122D87E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38775" y="504825"/>
          <a:ext cx="457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3</xdr:row>
      <xdr:rowOff>57150</xdr:rowOff>
    </xdr:from>
    <xdr:to>
      <xdr:col>0</xdr:col>
      <xdr:colOff>819150</xdr:colOff>
      <xdr:row>6</xdr:row>
      <xdr:rowOff>0</xdr:rowOff>
    </xdr:to>
    <xdr:pic>
      <xdr:nvPicPr>
        <xdr:cNvPr id="11" name="cmdPopulateDataYears">
          <a:extLst>
            <a:ext uri="{FF2B5EF4-FFF2-40B4-BE49-F238E27FC236}">
              <a16:creationId xmlns:a16="http://schemas.microsoft.com/office/drawing/2014/main" id="{7495F7C8-24DD-48C1-9D04-033D50BC6FC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561975"/>
          <a:ext cx="819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xmlns:a14="http://schemas.microsoft.com/office/drawing/2010/main" spid="_x0000_s58369"/>
            </a:ext>
            <a:ext uri="{FF2B5EF4-FFF2-40B4-BE49-F238E27FC236}">
              <a16:creationId xmlns:a16="http://schemas.microsoft.com/office/drawing/2014/main" id="{00000000-0008-0000-1100-000001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xmlns:a14="http://schemas.microsoft.com/office/drawing/2010/main" spid="_x0000_s58370"/>
            </a:ext>
            <a:ext uri="{FF2B5EF4-FFF2-40B4-BE49-F238E27FC236}">
              <a16:creationId xmlns:a16="http://schemas.microsoft.com/office/drawing/2014/main" id="{00000000-0008-0000-1100-000002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xmlns:a14="http://schemas.microsoft.com/office/drawing/2010/main" spid="_x0000_s58371"/>
            </a:ext>
            <a:ext uri="{FF2B5EF4-FFF2-40B4-BE49-F238E27FC236}">
              <a16:creationId xmlns:a16="http://schemas.microsoft.com/office/drawing/2014/main" id="{00000000-0008-0000-1100-000003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xmlns:a14="http://schemas.microsoft.com/office/drawing/2010/main" spid="_x0000_s58372"/>
            </a:ext>
            <a:ext uri="{FF2B5EF4-FFF2-40B4-BE49-F238E27FC236}">
              <a16:creationId xmlns:a16="http://schemas.microsoft.com/office/drawing/2014/main" id="{00000000-0008-0000-1100-000004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xmlns:a14="http://schemas.microsoft.com/office/drawing/2010/main" spid="_x0000_s58373"/>
            </a:ext>
            <a:ext uri="{FF2B5EF4-FFF2-40B4-BE49-F238E27FC236}">
              <a16:creationId xmlns:a16="http://schemas.microsoft.com/office/drawing/2014/main" id="{00000000-0008-0000-1100-000005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xmlns:a14="http://schemas.microsoft.com/office/drawing/2010/main" spid="_x0000_s58374"/>
            </a:ext>
            <a:ext uri="{FF2B5EF4-FFF2-40B4-BE49-F238E27FC236}">
              <a16:creationId xmlns:a16="http://schemas.microsoft.com/office/drawing/2014/main" id="{00000000-0008-0000-1100-000006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xmlns:a14="http://schemas.microsoft.com/office/drawing/2010/main" spid="_x0000_s58375"/>
            </a:ext>
            <a:ext uri="{FF2B5EF4-FFF2-40B4-BE49-F238E27FC236}">
              <a16:creationId xmlns:a16="http://schemas.microsoft.com/office/drawing/2014/main" id="{00000000-0008-0000-1100-000007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xmlns:a14="http://schemas.microsoft.com/office/drawing/2010/main" spid="_x0000_s58376"/>
            </a:ext>
            <a:ext uri="{FF2B5EF4-FFF2-40B4-BE49-F238E27FC236}">
              <a16:creationId xmlns:a16="http://schemas.microsoft.com/office/drawing/2014/main" id="{00000000-0008-0000-1100-000008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2</xdr:row>
      <xdr:rowOff>0</xdr:rowOff>
    </xdr:from>
    <xdr:to>
      <xdr:col>0</xdr:col>
      <xdr:colOff>819150</xdr:colOff>
      <xdr:row>3</xdr:row>
      <xdr:rowOff>38100</xdr:rowOff>
    </xdr:to>
    <xdr:pic>
      <xdr:nvPicPr>
        <xdr:cNvPr id="2" name="cmdCheckTIDDataSheet">
          <a:extLst>
            <a:ext uri="{FF2B5EF4-FFF2-40B4-BE49-F238E27FC236}">
              <a16:creationId xmlns:a16="http://schemas.microsoft.com/office/drawing/2014/main" id="{14886234-BF56-4A56-8CD2-CF7B45F62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3</xdr:row>
      <xdr:rowOff>9525</xdr:rowOff>
    </xdr:from>
    <xdr:to>
      <xdr:col>2</xdr:col>
      <xdr:colOff>19050</xdr:colOff>
      <xdr:row>4</xdr:row>
      <xdr:rowOff>95250</xdr:rowOff>
    </xdr:to>
    <xdr:pic>
      <xdr:nvPicPr>
        <xdr:cNvPr id="3" name="cmdSpecifyParameter">
          <a:extLst>
            <a:ext uri="{FF2B5EF4-FFF2-40B4-BE49-F238E27FC236}">
              <a16:creationId xmlns:a16="http://schemas.microsoft.com/office/drawing/2014/main" id="{26ECF110-A8BA-4527-A36C-716D8449CB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 y="49530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0</xdr:colOff>
      <xdr:row>3</xdr:row>
      <xdr:rowOff>9525</xdr:rowOff>
    </xdr:from>
    <xdr:to>
      <xdr:col>3</xdr:col>
      <xdr:colOff>9525</xdr:colOff>
      <xdr:row>4</xdr:row>
      <xdr:rowOff>95250</xdr:rowOff>
    </xdr:to>
    <xdr:pic>
      <xdr:nvPicPr>
        <xdr:cNvPr id="4" name="cmdSpecifyArg1">
          <a:extLst>
            <a:ext uri="{FF2B5EF4-FFF2-40B4-BE49-F238E27FC236}">
              <a16:creationId xmlns:a16="http://schemas.microsoft.com/office/drawing/2014/main" id="{E219BE62-3395-479E-915E-4B42BED2D4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288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0</xdr:colOff>
      <xdr:row>3</xdr:row>
      <xdr:rowOff>9525</xdr:rowOff>
    </xdr:from>
    <xdr:to>
      <xdr:col>4</xdr:col>
      <xdr:colOff>9525</xdr:colOff>
      <xdr:row>4</xdr:row>
      <xdr:rowOff>95250</xdr:rowOff>
    </xdr:to>
    <xdr:pic>
      <xdr:nvPicPr>
        <xdr:cNvPr id="5" name="cmdSpecifyArg2">
          <a:extLst>
            <a:ext uri="{FF2B5EF4-FFF2-40B4-BE49-F238E27FC236}">
              <a16:creationId xmlns:a16="http://schemas.microsoft.com/office/drawing/2014/main" id="{F5A8E5F6-DE01-43D5-B4A4-F2FE3C1E174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384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3</xdr:row>
      <xdr:rowOff>9525</xdr:rowOff>
    </xdr:from>
    <xdr:to>
      <xdr:col>5</xdr:col>
      <xdr:colOff>9525</xdr:colOff>
      <xdr:row>4</xdr:row>
      <xdr:rowOff>95250</xdr:rowOff>
    </xdr:to>
    <xdr:pic>
      <xdr:nvPicPr>
        <xdr:cNvPr id="6" name="cmdSpecifyArg3">
          <a:extLst>
            <a:ext uri="{FF2B5EF4-FFF2-40B4-BE49-F238E27FC236}">
              <a16:creationId xmlns:a16="http://schemas.microsoft.com/office/drawing/2014/main" id="{B89A8873-7C0D-4022-A30C-0C7E8E9C35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480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3</xdr:row>
      <xdr:rowOff>9525</xdr:rowOff>
    </xdr:from>
    <xdr:to>
      <xdr:col>6</xdr:col>
      <xdr:colOff>9525</xdr:colOff>
      <xdr:row>4</xdr:row>
      <xdr:rowOff>95250</xdr:rowOff>
    </xdr:to>
    <xdr:pic>
      <xdr:nvPicPr>
        <xdr:cNvPr id="7" name="cmdSpecifyArg4">
          <a:extLst>
            <a:ext uri="{FF2B5EF4-FFF2-40B4-BE49-F238E27FC236}">
              <a16:creationId xmlns:a16="http://schemas.microsoft.com/office/drawing/2014/main" id="{F0DB0B44-3C11-4FDA-9A5E-15E982F0A69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576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0</xdr:colOff>
      <xdr:row>3</xdr:row>
      <xdr:rowOff>9525</xdr:rowOff>
    </xdr:from>
    <xdr:to>
      <xdr:col>7</xdr:col>
      <xdr:colOff>9525</xdr:colOff>
      <xdr:row>4</xdr:row>
      <xdr:rowOff>95250</xdr:rowOff>
    </xdr:to>
    <xdr:pic>
      <xdr:nvPicPr>
        <xdr:cNvPr id="8" name="cmdSpecifyArg5">
          <a:extLst>
            <a:ext uri="{FF2B5EF4-FFF2-40B4-BE49-F238E27FC236}">
              <a16:creationId xmlns:a16="http://schemas.microsoft.com/office/drawing/2014/main" id="{DE3F5667-0868-452F-A107-C565FAB28FF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672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0</xdr:colOff>
      <xdr:row>3</xdr:row>
      <xdr:rowOff>9525</xdr:rowOff>
    </xdr:from>
    <xdr:to>
      <xdr:col>8</xdr:col>
      <xdr:colOff>9525</xdr:colOff>
      <xdr:row>4</xdr:row>
      <xdr:rowOff>95250</xdr:rowOff>
    </xdr:to>
    <xdr:pic>
      <xdr:nvPicPr>
        <xdr:cNvPr id="9" name="cmdSpecifyArg6">
          <a:extLst>
            <a:ext uri="{FF2B5EF4-FFF2-40B4-BE49-F238E27FC236}">
              <a16:creationId xmlns:a16="http://schemas.microsoft.com/office/drawing/2014/main" id="{37B223C4-E97B-4FF8-9669-B45AA275D19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768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xmlns:a14="http://schemas.microsoft.com/office/drawing/2010/main" spid="_x0000_s59393"/>
            </a:ext>
            <a:ext uri="{FF2B5EF4-FFF2-40B4-BE49-F238E27FC236}">
              <a16:creationId xmlns:a16="http://schemas.microsoft.com/office/drawing/2014/main" id="{00000000-0008-0000-1200-000001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xmlns:a14="http://schemas.microsoft.com/office/drawing/2010/main" spid="_x0000_s59394"/>
            </a:ext>
            <a:ext uri="{FF2B5EF4-FFF2-40B4-BE49-F238E27FC236}">
              <a16:creationId xmlns:a16="http://schemas.microsoft.com/office/drawing/2014/main" id="{00000000-0008-0000-1200-000002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xmlns:a14="http://schemas.microsoft.com/office/drawing/2010/main" spid="_x0000_s59395"/>
            </a:ext>
            <a:ext uri="{FF2B5EF4-FFF2-40B4-BE49-F238E27FC236}">
              <a16:creationId xmlns:a16="http://schemas.microsoft.com/office/drawing/2014/main" id="{00000000-0008-0000-1200-000003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xmlns:a14="http://schemas.microsoft.com/office/drawing/2010/main" spid="_x0000_s59396"/>
            </a:ext>
            <a:ext uri="{FF2B5EF4-FFF2-40B4-BE49-F238E27FC236}">
              <a16:creationId xmlns:a16="http://schemas.microsoft.com/office/drawing/2014/main" id="{00000000-0008-0000-1200-000004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xmlns:a14="http://schemas.microsoft.com/office/drawing/2010/main" spid="_x0000_s59397"/>
            </a:ext>
            <a:ext uri="{FF2B5EF4-FFF2-40B4-BE49-F238E27FC236}">
              <a16:creationId xmlns:a16="http://schemas.microsoft.com/office/drawing/2014/main" id="{00000000-0008-0000-1200-000005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xmlns:a14="http://schemas.microsoft.com/office/drawing/2010/main" spid="_x0000_s59398"/>
            </a:ext>
            <a:ext uri="{FF2B5EF4-FFF2-40B4-BE49-F238E27FC236}">
              <a16:creationId xmlns:a16="http://schemas.microsoft.com/office/drawing/2014/main" id="{00000000-0008-0000-1200-000006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xmlns:a14="http://schemas.microsoft.com/office/drawing/2010/main" spid="_x0000_s59399"/>
            </a:ext>
            <a:ext uri="{FF2B5EF4-FFF2-40B4-BE49-F238E27FC236}">
              <a16:creationId xmlns:a16="http://schemas.microsoft.com/office/drawing/2014/main" id="{00000000-0008-0000-1200-000007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xmlns:a14="http://schemas.microsoft.com/office/drawing/2010/main" spid="_x0000_s59400"/>
            </a:ext>
            <a:ext uri="{FF2B5EF4-FFF2-40B4-BE49-F238E27FC236}">
              <a16:creationId xmlns:a16="http://schemas.microsoft.com/office/drawing/2014/main" id="{00000000-0008-0000-1200-000008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xmlns:a14="http://schemas.microsoft.com/office/drawing/2010/main" spid="_x0000_s59401"/>
            </a:ext>
            <a:ext uri="{FF2B5EF4-FFF2-40B4-BE49-F238E27FC236}">
              <a16:creationId xmlns:a16="http://schemas.microsoft.com/office/drawing/2014/main" id="{00000000-0008-0000-1200-000009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xmlns:a14="http://schemas.microsoft.com/office/drawing/2010/main" spid="_x0000_s59402"/>
            </a:ext>
            <a:ext uri="{FF2B5EF4-FFF2-40B4-BE49-F238E27FC236}">
              <a16:creationId xmlns:a16="http://schemas.microsoft.com/office/drawing/2014/main" id="{00000000-0008-0000-1200-00000A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38100</xdr:colOff>
      <xdr:row>2</xdr:row>
      <xdr:rowOff>9525</xdr:rowOff>
    </xdr:from>
    <xdr:to>
      <xdr:col>0</xdr:col>
      <xdr:colOff>857250</xdr:colOff>
      <xdr:row>3</xdr:row>
      <xdr:rowOff>57150</xdr:rowOff>
    </xdr:to>
    <xdr:pic>
      <xdr:nvPicPr>
        <xdr:cNvPr id="2" name="cmdCheckTSandTIDDataSheet">
          <a:extLst>
            <a:ext uri="{FF2B5EF4-FFF2-40B4-BE49-F238E27FC236}">
              <a16:creationId xmlns:a16="http://schemas.microsoft.com/office/drawing/2014/main" id="{4444E6B9-D0B7-4D64-82FA-8BFCE6F34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952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3</xdr:row>
      <xdr:rowOff>0</xdr:rowOff>
    </xdr:from>
    <xdr:to>
      <xdr:col>2</xdr:col>
      <xdr:colOff>19050</xdr:colOff>
      <xdr:row>4</xdr:row>
      <xdr:rowOff>104775</xdr:rowOff>
    </xdr:to>
    <xdr:pic>
      <xdr:nvPicPr>
        <xdr:cNvPr id="3" name="cmdSpecifyParameter">
          <a:extLst>
            <a:ext uri="{FF2B5EF4-FFF2-40B4-BE49-F238E27FC236}">
              <a16:creationId xmlns:a16="http://schemas.microsoft.com/office/drawing/2014/main" id="{C925A9CF-30B0-4E85-AEFC-E2ABBEDE5E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 y="47625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0</xdr:colOff>
      <xdr:row>3</xdr:row>
      <xdr:rowOff>0</xdr:rowOff>
    </xdr:from>
    <xdr:to>
      <xdr:col>3</xdr:col>
      <xdr:colOff>9525</xdr:colOff>
      <xdr:row>4</xdr:row>
      <xdr:rowOff>104775</xdr:rowOff>
    </xdr:to>
    <xdr:pic>
      <xdr:nvPicPr>
        <xdr:cNvPr id="4" name="cmdSpecifyArg1">
          <a:extLst>
            <a:ext uri="{FF2B5EF4-FFF2-40B4-BE49-F238E27FC236}">
              <a16:creationId xmlns:a16="http://schemas.microsoft.com/office/drawing/2014/main" id="{452711C9-22E8-4E41-8D20-99F6E40FB6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90700"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0</xdr:colOff>
      <xdr:row>3</xdr:row>
      <xdr:rowOff>0</xdr:rowOff>
    </xdr:from>
    <xdr:to>
      <xdr:col>4</xdr:col>
      <xdr:colOff>0</xdr:colOff>
      <xdr:row>4</xdr:row>
      <xdr:rowOff>104775</xdr:rowOff>
    </xdr:to>
    <xdr:pic>
      <xdr:nvPicPr>
        <xdr:cNvPr id="5" name="cmdSpecifyArg2">
          <a:extLst>
            <a:ext uri="{FF2B5EF4-FFF2-40B4-BE49-F238E27FC236}">
              <a16:creationId xmlns:a16="http://schemas.microsoft.com/office/drawing/2014/main" id="{9C58161F-F32D-4867-B164-7991C8F1989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00300"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3</xdr:row>
      <xdr:rowOff>0</xdr:rowOff>
    </xdr:from>
    <xdr:to>
      <xdr:col>5</xdr:col>
      <xdr:colOff>9525</xdr:colOff>
      <xdr:row>4</xdr:row>
      <xdr:rowOff>104775</xdr:rowOff>
    </xdr:to>
    <xdr:pic>
      <xdr:nvPicPr>
        <xdr:cNvPr id="6" name="cmdSpecifyArg3">
          <a:extLst>
            <a:ext uri="{FF2B5EF4-FFF2-40B4-BE49-F238E27FC236}">
              <a16:creationId xmlns:a16="http://schemas.microsoft.com/office/drawing/2014/main" id="{C8784FD4-D4B8-4B47-83E0-BDB7422BB7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194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3</xdr:row>
      <xdr:rowOff>0</xdr:rowOff>
    </xdr:from>
    <xdr:to>
      <xdr:col>6</xdr:col>
      <xdr:colOff>9525</xdr:colOff>
      <xdr:row>4</xdr:row>
      <xdr:rowOff>104775</xdr:rowOff>
    </xdr:to>
    <xdr:pic>
      <xdr:nvPicPr>
        <xdr:cNvPr id="7" name="cmdSpecifyArg4">
          <a:extLst>
            <a:ext uri="{FF2B5EF4-FFF2-40B4-BE49-F238E27FC236}">
              <a16:creationId xmlns:a16="http://schemas.microsoft.com/office/drawing/2014/main" id="{361BE7D7-039E-40BC-B87B-54E03D0453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290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0</xdr:colOff>
      <xdr:row>3</xdr:row>
      <xdr:rowOff>0</xdr:rowOff>
    </xdr:from>
    <xdr:to>
      <xdr:col>7</xdr:col>
      <xdr:colOff>9525</xdr:colOff>
      <xdr:row>4</xdr:row>
      <xdr:rowOff>104775</xdr:rowOff>
    </xdr:to>
    <xdr:pic>
      <xdr:nvPicPr>
        <xdr:cNvPr id="8" name="cmdSpecifyArg5">
          <a:extLst>
            <a:ext uri="{FF2B5EF4-FFF2-40B4-BE49-F238E27FC236}">
              <a16:creationId xmlns:a16="http://schemas.microsoft.com/office/drawing/2014/main" id="{4C430FBA-FA8B-401E-A764-A3F68B3A79F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386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0</xdr:colOff>
      <xdr:row>3</xdr:row>
      <xdr:rowOff>0</xdr:rowOff>
    </xdr:from>
    <xdr:to>
      <xdr:col>8</xdr:col>
      <xdr:colOff>9525</xdr:colOff>
      <xdr:row>4</xdr:row>
      <xdr:rowOff>104775</xdr:rowOff>
    </xdr:to>
    <xdr:pic>
      <xdr:nvPicPr>
        <xdr:cNvPr id="9" name="cmdSpecifyArg6">
          <a:extLst>
            <a:ext uri="{FF2B5EF4-FFF2-40B4-BE49-F238E27FC236}">
              <a16:creationId xmlns:a16="http://schemas.microsoft.com/office/drawing/2014/main" id="{6C9F98FA-1412-4F91-ABC4-59CA2DF36D3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482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19050</xdr:colOff>
      <xdr:row>3</xdr:row>
      <xdr:rowOff>0</xdr:rowOff>
    </xdr:from>
    <xdr:to>
      <xdr:col>8</xdr:col>
      <xdr:colOff>476250</xdr:colOff>
      <xdr:row>4</xdr:row>
      <xdr:rowOff>104775</xdr:rowOff>
    </xdr:to>
    <xdr:pic>
      <xdr:nvPicPr>
        <xdr:cNvPr id="10" name="cmdSpecifyIEOptcode">
          <a:extLst>
            <a:ext uri="{FF2B5EF4-FFF2-40B4-BE49-F238E27FC236}">
              <a16:creationId xmlns:a16="http://schemas.microsoft.com/office/drawing/2014/main" id="{B6E9D678-663E-42E6-B75D-C2EFFCFA89D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76875" y="476250"/>
          <a:ext cx="4572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28575</xdr:colOff>
      <xdr:row>4</xdr:row>
      <xdr:rowOff>19050</xdr:rowOff>
    </xdr:from>
    <xdr:to>
      <xdr:col>0</xdr:col>
      <xdr:colOff>847725</xdr:colOff>
      <xdr:row>6</xdr:row>
      <xdr:rowOff>104775</xdr:rowOff>
    </xdr:to>
    <xdr:pic>
      <xdr:nvPicPr>
        <xdr:cNvPr id="11" name="cmdPopulateDataYears">
          <a:extLst>
            <a:ext uri="{FF2B5EF4-FFF2-40B4-BE49-F238E27FC236}">
              <a16:creationId xmlns:a16="http://schemas.microsoft.com/office/drawing/2014/main" id="{6C63B0C7-52CD-4984-B20C-9F0BE5A2E4C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8575" y="638175"/>
          <a:ext cx="819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xmlns:a14="http://schemas.microsoft.com/office/drawing/2010/main" spid="_x0000_s60418"/>
            </a:ext>
            <a:ext uri="{FF2B5EF4-FFF2-40B4-BE49-F238E27FC236}">
              <a16:creationId xmlns:a16="http://schemas.microsoft.com/office/drawing/2014/main" id="{00000000-0008-0000-1300-000002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xmlns:a14="http://schemas.microsoft.com/office/drawing/2010/main" spid="_x0000_s60419"/>
            </a:ext>
            <a:ext uri="{FF2B5EF4-FFF2-40B4-BE49-F238E27FC236}">
              <a16:creationId xmlns:a16="http://schemas.microsoft.com/office/drawing/2014/main" id="{00000000-0008-0000-1300-000003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xmlns:a14="http://schemas.microsoft.com/office/drawing/2010/main" spid="_x0000_s60420"/>
            </a:ext>
            <a:ext uri="{FF2B5EF4-FFF2-40B4-BE49-F238E27FC236}">
              <a16:creationId xmlns:a16="http://schemas.microsoft.com/office/drawing/2014/main" id="{00000000-0008-0000-1300-000004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xmlns:a14="http://schemas.microsoft.com/office/drawing/2010/main" spid="_x0000_s60421"/>
            </a:ext>
            <a:ext uri="{FF2B5EF4-FFF2-40B4-BE49-F238E27FC236}">
              <a16:creationId xmlns:a16="http://schemas.microsoft.com/office/drawing/2014/main" id="{00000000-0008-0000-1300-000005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xmlns:a14="http://schemas.microsoft.com/office/drawing/2010/main" spid="_x0000_s60422"/>
            </a:ext>
            <a:ext uri="{FF2B5EF4-FFF2-40B4-BE49-F238E27FC236}">
              <a16:creationId xmlns:a16="http://schemas.microsoft.com/office/drawing/2014/main" id="{00000000-0008-0000-1300-000006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xmlns:a14="http://schemas.microsoft.com/office/drawing/2010/main" spid="_x0000_s60423"/>
            </a:ext>
            <a:ext uri="{FF2B5EF4-FFF2-40B4-BE49-F238E27FC236}">
              <a16:creationId xmlns:a16="http://schemas.microsoft.com/office/drawing/2014/main" id="{00000000-0008-0000-1300-000007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xmlns:a14="http://schemas.microsoft.com/office/drawing/2010/main" spid="_x0000_s60424"/>
            </a:ext>
            <a:ext uri="{FF2B5EF4-FFF2-40B4-BE49-F238E27FC236}">
              <a16:creationId xmlns:a16="http://schemas.microsoft.com/office/drawing/2014/main" id="{00000000-0008-0000-1300-000008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xmlns:a14="http://schemas.microsoft.com/office/drawing/2010/main" spid="_x0000_s60425"/>
            </a:ext>
            <a:ext uri="{FF2B5EF4-FFF2-40B4-BE49-F238E27FC236}">
              <a16:creationId xmlns:a16="http://schemas.microsoft.com/office/drawing/2014/main" id="{00000000-0008-0000-1300-000009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xmlns:a14="http://schemas.microsoft.com/office/drawing/2010/main" spid="_x0000_s60426"/>
            </a:ext>
            <a:ext uri="{FF2B5EF4-FFF2-40B4-BE49-F238E27FC236}">
              <a16:creationId xmlns:a16="http://schemas.microsoft.com/office/drawing/2014/main" id="{00000000-0008-0000-1300-00000A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xmlns:a14="http://schemas.microsoft.com/office/drawing/2010/main" spid="_x0000_s60427"/>
            </a:ext>
            <a:ext uri="{FF2B5EF4-FFF2-40B4-BE49-F238E27FC236}">
              <a16:creationId xmlns:a16="http://schemas.microsoft.com/office/drawing/2014/main" id="{00000000-0008-0000-1300-00000B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0</xdr:rowOff>
    </xdr:from>
    <xdr:to>
      <xdr:col>3</xdr:col>
      <xdr:colOff>28575</xdr:colOff>
      <xdr:row>4</xdr:row>
      <xdr:rowOff>104775</xdr:rowOff>
    </xdr:to>
    <xdr:pic>
      <xdr:nvPicPr>
        <xdr:cNvPr id="2" name="cmdSpecifyParameter">
          <a:extLst>
            <a:ext uri="{FF2B5EF4-FFF2-40B4-BE49-F238E27FC236}">
              <a16:creationId xmlns:a16="http://schemas.microsoft.com/office/drawing/2014/main" id="{07F46A86-3CC6-4EF9-9EF6-8171A954C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0" y="523875"/>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19050</xdr:colOff>
      <xdr:row>3</xdr:row>
      <xdr:rowOff>0</xdr:rowOff>
    </xdr:from>
    <xdr:to>
      <xdr:col>4</xdr:col>
      <xdr:colOff>9525</xdr:colOff>
      <xdr:row>4</xdr:row>
      <xdr:rowOff>104775</xdr:rowOff>
    </xdr:to>
    <xdr:pic>
      <xdr:nvPicPr>
        <xdr:cNvPr id="3" name="cmdSpecifyArg1">
          <a:extLst>
            <a:ext uri="{FF2B5EF4-FFF2-40B4-BE49-F238E27FC236}">
              <a16:creationId xmlns:a16="http://schemas.microsoft.com/office/drawing/2014/main" id="{24DF6F39-ED49-4630-A615-14BA3AFF7E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887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0</xdr:rowOff>
    </xdr:from>
    <xdr:to>
      <xdr:col>5</xdr:col>
      <xdr:colOff>9525</xdr:colOff>
      <xdr:row>4</xdr:row>
      <xdr:rowOff>104775</xdr:rowOff>
    </xdr:to>
    <xdr:pic>
      <xdr:nvPicPr>
        <xdr:cNvPr id="4" name="cmdSpecifyArg2">
          <a:extLst>
            <a:ext uri="{FF2B5EF4-FFF2-40B4-BE49-F238E27FC236}">
              <a16:creationId xmlns:a16="http://schemas.microsoft.com/office/drawing/2014/main" id="{CBD003E3-5E0B-4FB2-A111-51468915FB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0"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0</xdr:rowOff>
    </xdr:from>
    <xdr:to>
      <xdr:col>6</xdr:col>
      <xdr:colOff>19050</xdr:colOff>
      <xdr:row>4</xdr:row>
      <xdr:rowOff>104775</xdr:rowOff>
    </xdr:to>
    <xdr:pic>
      <xdr:nvPicPr>
        <xdr:cNvPr id="5" name="cmdSpecifyArg3">
          <a:extLst>
            <a:ext uri="{FF2B5EF4-FFF2-40B4-BE49-F238E27FC236}">
              <a16:creationId xmlns:a16="http://schemas.microsoft.com/office/drawing/2014/main" id="{A5471F94-693E-4A91-BC30-8F4D2849B0F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0</xdr:rowOff>
    </xdr:from>
    <xdr:to>
      <xdr:col>7</xdr:col>
      <xdr:colOff>19050</xdr:colOff>
      <xdr:row>4</xdr:row>
      <xdr:rowOff>104775</xdr:rowOff>
    </xdr:to>
    <xdr:pic>
      <xdr:nvPicPr>
        <xdr:cNvPr id="6" name="cmdSpecifyArg4">
          <a:extLst>
            <a:ext uri="{FF2B5EF4-FFF2-40B4-BE49-F238E27FC236}">
              <a16:creationId xmlns:a16="http://schemas.microsoft.com/office/drawing/2014/main" id="{2620FEEA-3F45-448D-B87C-F6ECA9EF353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7672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0</xdr:rowOff>
    </xdr:from>
    <xdr:to>
      <xdr:col>8</xdr:col>
      <xdr:colOff>19050</xdr:colOff>
      <xdr:row>4</xdr:row>
      <xdr:rowOff>104775</xdr:rowOff>
    </xdr:to>
    <xdr:pic>
      <xdr:nvPicPr>
        <xdr:cNvPr id="7" name="cmdSpecifyArg5">
          <a:extLst>
            <a:ext uri="{FF2B5EF4-FFF2-40B4-BE49-F238E27FC236}">
              <a16:creationId xmlns:a16="http://schemas.microsoft.com/office/drawing/2014/main" id="{E1A1E748-87F1-4B00-90D9-125898F421A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8632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19050</xdr:colOff>
      <xdr:row>3</xdr:row>
      <xdr:rowOff>0</xdr:rowOff>
    </xdr:from>
    <xdr:to>
      <xdr:col>9</xdr:col>
      <xdr:colOff>28575</xdr:colOff>
      <xdr:row>4</xdr:row>
      <xdr:rowOff>104775</xdr:rowOff>
    </xdr:to>
    <xdr:pic>
      <xdr:nvPicPr>
        <xdr:cNvPr id="8" name="cmdSpecifyArg6">
          <a:extLst>
            <a:ext uri="{FF2B5EF4-FFF2-40B4-BE49-F238E27FC236}">
              <a16:creationId xmlns:a16="http://schemas.microsoft.com/office/drawing/2014/main" id="{5E6B5440-75A4-4B09-9F87-51E1E2B64F3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505450"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9</xdr:col>
      <xdr:colOff>19050</xdr:colOff>
      <xdr:row>3</xdr:row>
      <xdr:rowOff>0</xdr:rowOff>
    </xdr:from>
    <xdr:to>
      <xdr:col>10</xdr:col>
      <xdr:colOff>0</xdr:colOff>
      <xdr:row>4</xdr:row>
      <xdr:rowOff>85725</xdr:rowOff>
    </xdr:to>
    <xdr:pic>
      <xdr:nvPicPr>
        <xdr:cNvPr id="9" name="cmdSpecifyIEOptcode">
          <a:extLst>
            <a:ext uri="{FF2B5EF4-FFF2-40B4-BE49-F238E27FC236}">
              <a16:creationId xmlns:a16="http://schemas.microsoft.com/office/drawing/2014/main" id="{7C6DB1FF-2747-4A3F-8638-1721EE4038B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15050" y="523875"/>
          <a:ext cx="457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19050</xdr:colOff>
      <xdr:row>2</xdr:row>
      <xdr:rowOff>0</xdr:rowOff>
    </xdr:from>
    <xdr:to>
      <xdr:col>0</xdr:col>
      <xdr:colOff>838200</xdr:colOff>
      <xdr:row>3</xdr:row>
      <xdr:rowOff>0</xdr:rowOff>
    </xdr:to>
    <xdr:pic>
      <xdr:nvPicPr>
        <xdr:cNvPr id="10" name="cmdCheckTSTradeSheet">
          <a:extLst>
            <a:ext uri="{FF2B5EF4-FFF2-40B4-BE49-F238E27FC236}">
              <a16:creationId xmlns:a16="http://schemas.microsoft.com/office/drawing/2014/main" id="{29B1057A-07EC-4527-9002-14C3167FDAE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050"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19050</xdr:colOff>
      <xdr:row>3</xdr:row>
      <xdr:rowOff>19050</xdr:rowOff>
    </xdr:from>
    <xdr:to>
      <xdr:col>0</xdr:col>
      <xdr:colOff>838200</xdr:colOff>
      <xdr:row>5</xdr:row>
      <xdr:rowOff>104775</xdr:rowOff>
    </xdr:to>
    <xdr:pic>
      <xdr:nvPicPr>
        <xdr:cNvPr id="11" name="cmdPopulateDataYears">
          <a:extLst>
            <a:ext uri="{FF2B5EF4-FFF2-40B4-BE49-F238E27FC236}">
              <a16:creationId xmlns:a16="http://schemas.microsoft.com/office/drawing/2014/main" id="{D7F5FFFC-4FB0-4190-A956-DBD34D577E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050" y="542925"/>
          <a:ext cx="819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xmlns:a14="http://schemas.microsoft.com/office/drawing/2010/main" spid="_x0000_s61442"/>
            </a:ext>
            <a:ext uri="{FF2B5EF4-FFF2-40B4-BE49-F238E27FC236}">
              <a16:creationId xmlns:a16="http://schemas.microsoft.com/office/drawing/2014/main" id="{00000000-0008-0000-1400-000002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xmlns:a14="http://schemas.microsoft.com/office/drawing/2010/main" spid="_x0000_s61443"/>
            </a:ext>
            <a:ext uri="{FF2B5EF4-FFF2-40B4-BE49-F238E27FC236}">
              <a16:creationId xmlns:a16="http://schemas.microsoft.com/office/drawing/2014/main" id="{00000000-0008-0000-1400-000003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xmlns:a14="http://schemas.microsoft.com/office/drawing/2010/main" spid="_x0000_s61444"/>
            </a:ext>
            <a:ext uri="{FF2B5EF4-FFF2-40B4-BE49-F238E27FC236}">
              <a16:creationId xmlns:a16="http://schemas.microsoft.com/office/drawing/2014/main" id="{00000000-0008-0000-1400-000004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xmlns:a14="http://schemas.microsoft.com/office/drawing/2010/main" spid="_x0000_s61445"/>
            </a:ext>
            <a:ext uri="{FF2B5EF4-FFF2-40B4-BE49-F238E27FC236}">
              <a16:creationId xmlns:a16="http://schemas.microsoft.com/office/drawing/2014/main" id="{00000000-0008-0000-1400-000005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xmlns:a14="http://schemas.microsoft.com/office/drawing/2010/main" spid="_x0000_s61446"/>
            </a:ext>
            <a:ext uri="{FF2B5EF4-FFF2-40B4-BE49-F238E27FC236}">
              <a16:creationId xmlns:a16="http://schemas.microsoft.com/office/drawing/2014/main" id="{00000000-0008-0000-1400-000006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xmlns:a14="http://schemas.microsoft.com/office/drawing/2010/main" spid="_x0000_s61447"/>
            </a:ext>
            <a:ext uri="{FF2B5EF4-FFF2-40B4-BE49-F238E27FC236}">
              <a16:creationId xmlns:a16="http://schemas.microsoft.com/office/drawing/2014/main" id="{00000000-0008-0000-1400-000007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xmlns:a14="http://schemas.microsoft.com/office/drawing/2010/main" spid="_x0000_s61448"/>
            </a:ext>
            <a:ext uri="{FF2B5EF4-FFF2-40B4-BE49-F238E27FC236}">
              <a16:creationId xmlns:a16="http://schemas.microsoft.com/office/drawing/2014/main" id="{00000000-0008-0000-1400-000008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xmlns:a14="http://schemas.microsoft.com/office/drawing/2010/main" spid="_x0000_s61449"/>
            </a:ext>
            <a:ext uri="{FF2B5EF4-FFF2-40B4-BE49-F238E27FC236}">
              <a16:creationId xmlns:a16="http://schemas.microsoft.com/office/drawing/2014/main" id="{00000000-0008-0000-1400-000009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38100</xdr:rowOff>
    </xdr:to>
    <xdr:pic>
      <xdr:nvPicPr>
        <xdr:cNvPr id="2" name="cmdCheckTIDTradeSheet">
          <a:extLst>
            <a:ext uri="{FF2B5EF4-FFF2-40B4-BE49-F238E27FC236}">
              <a16:creationId xmlns:a16="http://schemas.microsoft.com/office/drawing/2014/main" id="{BE67A060-C88F-4951-BD9F-BF84866539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0</xdr:colOff>
      <xdr:row>3</xdr:row>
      <xdr:rowOff>9525</xdr:rowOff>
    </xdr:from>
    <xdr:to>
      <xdr:col>3</xdr:col>
      <xdr:colOff>28575</xdr:colOff>
      <xdr:row>4</xdr:row>
      <xdr:rowOff>114300</xdr:rowOff>
    </xdr:to>
    <xdr:pic>
      <xdr:nvPicPr>
        <xdr:cNvPr id="3" name="cmdSpecifyParameter">
          <a:extLst>
            <a:ext uri="{FF2B5EF4-FFF2-40B4-BE49-F238E27FC236}">
              <a16:creationId xmlns:a16="http://schemas.microsoft.com/office/drawing/2014/main" id="{3E85F9BC-6A63-4102-922B-5F718AB72A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0675" y="49530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9525</xdr:rowOff>
    </xdr:from>
    <xdr:to>
      <xdr:col>4</xdr:col>
      <xdr:colOff>0</xdr:colOff>
      <xdr:row>4</xdr:row>
      <xdr:rowOff>114300</xdr:rowOff>
    </xdr:to>
    <xdr:pic>
      <xdr:nvPicPr>
        <xdr:cNvPr id="4" name="cmdSpecifyArg1">
          <a:extLst>
            <a:ext uri="{FF2B5EF4-FFF2-40B4-BE49-F238E27FC236}">
              <a16:creationId xmlns:a16="http://schemas.microsoft.com/office/drawing/2014/main" id="{4BAF8459-9485-4533-AC41-674A41E17E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0775"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9525</xdr:rowOff>
    </xdr:from>
    <xdr:to>
      <xdr:col>5</xdr:col>
      <xdr:colOff>9525</xdr:colOff>
      <xdr:row>4</xdr:row>
      <xdr:rowOff>114300</xdr:rowOff>
    </xdr:to>
    <xdr:pic>
      <xdr:nvPicPr>
        <xdr:cNvPr id="5" name="cmdSpecifyArg2">
          <a:extLst>
            <a:ext uri="{FF2B5EF4-FFF2-40B4-BE49-F238E27FC236}">
              <a16:creationId xmlns:a16="http://schemas.microsoft.com/office/drawing/2014/main" id="{70078D9D-8226-47C9-A210-B2107EF225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19425"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9525</xdr:rowOff>
    </xdr:from>
    <xdr:to>
      <xdr:col>6</xdr:col>
      <xdr:colOff>19050</xdr:colOff>
      <xdr:row>4</xdr:row>
      <xdr:rowOff>114300</xdr:rowOff>
    </xdr:to>
    <xdr:pic>
      <xdr:nvPicPr>
        <xdr:cNvPr id="6" name="cmdSpecifyArg3">
          <a:extLst>
            <a:ext uri="{FF2B5EF4-FFF2-40B4-BE49-F238E27FC236}">
              <a16:creationId xmlns:a16="http://schemas.microsoft.com/office/drawing/2014/main" id="{F0AEA346-E5D7-4CED-A527-CDF07EE3843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385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9525</xdr:rowOff>
    </xdr:from>
    <xdr:to>
      <xdr:col>7</xdr:col>
      <xdr:colOff>19050</xdr:colOff>
      <xdr:row>4</xdr:row>
      <xdr:rowOff>114300</xdr:rowOff>
    </xdr:to>
    <xdr:pic>
      <xdr:nvPicPr>
        <xdr:cNvPr id="7" name="cmdSpecifyArg4">
          <a:extLst>
            <a:ext uri="{FF2B5EF4-FFF2-40B4-BE49-F238E27FC236}">
              <a16:creationId xmlns:a16="http://schemas.microsoft.com/office/drawing/2014/main" id="{3216FB0F-236E-4EC7-8C81-2430BF5226E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481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9525</xdr:rowOff>
    </xdr:from>
    <xdr:to>
      <xdr:col>8</xdr:col>
      <xdr:colOff>19050</xdr:colOff>
      <xdr:row>4</xdr:row>
      <xdr:rowOff>114300</xdr:rowOff>
    </xdr:to>
    <xdr:pic>
      <xdr:nvPicPr>
        <xdr:cNvPr id="8" name="cmdSpecifyArg5">
          <a:extLst>
            <a:ext uri="{FF2B5EF4-FFF2-40B4-BE49-F238E27FC236}">
              <a16:creationId xmlns:a16="http://schemas.microsoft.com/office/drawing/2014/main" id="{820EFD9B-E365-4EF1-A5FC-29BA8B47774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577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xdr:colOff>
      <xdr:row>3</xdr:row>
      <xdr:rowOff>9525</xdr:rowOff>
    </xdr:from>
    <xdr:to>
      <xdr:col>9</xdr:col>
      <xdr:colOff>19050</xdr:colOff>
      <xdr:row>4</xdr:row>
      <xdr:rowOff>114300</xdr:rowOff>
    </xdr:to>
    <xdr:pic>
      <xdr:nvPicPr>
        <xdr:cNvPr id="9" name="cmdSpecifyArg6">
          <a:extLst>
            <a:ext uri="{FF2B5EF4-FFF2-40B4-BE49-F238E27FC236}">
              <a16:creationId xmlns:a16="http://schemas.microsoft.com/office/drawing/2014/main" id="{ACAC6C77-992F-42FD-A0C5-587D0DF77CF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4673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857250</xdr:colOff>
      <xdr:row>2</xdr:row>
      <xdr:rowOff>205740</xdr:rowOff>
    </xdr:to>
    <xdr:sp macro="" textlink="">
      <xdr:nvSpPr>
        <xdr:cNvPr id="157697" name="cmdTechNameAndDesc" hidden="1">
          <a:extLst>
            <a:ext uri="{63B3BB69-23CF-44E3-9099-C40C66FF867C}">
              <a14:compatExt xmlns:a14="http://schemas.microsoft.com/office/drawing/2010/main" spid="_x0000_s157697"/>
            </a:ext>
            <a:ext uri="{FF2B5EF4-FFF2-40B4-BE49-F238E27FC236}">
              <a16:creationId xmlns:a16="http://schemas.microsoft.com/office/drawing/2014/main" id="{00000000-0008-0000-0D00-000001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xdr:row>
      <xdr:rowOff>114300</xdr:rowOff>
    </xdr:from>
    <xdr:to>
      <xdr:col>4</xdr:col>
      <xdr:colOff>628650</xdr:colOff>
      <xdr:row>2</xdr:row>
      <xdr:rowOff>205740</xdr:rowOff>
    </xdr:to>
    <xdr:sp macro="" textlink="">
      <xdr:nvSpPr>
        <xdr:cNvPr id="157698" name="cmdCommIN" hidden="1">
          <a:extLst>
            <a:ext uri="{63B3BB69-23CF-44E3-9099-C40C66FF867C}">
              <a14:compatExt xmlns:a14="http://schemas.microsoft.com/office/drawing/2010/main" spid="_x0000_s157698"/>
            </a:ext>
            <a:ext uri="{FF2B5EF4-FFF2-40B4-BE49-F238E27FC236}">
              <a16:creationId xmlns:a16="http://schemas.microsoft.com/office/drawing/2014/main" id="{00000000-0008-0000-0D00-000002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114300</xdr:rowOff>
    </xdr:from>
    <xdr:to>
      <xdr:col>5</xdr:col>
      <xdr:colOff>628650</xdr:colOff>
      <xdr:row>2</xdr:row>
      <xdr:rowOff>205740</xdr:rowOff>
    </xdr:to>
    <xdr:sp macro="" textlink="">
      <xdr:nvSpPr>
        <xdr:cNvPr id="157699" name="cmdCommOUT" hidden="1">
          <a:extLst>
            <a:ext uri="{63B3BB69-23CF-44E3-9099-C40C66FF867C}">
              <a14:compatExt xmlns:a14="http://schemas.microsoft.com/office/drawing/2010/main" spid="_x0000_s157699"/>
            </a:ext>
            <a:ext uri="{FF2B5EF4-FFF2-40B4-BE49-F238E27FC236}">
              <a16:creationId xmlns:a16="http://schemas.microsoft.com/office/drawing/2014/main" id="{00000000-0008-0000-0D00-000003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190500</xdr:rowOff>
    </xdr:from>
    <xdr:to>
      <xdr:col>1</xdr:col>
      <xdr:colOff>0</xdr:colOff>
      <xdr:row>3</xdr:row>
      <xdr:rowOff>0</xdr:rowOff>
    </xdr:to>
    <xdr:sp macro="" textlink="">
      <xdr:nvSpPr>
        <xdr:cNvPr id="157700" name="cmdAddParameter" hidden="1">
          <a:extLst>
            <a:ext uri="{63B3BB69-23CF-44E3-9099-C40C66FF867C}">
              <a14:compatExt xmlns:a14="http://schemas.microsoft.com/office/drawing/2010/main" spid="_x0000_s157700"/>
            </a:ext>
            <a:ext uri="{FF2B5EF4-FFF2-40B4-BE49-F238E27FC236}">
              <a16:creationId xmlns:a16="http://schemas.microsoft.com/office/drawing/2014/main" id="{00000000-0008-0000-0D00-000004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171450</xdr:rowOff>
    </xdr:from>
    <xdr:to>
      <xdr:col>1</xdr:col>
      <xdr:colOff>0</xdr:colOff>
      <xdr:row>4</xdr:row>
      <xdr:rowOff>129540</xdr:rowOff>
    </xdr:to>
    <xdr:sp macro="" textlink="">
      <xdr:nvSpPr>
        <xdr:cNvPr id="157701" name="cmdAddParamQualifier1" hidden="1">
          <a:extLst>
            <a:ext uri="{63B3BB69-23CF-44E3-9099-C40C66FF867C}">
              <a14:compatExt xmlns:a14="http://schemas.microsoft.com/office/drawing/2010/main" spid="_x0000_s157701"/>
            </a:ext>
            <a:ext uri="{FF2B5EF4-FFF2-40B4-BE49-F238E27FC236}">
              <a16:creationId xmlns:a16="http://schemas.microsoft.com/office/drawing/2014/main" id="{00000000-0008-0000-0D00-000005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114300</xdr:rowOff>
    </xdr:from>
    <xdr:to>
      <xdr:col>1</xdr:col>
      <xdr:colOff>0</xdr:colOff>
      <xdr:row>2</xdr:row>
      <xdr:rowOff>205740</xdr:rowOff>
    </xdr:to>
    <xdr:sp macro="" textlink="">
      <xdr:nvSpPr>
        <xdr:cNvPr id="157702" name="cmdCheckTechDataSheet" hidden="1">
          <a:extLst>
            <a:ext uri="{63B3BB69-23CF-44E3-9099-C40C66FF867C}">
              <a14:compatExt xmlns:a14="http://schemas.microsoft.com/office/drawing/2010/main" spid="_x0000_s157702"/>
            </a:ext>
            <a:ext uri="{FF2B5EF4-FFF2-40B4-BE49-F238E27FC236}">
              <a16:creationId xmlns:a16="http://schemas.microsoft.com/office/drawing/2014/main" id="{00000000-0008-0000-0D00-000006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1</xdr:col>
      <xdr:colOff>0</xdr:colOff>
      <xdr:row>6</xdr:row>
      <xdr:rowOff>38100</xdr:rowOff>
    </xdr:to>
    <xdr:sp macro="" textlink="">
      <xdr:nvSpPr>
        <xdr:cNvPr id="157703" name="cmdAddParamQualifier2" hidden="1">
          <a:extLst>
            <a:ext uri="{63B3BB69-23CF-44E3-9099-C40C66FF867C}">
              <a14:compatExt xmlns:a14="http://schemas.microsoft.com/office/drawing/2010/main" spid="_x0000_s157703"/>
            </a:ext>
            <a:ext uri="{FF2B5EF4-FFF2-40B4-BE49-F238E27FC236}">
              <a16:creationId xmlns:a16="http://schemas.microsoft.com/office/drawing/2014/main" id="{00000000-0008-0000-0D00-000007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xmlns:a14="http://schemas.microsoft.com/office/drawing/2010/main" spid="_x0000_s62466"/>
            </a:ext>
            <a:ext uri="{FF2B5EF4-FFF2-40B4-BE49-F238E27FC236}">
              <a16:creationId xmlns:a16="http://schemas.microsoft.com/office/drawing/2014/main" id="{00000000-0008-0000-1500-000002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xmlns:a14="http://schemas.microsoft.com/office/drawing/2010/main" spid="_x0000_s62467"/>
            </a:ext>
            <a:ext uri="{FF2B5EF4-FFF2-40B4-BE49-F238E27FC236}">
              <a16:creationId xmlns:a16="http://schemas.microsoft.com/office/drawing/2014/main" id="{00000000-0008-0000-1500-000003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xmlns:a14="http://schemas.microsoft.com/office/drawing/2010/main" spid="_x0000_s62468"/>
            </a:ext>
            <a:ext uri="{FF2B5EF4-FFF2-40B4-BE49-F238E27FC236}">
              <a16:creationId xmlns:a16="http://schemas.microsoft.com/office/drawing/2014/main" id="{00000000-0008-0000-1500-000004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xmlns:a14="http://schemas.microsoft.com/office/drawing/2010/main" spid="_x0000_s62469"/>
            </a:ext>
            <a:ext uri="{FF2B5EF4-FFF2-40B4-BE49-F238E27FC236}">
              <a16:creationId xmlns:a16="http://schemas.microsoft.com/office/drawing/2014/main" id="{00000000-0008-0000-1500-000005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xmlns:a14="http://schemas.microsoft.com/office/drawing/2010/main" spid="_x0000_s62470"/>
            </a:ext>
            <a:ext uri="{FF2B5EF4-FFF2-40B4-BE49-F238E27FC236}">
              <a16:creationId xmlns:a16="http://schemas.microsoft.com/office/drawing/2014/main" id="{00000000-0008-0000-1500-000006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xmlns:a14="http://schemas.microsoft.com/office/drawing/2010/main" spid="_x0000_s62471"/>
            </a:ext>
            <a:ext uri="{FF2B5EF4-FFF2-40B4-BE49-F238E27FC236}">
              <a16:creationId xmlns:a16="http://schemas.microsoft.com/office/drawing/2014/main" id="{00000000-0008-0000-1500-000007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xmlns:a14="http://schemas.microsoft.com/office/drawing/2010/main" spid="_x0000_s62472"/>
            </a:ext>
            <a:ext uri="{FF2B5EF4-FFF2-40B4-BE49-F238E27FC236}">
              <a16:creationId xmlns:a16="http://schemas.microsoft.com/office/drawing/2014/main" id="{00000000-0008-0000-1500-000008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xmlns:a14="http://schemas.microsoft.com/office/drawing/2010/main" spid="_x0000_s62473"/>
            </a:ext>
            <a:ext uri="{FF2B5EF4-FFF2-40B4-BE49-F238E27FC236}">
              <a16:creationId xmlns:a16="http://schemas.microsoft.com/office/drawing/2014/main" id="{00000000-0008-0000-1500-000009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xmlns:a14="http://schemas.microsoft.com/office/drawing/2010/main" spid="_x0000_s62474"/>
            </a:ext>
            <a:ext uri="{FF2B5EF4-FFF2-40B4-BE49-F238E27FC236}">
              <a16:creationId xmlns:a16="http://schemas.microsoft.com/office/drawing/2014/main" id="{00000000-0008-0000-1500-00000A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xmlns:a14="http://schemas.microsoft.com/office/drawing/2010/main" spid="_x0000_s62475"/>
            </a:ext>
            <a:ext uri="{FF2B5EF4-FFF2-40B4-BE49-F238E27FC236}">
              <a16:creationId xmlns:a16="http://schemas.microsoft.com/office/drawing/2014/main" id="{00000000-0008-0000-1500-00000B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19050</xdr:rowOff>
    </xdr:from>
    <xdr:to>
      <xdr:col>0</xdr:col>
      <xdr:colOff>828675</xdr:colOff>
      <xdr:row>3</xdr:row>
      <xdr:rowOff>0</xdr:rowOff>
    </xdr:to>
    <xdr:pic>
      <xdr:nvPicPr>
        <xdr:cNvPr id="2" name="cmdCheckTSandTIDTradeSheet">
          <a:extLst>
            <a:ext uri="{FF2B5EF4-FFF2-40B4-BE49-F238E27FC236}">
              <a16:creationId xmlns:a16="http://schemas.microsoft.com/office/drawing/2014/main" id="{6A7EF5CA-871B-4297-A7B8-1EDD2DE0C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3619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9525</xdr:colOff>
      <xdr:row>3</xdr:row>
      <xdr:rowOff>9525</xdr:rowOff>
    </xdr:from>
    <xdr:to>
      <xdr:col>3</xdr:col>
      <xdr:colOff>9525</xdr:colOff>
      <xdr:row>4</xdr:row>
      <xdr:rowOff>85725</xdr:rowOff>
    </xdr:to>
    <xdr:pic>
      <xdr:nvPicPr>
        <xdr:cNvPr id="3" name="cmdSpecifyParameter">
          <a:extLst>
            <a:ext uri="{FF2B5EF4-FFF2-40B4-BE49-F238E27FC236}">
              <a16:creationId xmlns:a16="http://schemas.microsoft.com/office/drawing/2014/main" id="{1494FA95-1F87-44A8-BBAE-2FF1AA9F62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7325" y="60960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9525</xdr:rowOff>
    </xdr:from>
    <xdr:to>
      <xdr:col>4</xdr:col>
      <xdr:colOff>19050</xdr:colOff>
      <xdr:row>4</xdr:row>
      <xdr:rowOff>85725</xdr:rowOff>
    </xdr:to>
    <xdr:pic>
      <xdr:nvPicPr>
        <xdr:cNvPr id="4" name="cmdSpecifyArg1">
          <a:extLst>
            <a:ext uri="{FF2B5EF4-FFF2-40B4-BE49-F238E27FC236}">
              <a16:creationId xmlns:a16="http://schemas.microsoft.com/office/drawing/2014/main" id="{2CD48D58-6E8F-40FF-9BA2-8E83138C94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764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9525</xdr:rowOff>
    </xdr:from>
    <xdr:to>
      <xdr:col>5</xdr:col>
      <xdr:colOff>19050</xdr:colOff>
      <xdr:row>4</xdr:row>
      <xdr:rowOff>85725</xdr:rowOff>
    </xdr:to>
    <xdr:pic>
      <xdr:nvPicPr>
        <xdr:cNvPr id="5" name="cmdSpecifyArg2">
          <a:extLst>
            <a:ext uri="{FF2B5EF4-FFF2-40B4-BE49-F238E27FC236}">
              <a16:creationId xmlns:a16="http://schemas.microsoft.com/office/drawing/2014/main" id="{10248C8A-8E83-4FDF-B675-5D5F290A206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860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9525</xdr:rowOff>
    </xdr:from>
    <xdr:to>
      <xdr:col>6</xdr:col>
      <xdr:colOff>19050</xdr:colOff>
      <xdr:row>4</xdr:row>
      <xdr:rowOff>85725</xdr:rowOff>
    </xdr:to>
    <xdr:pic>
      <xdr:nvPicPr>
        <xdr:cNvPr id="6" name="cmdSpecifyArg3">
          <a:extLst>
            <a:ext uri="{FF2B5EF4-FFF2-40B4-BE49-F238E27FC236}">
              <a16:creationId xmlns:a16="http://schemas.microsoft.com/office/drawing/2014/main" id="{CF841022-C575-4BC5-81F8-6402F91E9BC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956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9525</xdr:rowOff>
    </xdr:from>
    <xdr:to>
      <xdr:col>7</xdr:col>
      <xdr:colOff>19050</xdr:colOff>
      <xdr:row>4</xdr:row>
      <xdr:rowOff>85725</xdr:rowOff>
    </xdr:to>
    <xdr:pic>
      <xdr:nvPicPr>
        <xdr:cNvPr id="7" name="cmdSpecifyArg4">
          <a:extLst>
            <a:ext uri="{FF2B5EF4-FFF2-40B4-BE49-F238E27FC236}">
              <a16:creationId xmlns:a16="http://schemas.microsoft.com/office/drawing/2014/main" id="{B3D35A47-AAB3-4CC4-8D27-F7BF394C4EA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052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9525</xdr:rowOff>
    </xdr:from>
    <xdr:to>
      <xdr:col>8</xdr:col>
      <xdr:colOff>19050</xdr:colOff>
      <xdr:row>4</xdr:row>
      <xdr:rowOff>85725</xdr:rowOff>
    </xdr:to>
    <xdr:pic>
      <xdr:nvPicPr>
        <xdr:cNvPr id="8" name="cmdSpecifyArg5">
          <a:extLst>
            <a:ext uri="{FF2B5EF4-FFF2-40B4-BE49-F238E27FC236}">
              <a16:creationId xmlns:a16="http://schemas.microsoft.com/office/drawing/2014/main" id="{F6E7FBF3-CCB8-4F1F-84E0-2B632238B2D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148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xdr:colOff>
      <xdr:row>3</xdr:row>
      <xdr:rowOff>9525</xdr:rowOff>
    </xdr:from>
    <xdr:to>
      <xdr:col>9</xdr:col>
      <xdr:colOff>19050</xdr:colOff>
      <xdr:row>4</xdr:row>
      <xdr:rowOff>85725</xdr:rowOff>
    </xdr:to>
    <xdr:pic>
      <xdr:nvPicPr>
        <xdr:cNvPr id="9" name="cmdSpecifyArg6">
          <a:extLst>
            <a:ext uri="{FF2B5EF4-FFF2-40B4-BE49-F238E27FC236}">
              <a16:creationId xmlns:a16="http://schemas.microsoft.com/office/drawing/2014/main" id="{04714141-59DE-4128-93A4-C79BF6C8C08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3244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9</xdr:col>
      <xdr:colOff>28575</xdr:colOff>
      <xdr:row>3</xdr:row>
      <xdr:rowOff>9525</xdr:rowOff>
    </xdr:from>
    <xdr:to>
      <xdr:col>10</xdr:col>
      <xdr:colOff>9525</xdr:colOff>
      <xdr:row>4</xdr:row>
      <xdr:rowOff>85725</xdr:rowOff>
    </xdr:to>
    <xdr:pic>
      <xdr:nvPicPr>
        <xdr:cNvPr id="10" name="cmdSpecifyIEOptcode">
          <a:extLst>
            <a:ext uri="{FF2B5EF4-FFF2-40B4-BE49-F238E27FC236}">
              <a16:creationId xmlns:a16="http://schemas.microsoft.com/office/drawing/2014/main" id="{41BCA9DB-282E-4001-9BA9-E3CD2551761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953125" y="6096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4</xdr:row>
      <xdr:rowOff>19050</xdr:rowOff>
    </xdr:from>
    <xdr:to>
      <xdr:col>0</xdr:col>
      <xdr:colOff>666750</xdr:colOff>
      <xdr:row>6</xdr:row>
      <xdr:rowOff>38100</xdr:rowOff>
    </xdr:to>
    <xdr:pic>
      <xdr:nvPicPr>
        <xdr:cNvPr id="11" name="cmdPopulateDataYears">
          <a:extLst>
            <a:ext uri="{FF2B5EF4-FFF2-40B4-BE49-F238E27FC236}">
              <a16:creationId xmlns:a16="http://schemas.microsoft.com/office/drawing/2014/main" id="{CE7177FB-89AC-4A50-829A-56DFA70DD08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525" y="790575"/>
          <a:ext cx="6572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xmlns:a14="http://schemas.microsoft.com/office/drawing/2010/main"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xmlns:a14="http://schemas.microsoft.com/office/drawing/2010/main"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9525</xdr:rowOff>
    </xdr:to>
    <xdr:pic>
      <xdr:nvPicPr>
        <xdr:cNvPr id="2" name="cmdCheckRegionsSheet">
          <a:extLst>
            <a:ext uri="{FF2B5EF4-FFF2-40B4-BE49-F238E27FC236}">
              <a16:creationId xmlns:a16="http://schemas.microsoft.com/office/drawing/2014/main" id="{12AAD983-3B58-40A0-BF2C-329075411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9525</xdr:colOff>
      <xdr:row>3</xdr:row>
      <xdr:rowOff>19050</xdr:rowOff>
    </xdr:from>
    <xdr:to>
      <xdr:col>3</xdr:col>
      <xdr:colOff>9525</xdr:colOff>
      <xdr:row>4</xdr:row>
      <xdr:rowOff>114300</xdr:rowOff>
    </xdr:to>
    <xdr:pic>
      <xdr:nvPicPr>
        <xdr:cNvPr id="3" name="cmdSpecifySets">
          <a:extLst>
            <a:ext uri="{FF2B5EF4-FFF2-40B4-BE49-F238E27FC236}">
              <a16:creationId xmlns:a16="http://schemas.microsoft.com/office/drawing/2014/main" id="{7715866C-22D3-45A9-9B3F-FA008CDFD7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9525" y="533400"/>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xmlns:a14="http://schemas.microsoft.com/office/drawing/2010/main"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xmlns:a14="http://schemas.microsoft.com/office/drawing/2010/main"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xmlns:a14="http://schemas.microsoft.com/office/drawing/2010/main"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19050</xdr:colOff>
      <xdr:row>3</xdr:row>
      <xdr:rowOff>133350</xdr:rowOff>
    </xdr:from>
    <xdr:to>
      <xdr:col>4</xdr:col>
      <xdr:colOff>1924050</xdr:colOff>
      <xdr:row>4</xdr:row>
      <xdr:rowOff>152400</xdr:rowOff>
    </xdr:to>
    <xdr:pic>
      <xdr:nvPicPr>
        <xdr:cNvPr id="2" name="cmdSpecifySets">
          <a:extLst>
            <a:ext uri="{FF2B5EF4-FFF2-40B4-BE49-F238E27FC236}">
              <a16:creationId xmlns:a16="http://schemas.microsoft.com/office/drawing/2014/main" id="{269AC9FC-B4BF-45FC-BD27-C0C2DB96E5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81425" y="561975"/>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0</xdr:rowOff>
    </xdr:from>
    <xdr:to>
      <xdr:col>0</xdr:col>
      <xdr:colOff>828675</xdr:colOff>
      <xdr:row>3</xdr:row>
      <xdr:rowOff>95250</xdr:rowOff>
    </xdr:to>
    <xdr:pic>
      <xdr:nvPicPr>
        <xdr:cNvPr id="3" name="cmdCheckCommoditiesSheet">
          <a:extLst>
            <a:ext uri="{FF2B5EF4-FFF2-40B4-BE49-F238E27FC236}">
              <a16:creationId xmlns:a16="http://schemas.microsoft.com/office/drawing/2014/main" id="{CB4CE7D5-3708-4A49-9DA2-F49EE6DBA5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133350</xdr:rowOff>
    </xdr:from>
    <xdr:to>
      <xdr:col>3</xdr:col>
      <xdr:colOff>676275</xdr:colOff>
      <xdr:row>4</xdr:row>
      <xdr:rowOff>152400</xdr:rowOff>
    </xdr:to>
    <xdr:pic>
      <xdr:nvPicPr>
        <xdr:cNvPr id="4" name="cmdCommUnit">
          <a:extLst>
            <a:ext uri="{FF2B5EF4-FFF2-40B4-BE49-F238E27FC236}">
              <a16:creationId xmlns:a16="http://schemas.microsoft.com/office/drawing/2014/main" id="{5F24067E-28C9-46BB-B0F7-9BD1C2A4D0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86100" y="561975"/>
          <a:ext cx="6667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xmlns:a14="http://schemas.microsoft.com/office/drawing/2010/main" spid="_x0000_s125953"/>
            </a:ext>
            <a:ext uri="{FF2B5EF4-FFF2-40B4-BE49-F238E27FC236}">
              <a16:creationId xmlns:a16="http://schemas.microsoft.com/office/drawing/2014/main" id="{00000000-0008-0000-0600-000001E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817245</xdr:colOff>
      <xdr:row>3</xdr:row>
      <xdr:rowOff>95250</xdr:rowOff>
    </xdr:to>
    <xdr:sp macro="" textlink="">
      <xdr:nvSpPr>
        <xdr:cNvPr id="125954" name="cmdCheckCommoditiesSheet" hidden="1">
          <a:extLst>
            <a:ext uri="{63B3BB69-23CF-44E3-9099-C40C66FF867C}">
              <a14:compatExt xmlns:a14="http://schemas.microsoft.com/office/drawing/2010/main" spid="_x0000_s125954"/>
            </a:ext>
            <a:ext uri="{FF2B5EF4-FFF2-40B4-BE49-F238E27FC236}">
              <a16:creationId xmlns:a16="http://schemas.microsoft.com/office/drawing/2014/main" id="{00000000-0008-0000-0600-000002E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133350</xdr:rowOff>
    </xdr:from>
    <xdr:to>
      <xdr:col>3</xdr:col>
      <xdr:colOff>664845</xdr:colOff>
      <xdr:row>4</xdr:row>
      <xdr:rowOff>152400</xdr:rowOff>
    </xdr:to>
    <xdr:sp macro="" textlink="">
      <xdr:nvSpPr>
        <xdr:cNvPr id="125955" name="cmdCommUnit" hidden="1">
          <a:extLst>
            <a:ext uri="{63B3BB69-23CF-44E3-9099-C40C66FF867C}">
              <a14:compatExt xmlns:a14="http://schemas.microsoft.com/office/drawing/2010/main" spid="_x0000_s125955"/>
            </a:ext>
            <a:ext uri="{FF2B5EF4-FFF2-40B4-BE49-F238E27FC236}">
              <a16:creationId xmlns:a16="http://schemas.microsoft.com/office/drawing/2014/main" id="{00000000-0008-0000-0600-000003E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xmlns:a14="http://schemas.microsoft.com/office/drawing/2010/main" spid="_x0000_s80897"/>
            </a:ext>
            <a:ext uri="{FF2B5EF4-FFF2-40B4-BE49-F238E27FC236}">
              <a16:creationId xmlns:a16="http://schemas.microsoft.com/office/drawing/2014/main" id="{00000000-0008-0000-0700-0000013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xmlns:a14="http://schemas.microsoft.com/office/drawing/2010/main" spid="_x0000_s80898"/>
            </a:ext>
            <a:ext uri="{FF2B5EF4-FFF2-40B4-BE49-F238E27FC236}">
              <a16:creationId xmlns:a16="http://schemas.microsoft.com/office/drawing/2014/main" id="{00000000-0008-0000-0700-0000023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xmlns:a14="http://schemas.microsoft.com/office/drawing/2010/main" spid="_x0000_s80899"/>
            </a:ext>
            <a:ext uri="{FF2B5EF4-FFF2-40B4-BE49-F238E27FC236}">
              <a16:creationId xmlns:a16="http://schemas.microsoft.com/office/drawing/2014/main" id="{00000000-0008-0000-0700-0000033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19050</xdr:colOff>
      <xdr:row>3</xdr:row>
      <xdr:rowOff>133350</xdr:rowOff>
    </xdr:from>
    <xdr:to>
      <xdr:col>4</xdr:col>
      <xdr:colOff>1924050</xdr:colOff>
      <xdr:row>5</xdr:row>
      <xdr:rowOff>0</xdr:rowOff>
    </xdr:to>
    <xdr:pic>
      <xdr:nvPicPr>
        <xdr:cNvPr id="2" name="cmdSpecifySets">
          <a:extLst>
            <a:ext uri="{FF2B5EF4-FFF2-40B4-BE49-F238E27FC236}">
              <a16:creationId xmlns:a16="http://schemas.microsoft.com/office/drawing/2014/main" id="{AAD601F3-840B-49B2-BF97-6FC0314C7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9100" y="561975"/>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0</xdr:rowOff>
    </xdr:from>
    <xdr:to>
      <xdr:col>0</xdr:col>
      <xdr:colOff>828675</xdr:colOff>
      <xdr:row>3</xdr:row>
      <xdr:rowOff>95250</xdr:rowOff>
    </xdr:to>
    <xdr:pic>
      <xdr:nvPicPr>
        <xdr:cNvPr id="3" name="cmdCheckTechnologiesSheet">
          <a:extLst>
            <a:ext uri="{FF2B5EF4-FFF2-40B4-BE49-F238E27FC236}">
              <a16:creationId xmlns:a16="http://schemas.microsoft.com/office/drawing/2014/main" id="{15E78133-16E3-4030-9A44-52FD653764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133350</xdr:rowOff>
    </xdr:from>
    <xdr:to>
      <xdr:col>3</xdr:col>
      <xdr:colOff>647700</xdr:colOff>
      <xdr:row>5</xdr:row>
      <xdr:rowOff>0</xdr:rowOff>
    </xdr:to>
    <xdr:pic>
      <xdr:nvPicPr>
        <xdr:cNvPr id="4" name="cmdProcUnits">
          <a:extLst>
            <a:ext uri="{FF2B5EF4-FFF2-40B4-BE49-F238E27FC236}">
              <a16:creationId xmlns:a16="http://schemas.microsoft.com/office/drawing/2014/main" id="{45DBD899-9CD5-4ECF-9D6F-0C37EA6A31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76625" y="561975"/>
          <a:ext cx="6381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xmlns:a14="http://schemas.microsoft.com/office/drawing/2010/main" spid="_x0000_s101377"/>
            </a:ext>
            <a:ext uri="{FF2B5EF4-FFF2-40B4-BE49-F238E27FC236}">
              <a16:creationId xmlns:a16="http://schemas.microsoft.com/office/drawing/2014/main" id="{00000000-0008-0000-0800-0000018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xmlns:a14="http://schemas.microsoft.com/office/drawing/2010/main" spid="_x0000_s101378"/>
            </a:ext>
            <a:ext uri="{FF2B5EF4-FFF2-40B4-BE49-F238E27FC236}">
              <a16:creationId xmlns:a16="http://schemas.microsoft.com/office/drawing/2014/main" id="{00000000-0008-0000-0800-0000028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xmlns:a14="http://schemas.microsoft.com/office/drawing/2010/main" spid="_x0000_s101379"/>
            </a:ext>
            <a:ext uri="{FF2B5EF4-FFF2-40B4-BE49-F238E27FC236}">
              <a16:creationId xmlns:a16="http://schemas.microsoft.com/office/drawing/2014/main" id="{00000000-0008-0000-0800-0000038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19050</xdr:colOff>
      <xdr:row>4</xdr:row>
      <xdr:rowOff>19050</xdr:rowOff>
    </xdr:from>
    <xdr:to>
      <xdr:col>5</xdr:col>
      <xdr:colOff>19050</xdr:colOff>
      <xdr:row>5</xdr:row>
      <xdr:rowOff>28575</xdr:rowOff>
    </xdr:to>
    <xdr:pic>
      <xdr:nvPicPr>
        <xdr:cNvPr id="2" name="cmdConstraintSets">
          <a:extLst>
            <a:ext uri="{FF2B5EF4-FFF2-40B4-BE49-F238E27FC236}">
              <a16:creationId xmlns:a16="http://schemas.microsoft.com/office/drawing/2014/main" id="{4E04CD31-2EE9-4700-8E2E-E3BEFE8B9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 y="685800"/>
          <a:ext cx="18954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3</xdr:row>
      <xdr:rowOff>0</xdr:rowOff>
    </xdr:from>
    <xdr:to>
      <xdr:col>0</xdr:col>
      <xdr:colOff>790575</xdr:colOff>
      <xdr:row>4</xdr:row>
      <xdr:rowOff>0</xdr:rowOff>
    </xdr:to>
    <xdr:pic>
      <xdr:nvPicPr>
        <xdr:cNvPr id="3" name="cmdCheckConstraintsSheet">
          <a:extLst>
            <a:ext uri="{FF2B5EF4-FFF2-40B4-BE49-F238E27FC236}">
              <a16:creationId xmlns:a16="http://schemas.microsoft.com/office/drawing/2014/main" id="{630A31D3-2473-4510-955E-CC46B69D99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428625"/>
          <a:ext cx="7810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19050</xdr:colOff>
      <xdr:row>4</xdr:row>
      <xdr:rowOff>9525</xdr:rowOff>
    </xdr:from>
    <xdr:to>
      <xdr:col>3</xdr:col>
      <xdr:colOff>571500</xdr:colOff>
      <xdr:row>5</xdr:row>
      <xdr:rowOff>28575</xdr:rowOff>
    </xdr:to>
    <xdr:pic>
      <xdr:nvPicPr>
        <xdr:cNvPr id="4" name="cmdConstraintUnit">
          <a:extLst>
            <a:ext uri="{FF2B5EF4-FFF2-40B4-BE49-F238E27FC236}">
              <a16:creationId xmlns:a16="http://schemas.microsoft.com/office/drawing/2014/main" id="{A2D01CC5-B632-413B-A3F4-9D1C7E0BA0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43300" y="676275"/>
          <a:ext cx="5524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xmlns:a14="http://schemas.microsoft.com/office/drawing/2010/main" spid="_x0000_s90113"/>
            </a:ext>
            <a:ext uri="{FF2B5EF4-FFF2-40B4-BE49-F238E27FC236}">
              <a16:creationId xmlns:a16="http://schemas.microsoft.com/office/drawing/2014/main" id="{00000000-0008-0000-0900-000001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xmlns:a14="http://schemas.microsoft.com/office/drawing/2010/main" spid="_x0000_s90114"/>
            </a:ext>
            <a:ext uri="{FF2B5EF4-FFF2-40B4-BE49-F238E27FC236}">
              <a16:creationId xmlns:a16="http://schemas.microsoft.com/office/drawing/2014/main" id="{00000000-0008-0000-0900-000002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xmlns:a14="http://schemas.microsoft.com/office/drawing/2010/main" spid="_x0000_s90115"/>
            </a:ext>
            <a:ext uri="{FF2B5EF4-FFF2-40B4-BE49-F238E27FC236}">
              <a16:creationId xmlns:a16="http://schemas.microsoft.com/office/drawing/2014/main" id="{00000000-0008-0000-0900-000003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xmlns:a14="http://schemas.microsoft.com/office/drawing/2010/main" spid="_x0000_s90116"/>
            </a:ext>
            <a:ext uri="{FF2B5EF4-FFF2-40B4-BE49-F238E27FC236}">
              <a16:creationId xmlns:a16="http://schemas.microsoft.com/office/drawing/2014/main" id="{00000000-0008-0000-0900-000004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xmlns:a14="http://schemas.microsoft.com/office/drawing/2010/main" spid="_x0000_s90118"/>
            </a:ext>
            <a:ext uri="{FF2B5EF4-FFF2-40B4-BE49-F238E27FC236}">
              <a16:creationId xmlns:a16="http://schemas.microsoft.com/office/drawing/2014/main" id="{00000000-0008-0000-0900-000006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38100</xdr:rowOff>
    </xdr:from>
    <xdr:to>
      <xdr:col>0</xdr:col>
      <xdr:colOff>828675</xdr:colOff>
      <xdr:row>4</xdr:row>
      <xdr:rowOff>19050</xdr:rowOff>
    </xdr:to>
    <xdr:pic>
      <xdr:nvPicPr>
        <xdr:cNvPr id="2" name="cmdAddParameter">
          <a:extLst>
            <a:ext uri="{FF2B5EF4-FFF2-40B4-BE49-F238E27FC236}">
              <a16:creationId xmlns:a16="http://schemas.microsoft.com/office/drawing/2014/main" id="{8A1A3672-CBB1-4A43-BE76-CEA656C445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5143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19050</xdr:colOff>
      <xdr:row>2</xdr:row>
      <xdr:rowOff>0</xdr:rowOff>
    </xdr:from>
    <xdr:to>
      <xdr:col>3</xdr:col>
      <xdr:colOff>0</xdr:colOff>
      <xdr:row>3</xdr:row>
      <xdr:rowOff>47625</xdr:rowOff>
    </xdr:to>
    <xdr:pic>
      <xdr:nvPicPr>
        <xdr:cNvPr id="3" name="cmdCommNameAndDesc">
          <a:extLst>
            <a:ext uri="{FF2B5EF4-FFF2-40B4-BE49-F238E27FC236}">
              <a16:creationId xmlns:a16="http://schemas.microsoft.com/office/drawing/2014/main" id="{4E4ADA93-C22C-4D2F-B6FA-5D3BADBF04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9650" y="285750"/>
          <a:ext cx="21717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4</xdr:row>
      <xdr:rowOff>19050</xdr:rowOff>
    </xdr:from>
    <xdr:to>
      <xdr:col>0</xdr:col>
      <xdr:colOff>828675</xdr:colOff>
      <xdr:row>5</xdr:row>
      <xdr:rowOff>9525</xdr:rowOff>
    </xdr:to>
    <xdr:pic>
      <xdr:nvPicPr>
        <xdr:cNvPr id="4" name="cmdAddParamQualifier1">
          <a:extLst>
            <a:ext uri="{FF2B5EF4-FFF2-40B4-BE49-F238E27FC236}">
              <a16:creationId xmlns:a16="http://schemas.microsoft.com/office/drawing/2014/main" id="{C7C328C3-3E86-4794-B490-96A1BA86E4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7524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1</xdr:row>
      <xdr:rowOff>123825</xdr:rowOff>
    </xdr:from>
    <xdr:to>
      <xdr:col>0</xdr:col>
      <xdr:colOff>828675</xdr:colOff>
      <xdr:row>3</xdr:row>
      <xdr:rowOff>28575</xdr:rowOff>
    </xdr:to>
    <xdr:pic>
      <xdr:nvPicPr>
        <xdr:cNvPr id="5" name="cmdCheckCommDataSheet">
          <a:extLst>
            <a:ext uri="{FF2B5EF4-FFF2-40B4-BE49-F238E27FC236}">
              <a16:creationId xmlns:a16="http://schemas.microsoft.com/office/drawing/2014/main" id="{3673D06D-095D-45D0-B6EB-49BB107842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26670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5</xdr:row>
      <xdr:rowOff>19050</xdr:rowOff>
    </xdr:from>
    <xdr:to>
      <xdr:col>0</xdr:col>
      <xdr:colOff>828675</xdr:colOff>
      <xdr:row>6</xdr:row>
      <xdr:rowOff>9525</xdr:rowOff>
    </xdr:to>
    <xdr:pic>
      <xdr:nvPicPr>
        <xdr:cNvPr id="6" name="cmdAddParamQualifier2">
          <a:extLst>
            <a:ext uri="{FF2B5EF4-FFF2-40B4-BE49-F238E27FC236}">
              <a16:creationId xmlns:a16="http://schemas.microsoft.com/office/drawing/2014/main" id="{DA36BAF4-9404-43B3-AC30-868DAEA6E77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100012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xdr:colOff>
      <xdr:row>3</xdr:row>
      <xdr:rowOff>38100</xdr:rowOff>
    </xdr:from>
    <xdr:to>
      <xdr:col>0</xdr:col>
      <xdr:colOff>817245</xdr:colOff>
      <xdr:row>4</xdr:row>
      <xdr:rowOff>19050</xdr:rowOff>
    </xdr:to>
    <xdr:sp macro="" textlink="">
      <xdr:nvSpPr>
        <xdr:cNvPr id="126977" name="cmdAddParameter" hidden="1">
          <a:extLst>
            <a:ext uri="{63B3BB69-23CF-44E3-9099-C40C66FF867C}">
              <a14:compatExt xmlns:a14="http://schemas.microsoft.com/office/drawing/2010/main" spid="_x0000_s126977"/>
            </a:ext>
            <a:ext uri="{FF2B5EF4-FFF2-40B4-BE49-F238E27FC236}">
              <a16:creationId xmlns:a16="http://schemas.microsoft.com/office/drawing/2014/main" id="{00000000-0008-0000-0A00-000001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19050</xdr:colOff>
      <xdr:row>2</xdr:row>
      <xdr:rowOff>0</xdr:rowOff>
    </xdr:from>
    <xdr:to>
      <xdr:col>3</xdr:col>
      <xdr:colOff>0</xdr:colOff>
      <xdr:row>3</xdr:row>
      <xdr:rowOff>53340</xdr:rowOff>
    </xdr:to>
    <xdr:sp macro="" textlink="">
      <xdr:nvSpPr>
        <xdr:cNvPr id="126978" name="cmdCommNameAndDesc" hidden="1">
          <a:extLst>
            <a:ext uri="{63B3BB69-23CF-44E3-9099-C40C66FF867C}">
              <a14:compatExt xmlns:a14="http://schemas.microsoft.com/office/drawing/2010/main" spid="_x0000_s126978"/>
            </a:ext>
            <a:ext uri="{FF2B5EF4-FFF2-40B4-BE49-F238E27FC236}">
              <a16:creationId xmlns:a16="http://schemas.microsoft.com/office/drawing/2014/main" id="{00000000-0008-0000-0A00-000002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4</xdr:row>
      <xdr:rowOff>19050</xdr:rowOff>
    </xdr:from>
    <xdr:to>
      <xdr:col>0</xdr:col>
      <xdr:colOff>817245</xdr:colOff>
      <xdr:row>5</xdr:row>
      <xdr:rowOff>15240</xdr:rowOff>
    </xdr:to>
    <xdr:sp macro="" textlink="">
      <xdr:nvSpPr>
        <xdr:cNvPr id="126979" name="cmdAddParamQualifier1" hidden="1">
          <a:extLst>
            <a:ext uri="{63B3BB69-23CF-44E3-9099-C40C66FF867C}">
              <a14:compatExt xmlns:a14="http://schemas.microsoft.com/office/drawing/2010/main" spid="_x0000_s126979"/>
            </a:ext>
            <a:ext uri="{FF2B5EF4-FFF2-40B4-BE49-F238E27FC236}">
              <a16:creationId xmlns:a16="http://schemas.microsoft.com/office/drawing/2014/main" id="{00000000-0008-0000-0A00-000003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123825</xdr:rowOff>
    </xdr:from>
    <xdr:to>
      <xdr:col>0</xdr:col>
      <xdr:colOff>817245</xdr:colOff>
      <xdr:row>3</xdr:row>
      <xdr:rowOff>15240</xdr:rowOff>
    </xdr:to>
    <xdr:sp macro="" textlink="">
      <xdr:nvSpPr>
        <xdr:cNvPr id="126980" name="cmdCheckCommDataSheet" hidden="1">
          <a:extLst>
            <a:ext uri="{63B3BB69-23CF-44E3-9099-C40C66FF867C}">
              <a14:compatExt xmlns:a14="http://schemas.microsoft.com/office/drawing/2010/main" spid="_x0000_s126980"/>
            </a:ext>
            <a:ext uri="{FF2B5EF4-FFF2-40B4-BE49-F238E27FC236}">
              <a16:creationId xmlns:a16="http://schemas.microsoft.com/office/drawing/2014/main" id="{00000000-0008-0000-0A00-000004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0</xdr:col>
      <xdr:colOff>817245</xdr:colOff>
      <xdr:row>6</xdr:row>
      <xdr:rowOff>15240</xdr:rowOff>
    </xdr:to>
    <xdr:sp macro="" textlink="">
      <xdr:nvSpPr>
        <xdr:cNvPr id="126981" name="cmdAddParamQualifier2" hidden="1">
          <a:extLst>
            <a:ext uri="{63B3BB69-23CF-44E3-9099-C40C66FF867C}">
              <a14:compatExt xmlns:a14="http://schemas.microsoft.com/office/drawing/2010/main" spid="_x0000_s126981"/>
            </a:ext>
            <a:ext uri="{FF2B5EF4-FFF2-40B4-BE49-F238E27FC236}">
              <a16:creationId xmlns:a16="http://schemas.microsoft.com/office/drawing/2014/main" id="{00000000-0008-0000-0A00-000005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14.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hyperlink" Target="http://www.ifml.com/operations/project-development.html" TargetMode="External"/><Relationship Id="rId7" Type="http://schemas.openxmlformats.org/officeDocument/2006/relationships/drawing" Target="../drawings/drawing11.xml"/><Relationship Id="rId2" Type="http://schemas.openxmlformats.org/officeDocument/2006/relationships/hyperlink" Target="https://www.miningweekly.com/article/technology-slashes-power-use-at-glencores-huge-s-african-chrome-smelter-2014-11-05/rep_id:3650" TargetMode="External"/><Relationship Id="rId1" Type="http://schemas.openxmlformats.org/officeDocument/2006/relationships/hyperlink" Target="https://www.engineeringnews.co.za/print-version/lion-ferrochrome-smelter-eastern-chrome-mines-restart-merafe-2020-05-08" TargetMode="External"/><Relationship Id="rId6" Type="http://schemas.openxmlformats.org/officeDocument/2006/relationships/printerSettings" Target="../printerSettings/printerSettings15.bin"/><Relationship Id="rId5" Type="http://schemas.openxmlformats.org/officeDocument/2006/relationships/hyperlink" Target="https://docplayer.net/86507326-Production-technologies-of-crm-from-primary.html" TargetMode="External"/><Relationship Id="rId4" Type="http://schemas.openxmlformats.org/officeDocument/2006/relationships/hyperlink" Target="https://www.miningweekly.com/print-version/asa-metals-builds-on-quality-2005-03-25"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3.xml"/><Relationship Id="rId1" Type="http://schemas.openxmlformats.org/officeDocument/2006/relationships/printerSettings" Target="../printerSettings/printerSettings16.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BC0F2-E1BE-4A66-A740-966C97E2DF5D}">
  <dimension ref="A1:D17"/>
  <sheetViews>
    <sheetView workbookViewId="0">
      <selection activeCell="V64" sqref="V64"/>
    </sheetView>
  </sheetViews>
  <sheetFormatPr defaultRowHeight="12.75" x14ac:dyDescent="0.2"/>
  <cols>
    <col min="1" max="1" width="9.42578125" bestFit="1" customWidth="1"/>
  </cols>
  <sheetData>
    <row r="1" spans="1:4" x14ac:dyDescent="0.2">
      <c r="A1" s="1" t="s">
        <v>473</v>
      </c>
    </row>
    <row r="2" spans="1:4" x14ac:dyDescent="0.2">
      <c r="A2" s="62" t="s">
        <v>472</v>
      </c>
    </row>
    <row r="3" spans="1:4" x14ac:dyDescent="0.2">
      <c r="A3" t="s">
        <v>481</v>
      </c>
    </row>
    <row r="7" spans="1:4" x14ac:dyDescent="0.2">
      <c r="A7" s="1" t="s">
        <v>474</v>
      </c>
    </row>
    <row r="9" spans="1:4" x14ac:dyDescent="0.2">
      <c r="A9" s="232">
        <v>45132</v>
      </c>
      <c r="B9" s="62" t="s">
        <v>475</v>
      </c>
      <c r="D9" s="62" t="s">
        <v>476</v>
      </c>
    </row>
    <row r="10" spans="1:4" x14ac:dyDescent="0.2">
      <c r="D10" s="62" t="s">
        <v>479</v>
      </c>
    </row>
    <row r="11" spans="1:4" x14ac:dyDescent="0.2">
      <c r="D11" t="s">
        <v>480</v>
      </c>
    </row>
    <row r="12" spans="1:4" x14ac:dyDescent="0.2">
      <c r="A12" s="232">
        <v>45197</v>
      </c>
      <c r="B12" t="s">
        <v>545</v>
      </c>
      <c r="D12" t="s">
        <v>546</v>
      </c>
    </row>
    <row r="14" spans="1:4" x14ac:dyDescent="0.2">
      <c r="A14" s="232">
        <v>45349</v>
      </c>
      <c r="B14" s="62" t="s">
        <v>545</v>
      </c>
      <c r="C14" s="62"/>
      <c r="D14" s="62" t="s">
        <v>614</v>
      </c>
    </row>
    <row r="15" spans="1:4" x14ac:dyDescent="0.2">
      <c r="D15" s="62" t="s">
        <v>617</v>
      </c>
    </row>
    <row r="16" spans="1:4" x14ac:dyDescent="0.2">
      <c r="D16" s="62" t="s">
        <v>615</v>
      </c>
    </row>
    <row r="17" spans="4:4" x14ac:dyDescent="0.2">
      <c r="D17" s="62" t="s">
        <v>616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zoomScaleNormal="100" workbookViewId="0">
      <pane ySplit="7" topLeftCell="A8" activePane="bottomLeft" state="frozen"/>
      <selection pane="bottomLeft" activeCell="H71" sqref="H71"/>
    </sheetView>
  </sheetViews>
  <sheetFormatPr defaultColWidth="9.140625" defaultRowHeight="11.25" x14ac:dyDescent="0.2"/>
  <cols>
    <col min="1" max="1" width="12.85546875" style="9" customWidth="1"/>
    <col min="2" max="2" width="18.7109375" style="9" customWidth="1"/>
    <col min="3" max="3" width="39.42578125" style="9" customWidth="1"/>
    <col min="4" max="4" width="10.28515625" style="9" customWidth="1"/>
    <col min="5" max="5" width="29.7109375" style="9" customWidth="1"/>
    <col min="6" max="6" width="10.28515625" style="9" customWidth="1"/>
    <col min="7" max="16384" width="9.140625" style="9"/>
  </cols>
  <sheetData>
    <row r="1" spans="1:6" x14ac:dyDescent="0.2">
      <c r="A1" s="2" t="e">
        <f ca="1">IF(INDEX(#REF!,MATCH(A2,#REF!,0))=1,LEFT(A2,SEARCH("_",A2)-1),"")</f>
        <v>#REF!</v>
      </c>
      <c r="B1" s="9" t="s">
        <v>127</v>
      </c>
    </row>
    <row r="2" spans="1:6" ht="12.75" x14ac:dyDescent="0.2">
      <c r="A2" t="str">
        <f ca="1">MID(CELL("filename",A2),FIND("]",CELL("filename",A2))+1,255)</f>
        <v>Commodities_BASE</v>
      </c>
    </row>
    <row r="4" spans="1:6" ht="17.25" customHeight="1" x14ac:dyDescent="0.2"/>
    <row r="5" spans="1:6" ht="17.25" customHeight="1" x14ac:dyDescent="0.2">
      <c r="C5" s="10"/>
    </row>
    <row r="6" spans="1:6" ht="15.75" customHeight="1" x14ac:dyDescent="0.2"/>
    <row r="7" spans="1:6" x14ac:dyDescent="0.2">
      <c r="B7" s="15" t="s">
        <v>40</v>
      </c>
      <c r="C7" s="11" t="s">
        <v>41</v>
      </c>
      <c r="D7" s="11" t="s">
        <v>42</v>
      </c>
      <c r="E7" s="11" t="s">
        <v>1</v>
      </c>
      <c r="F7" s="11" t="s">
        <v>0</v>
      </c>
    </row>
    <row r="8" spans="1:6" s="8" customFormat="1" ht="12.75" x14ac:dyDescent="0.2">
      <c r="A8" s="28" t="s">
        <v>114</v>
      </c>
      <c r="B8" s="30"/>
      <c r="C8" s="30"/>
      <c r="D8" s="30"/>
    </row>
    <row r="9" spans="1:6" s="8" customFormat="1" ht="12.75" x14ac:dyDescent="0.2">
      <c r="A9" s="28"/>
      <c r="B9" s="30" t="s">
        <v>201</v>
      </c>
      <c r="C9" s="30" t="s">
        <v>471</v>
      </c>
      <c r="D9" s="31" t="s">
        <v>116</v>
      </c>
      <c r="E9" s="17" t="s">
        <v>119</v>
      </c>
    </row>
    <row r="10" spans="1:6" s="8" customFormat="1" ht="12.75" x14ac:dyDescent="0.2">
      <c r="A10" s="28"/>
      <c r="B10" s="30" t="str">
        <f>RES_Cr!L2</f>
        <v>IFACHA</v>
      </c>
      <c r="C10" s="30" t="str">
        <f>RES_Cr!L3</f>
        <v>Industry Biochar</v>
      </c>
      <c r="D10" s="31" t="s">
        <v>116</v>
      </c>
      <c r="E10" s="17" t="s">
        <v>119</v>
      </c>
    </row>
    <row r="11" spans="1:6" s="8" customFormat="1" ht="12.75" x14ac:dyDescent="0.2">
      <c r="A11" s="29"/>
      <c r="B11" s="29" t="str">
        <f>RES_Cr!D2</f>
        <v>IISCKE</v>
      </c>
      <c r="C11" s="29" t="str">
        <f>RES_Cr!D3</f>
        <v>Industry - Iron and Steel - Coke</v>
      </c>
      <c r="D11" s="31" t="s">
        <v>116</v>
      </c>
      <c r="E11" s="17" t="s">
        <v>119</v>
      </c>
    </row>
    <row r="12" spans="1:6" s="8" customFormat="1" ht="12.75" x14ac:dyDescent="0.2">
      <c r="A12" s="29"/>
      <c r="B12" s="29" t="s">
        <v>544</v>
      </c>
      <c r="C12" s="29" t="str">
        <f>RES_Cr!E3</f>
        <v>Feedstock coal (no emissions associated)</v>
      </c>
      <c r="D12" s="31" t="s">
        <v>116</v>
      </c>
      <c r="E12" s="17" t="s">
        <v>119</v>
      </c>
    </row>
    <row r="13" spans="1:6" s="8" customFormat="1" ht="12.75" x14ac:dyDescent="0.2">
      <c r="A13" s="29"/>
      <c r="B13" s="29" t="str">
        <f>RES_Cr!F2</f>
        <v>IFAELC</v>
      </c>
      <c r="C13" s="29" t="str">
        <f>RES_Cr!F3</f>
        <v>Industry-FA-Electricity</v>
      </c>
      <c r="D13" s="31" t="s">
        <v>116</v>
      </c>
      <c r="E13" s="17" t="s">
        <v>118</v>
      </c>
    </row>
    <row r="14" spans="1:6" s="8" customFormat="1" ht="12.75" x14ac:dyDescent="0.2">
      <c r="A14" s="29"/>
      <c r="B14" s="29" t="str">
        <f>RES_Cr!G2</f>
        <v>IFACHA</v>
      </c>
      <c r="C14" s="29" t="str">
        <f>RES_Cr!G3</f>
        <v>Industry Biochar</v>
      </c>
      <c r="D14" s="31" t="s">
        <v>116</v>
      </c>
      <c r="E14" s="17" t="s">
        <v>119</v>
      </c>
    </row>
    <row r="15" spans="1:6" s="8" customFormat="1" ht="12.75" x14ac:dyDescent="0.2">
      <c r="A15" s="29"/>
      <c r="B15" s="29" t="str">
        <f>RES_Cr!T2</f>
        <v>IFACR</v>
      </c>
      <c r="C15" s="29" t="str">
        <f>RES_Cr!T3</f>
        <v>Industry - Ferro Alloy Metals production</v>
      </c>
      <c r="D15" s="31" t="s">
        <v>116</v>
      </c>
      <c r="E15" s="17" t="s">
        <v>186</v>
      </c>
    </row>
    <row r="16" spans="1:6" s="8" customFormat="1" ht="12.75" x14ac:dyDescent="0.2">
      <c r="A16" s="29"/>
      <c r="B16" s="29" t="str">
        <f>RES_Cr!V2</f>
        <v>IFAMN</v>
      </c>
      <c r="C16" s="29" t="str">
        <f>RES_Cr!V3</f>
        <v>Industry - Ferro Alloy Metals production</v>
      </c>
      <c r="D16" s="31" t="s">
        <v>116</v>
      </c>
      <c r="E16" s="17" t="s">
        <v>186</v>
      </c>
    </row>
    <row r="17" spans="1:5" ht="12.75" x14ac:dyDescent="0.2">
      <c r="A17" s="32" t="s">
        <v>115</v>
      </c>
      <c r="B17" s="29"/>
      <c r="C17" s="29"/>
      <c r="D17" s="31"/>
    </row>
    <row r="18" spans="1:5" ht="12.75" x14ac:dyDescent="0.2">
      <c r="A18" s="29"/>
      <c r="B18" s="29" t="s">
        <v>216</v>
      </c>
      <c r="C18" s="29" t="s">
        <v>217</v>
      </c>
      <c r="D18" s="31" t="s">
        <v>120</v>
      </c>
      <c r="E18" s="17" t="s">
        <v>121</v>
      </c>
    </row>
    <row r="19" spans="1:5" ht="12.75" x14ac:dyDescent="0.2">
      <c r="A19" s="29"/>
      <c r="B19" s="29" t="s">
        <v>467</v>
      </c>
      <c r="C19" s="29" t="s">
        <v>466</v>
      </c>
      <c r="D19" s="31" t="s">
        <v>120</v>
      </c>
      <c r="E19" s="17" t="s">
        <v>121</v>
      </c>
    </row>
    <row r="20" spans="1:5" ht="12.75" x14ac:dyDescent="0.2">
      <c r="A20" s="29"/>
      <c r="B20" s="29" t="s">
        <v>176</v>
      </c>
      <c r="C20" s="29" t="s">
        <v>177</v>
      </c>
      <c r="D20" s="31" t="s">
        <v>120</v>
      </c>
      <c r="E20" s="17" t="s">
        <v>121</v>
      </c>
    </row>
    <row r="21" spans="1:5" ht="12.75" x14ac:dyDescent="0.2">
      <c r="A21" s="29"/>
      <c r="B21" s="29"/>
      <c r="C21" s="29"/>
      <c r="D21" s="31"/>
      <c r="E21" s="17"/>
    </row>
  </sheetData>
  <pageMargins left="0.75" right="0.75" top="1" bottom="1" header="0.5" footer="0.5"/>
  <pageSetup paperSize="9" orientation="portrait" horizontalDpi="1200" verticalDpi="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pane ySplit="7" topLeftCell="A8" activePane="bottomLeft" state="frozen"/>
      <selection pane="bottomLeft"/>
    </sheetView>
  </sheetViews>
  <sheetFormatPr defaultColWidth="9.140625" defaultRowHeight="11.25" x14ac:dyDescent="0.2"/>
  <cols>
    <col min="1" max="1" width="13.5703125" style="3" customWidth="1"/>
    <col min="2" max="2" width="11.140625" style="3" customWidth="1"/>
    <col min="3" max="3" width="27.28515625" style="3" customWidth="1"/>
    <col min="4" max="4" width="11.140625" style="3" customWidth="1"/>
    <col min="5" max="5" width="29.28515625" style="3" customWidth="1"/>
    <col min="6" max="6" width="10.42578125" style="3" customWidth="1"/>
    <col min="7" max="16384" width="9.140625" style="3"/>
  </cols>
  <sheetData>
    <row r="1" spans="1:6" x14ac:dyDescent="0.2">
      <c r="A1" s="2" t="s">
        <v>105</v>
      </c>
    </row>
    <row r="4" spans="1:6" ht="18" customHeight="1" x14ac:dyDescent="0.2"/>
    <row r="7" spans="1:6" x14ac:dyDescent="0.2">
      <c r="B7" s="2" t="s">
        <v>56</v>
      </c>
      <c r="C7" s="2" t="s">
        <v>57</v>
      </c>
      <c r="D7" s="2" t="s">
        <v>93</v>
      </c>
      <c r="E7" s="2" t="s">
        <v>1</v>
      </c>
      <c r="F7" s="2" t="s">
        <v>0</v>
      </c>
    </row>
    <row r="8" spans="1:6" x14ac:dyDescent="0.2">
      <c r="B8" s="2"/>
      <c r="C8" s="2"/>
      <c r="D8" s="2"/>
      <c r="E8" s="2"/>
      <c r="F8" s="2"/>
    </row>
    <row r="9" spans="1:6" x14ac:dyDescent="0.2">
      <c r="B9" s="23"/>
      <c r="C9" s="23"/>
      <c r="E9" s="23"/>
    </row>
    <row r="10" spans="1:6" x14ac:dyDescent="0.2">
      <c r="B10" s="4"/>
      <c r="C10" s="23"/>
    </row>
  </sheetData>
  <pageMargins left="0.75" right="0.75" top="1" bottom="1" header="0.5" footer="0.5"/>
  <pageSetup paperSize="9" orientation="portrait" horizontalDpi="1200" verticalDpi="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pane ySplit="7" topLeftCell="A8" activePane="bottomLeft" state="frozen"/>
      <selection pane="bottomLeft"/>
    </sheetView>
  </sheetViews>
  <sheetFormatPr defaultColWidth="9.140625" defaultRowHeight="12.75" x14ac:dyDescent="0.2"/>
  <cols>
    <col min="1" max="1" width="12.28515625" style="8" customWidth="1"/>
    <col min="2" max="2" width="12.140625" style="8" customWidth="1"/>
    <col min="3" max="3" width="28.42578125" style="8" customWidth="1"/>
    <col min="4" max="4" width="10" style="8" customWidth="1"/>
    <col min="5" max="5" width="28.42578125" style="8" customWidth="1"/>
    <col min="6" max="6" width="10.28515625" style="8" customWidth="1"/>
    <col min="7" max="16384" width="9.140625" style="8"/>
  </cols>
  <sheetData>
    <row r="1" spans="1:6" s="9" customFormat="1" ht="11.25" x14ac:dyDescent="0.2">
      <c r="A1" s="11" t="s">
        <v>103</v>
      </c>
    </row>
    <row r="2" spans="1:6" s="9" customFormat="1" ht="11.25" x14ac:dyDescent="0.2"/>
    <row r="3" spans="1:6" s="9" customFormat="1" ht="11.25" x14ac:dyDescent="0.2"/>
    <row r="4" spans="1:6" s="9" customFormat="1" ht="18.75" customHeight="1" x14ac:dyDescent="0.2"/>
    <row r="5" spans="1:6" s="9" customFormat="1" ht="17.25" customHeight="1" x14ac:dyDescent="0.2">
      <c r="C5" s="10"/>
    </row>
    <row r="6" spans="1:6" s="9" customFormat="1" ht="15.75" customHeight="1" x14ac:dyDescent="0.2"/>
    <row r="7" spans="1:6" s="9" customFormat="1" ht="11.25" x14ac:dyDescent="0.2">
      <c r="B7" s="15" t="s">
        <v>46</v>
      </c>
      <c r="C7" s="11" t="s">
        <v>47</v>
      </c>
      <c r="D7" s="11" t="s">
        <v>43</v>
      </c>
      <c r="E7" s="11" t="s">
        <v>1</v>
      </c>
      <c r="F7" s="11" t="s">
        <v>0</v>
      </c>
    </row>
    <row r="8" spans="1:6" s="9" customFormat="1" ht="11.25" x14ac:dyDescent="0.2">
      <c r="B8" s="10"/>
      <c r="C8" s="10"/>
    </row>
    <row r="9" spans="1:6" s="9" customFormat="1" ht="11.25" x14ac:dyDescent="0.2">
      <c r="B9" s="10"/>
      <c r="C9" s="10"/>
      <c r="E9" s="10"/>
    </row>
    <row r="10" spans="1:6" s="9" customFormat="1" ht="11.25" x14ac:dyDescent="0.2">
      <c r="D10" s="10"/>
      <c r="E10" s="10"/>
    </row>
  </sheetData>
  <pageMargins left="0.75" right="0.75" top="1" bottom="1" header="0.5" footer="0.5"/>
  <pageSetup paperSize="9" orientation="portrait" horizontalDpi="1200" verticalDpi="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pane xSplit="4" ySplit="7" topLeftCell="E8" activePane="bottomRight" state="frozen"/>
      <selection pane="topRight" activeCell="E1" sqref="E1"/>
      <selection pane="bottomLeft" activeCell="A8" sqref="A8"/>
      <selection pane="bottomRight"/>
    </sheetView>
  </sheetViews>
  <sheetFormatPr defaultColWidth="8.85546875" defaultRowHeight="11.25" x14ac:dyDescent="0.2"/>
  <cols>
    <col min="1" max="1" width="14.85546875" style="3" customWidth="1"/>
    <col min="2" max="2" width="11.7109375" style="3" customWidth="1"/>
    <col min="3" max="3" width="21.140625" style="3" customWidth="1"/>
    <col min="4" max="4" width="8.7109375" style="3" customWidth="1"/>
    <col min="5" max="16384" width="8.85546875" style="3"/>
  </cols>
  <sheetData>
    <row r="1" spans="1:4" x14ac:dyDescent="0.2">
      <c r="A1" s="2" t="s">
        <v>104</v>
      </c>
    </row>
    <row r="3" spans="1:4" ht="15" customHeight="1" x14ac:dyDescent="0.2"/>
    <row r="4" spans="1:4" ht="20.25" customHeight="1" x14ac:dyDescent="0.2"/>
    <row r="5" spans="1:4" ht="19.5" customHeight="1" x14ac:dyDescent="0.2"/>
    <row r="6" spans="1:4" ht="19.5" customHeight="1" x14ac:dyDescent="0.2"/>
    <row r="7" spans="1:4" x14ac:dyDescent="0.2">
      <c r="B7" s="2" t="s">
        <v>40</v>
      </c>
      <c r="C7" s="2" t="s">
        <v>41</v>
      </c>
      <c r="D7" s="2" t="s">
        <v>43</v>
      </c>
    </row>
    <row r="9" spans="1:4" x14ac:dyDescent="0.2">
      <c r="B9" s="12"/>
      <c r="C9" s="12"/>
      <c r="D9" s="12"/>
    </row>
  </sheetData>
  <pageMargins left="0.75" right="0.75" top="1" bottom="1" header="0.5" footer="0.5"/>
  <pageSetup paperSize="9" orientation="landscape" horizontalDpi="1200" verticalDpi="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20"/>
  <sheetViews>
    <sheetView zoomScaleNormal="100" workbookViewId="0">
      <pane xSplit="4" ySplit="7" topLeftCell="E8" activePane="bottomRight" state="frozen"/>
      <selection pane="topRight" activeCell="E1" sqref="E1"/>
      <selection pane="bottomLeft" activeCell="A8" sqref="A8"/>
      <selection pane="bottomRight" activeCell="L47" sqref="L46:L47"/>
    </sheetView>
  </sheetViews>
  <sheetFormatPr defaultColWidth="8.85546875" defaultRowHeight="11.25" x14ac:dyDescent="0.2"/>
  <cols>
    <col min="1" max="1" width="14.85546875" style="3" customWidth="1"/>
    <col min="2" max="2" width="11.7109375" style="3" customWidth="1"/>
    <col min="3" max="3" width="21.140625" style="3" customWidth="1"/>
    <col min="4" max="4" width="8.7109375" style="3" customWidth="1"/>
    <col min="5" max="16384" width="8.85546875" style="3"/>
  </cols>
  <sheetData>
    <row r="1" spans="1:6" x14ac:dyDescent="0.2">
      <c r="A1" s="2" t="e">
        <f ca="1">IF(INDEX(#REF!,MATCH(A2,#REF!,0))=1,LEFT(A2,SEARCH("_",A2)-1),"")</f>
        <v>#REF!</v>
      </c>
      <c r="B1" s="9" t="str">
        <f>Commodities_BASE!B1</f>
        <v>REGION1</v>
      </c>
    </row>
    <row r="2" spans="1:6" ht="12.75" x14ac:dyDescent="0.2">
      <c r="A2" t="str">
        <f ca="1">MID(CELL("filename",A2),FIND("]",CELL("filename",A2))+1,255)</f>
        <v>CommData_BASE</v>
      </c>
    </row>
    <row r="3" spans="1:6" ht="15" customHeight="1" x14ac:dyDescent="0.2"/>
    <row r="4" spans="1:6" ht="20.25" customHeight="1" x14ac:dyDescent="0.2">
      <c r="E4" s="14" t="s">
        <v>130</v>
      </c>
      <c r="F4" s="14"/>
    </row>
    <row r="5" spans="1:6" ht="19.5" customHeight="1" x14ac:dyDescent="0.2"/>
    <row r="6" spans="1:6" ht="19.5" customHeight="1" x14ac:dyDescent="0.2"/>
    <row r="7" spans="1:6" x14ac:dyDescent="0.2">
      <c r="B7" s="2" t="s">
        <v>40</v>
      </c>
      <c r="C7" s="2" t="s">
        <v>41</v>
      </c>
      <c r="D7" s="2" t="s">
        <v>43</v>
      </c>
      <c r="E7" s="3">
        <v>2017</v>
      </c>
    </row>
    <row r="8" spans="1:6" x14ac:dyDescent="0.2">
      <c r="B8" s="30" t="str">
        <f>RES_Mn!O2</f>
        <v>IFAMN</v>
      </c>
      <c r="C8" s="30" t="str">
        <f>RES_Mn!O3</f>
        <v>Industry - Ferro Alloy Metals production</v>
      </c>
      <c r="D8" s="30" t="s">
        <v>116</v>
      </c>
      <c r="E8" s="64">
        <f>EB_Exist!O34</f>
        <v>0.4587</v>
      </c>
    </row>
    <row r="9" spans="1:6" s="30" customFormat="1" x14ac:dyDescent="0.2">
      <c r="B9" s="30" t="str">
        <f>RES_Cr!T2</f>
        <v>IFACR</v>
      </c>
      <c r="C9" s="30" t="str">
        <f>RES_Cr!T3</f>
        <v>Industry - Ferro Alloy Metals production</v>
      </c>
      <c r="D9" s="30" t="s">
        <v>116</v>
      </c>
      <c r="E9" s="64">
        <f>EB_Exist!F5</f>
        <v>3.484</v>
      </c>
    </row>
    <row r="10" spans="1:6" s="30" customFormat="1" x14ac:dyDescent="0.2"/>
    <row r="11" spans="1:6" s="30" customFormat="1" x14ac:dyDescent="0.2"/>
    <row r="12" spans="1:6" s="30" customFormat="1" x14ac:dyDescent="0.2"/>
    <row r="16" spans="1:6" x14ac:dyDescent="0.2">
      <c r="B16" s="3" t="s">
        <v>535</v>
      </c>
    </row>
    <row r="17" spans="2:5" x14ac:dyDescent="0.2">
      <c r="B17" s="3" t="s">
        <v>537</v>
      </c>
      <c r="C17" s="3" t="s">
        <v>40</v>
      </c>
      <c r="D17" s="3" t="s">
        <v>538</v>
      </c>
      <c r="E17" s="3">
        <v>2017</v>
      </c>
    </row>
    <row r="18" spans="2:5" x14ac:dyDescent="0.2">
      <c r="B18" s="3" t="s">
        <v>92</v>
      </c>
      <c r="C18" s="3" t="s">
        <v>539</v>
      </c>
      <c r="D18" s="3" t="s">
        <v>540</v>
      </c>
      <c r="E18" s="3" t="s">
        <v>541</v>
      </c>
    </row>
    <row r="19" spans="2:5" x14ac:dyDescent="0.2">
      <c r="B19" s="3" t="s">
        <v>542</v>
      </c>
      <c r="C19" s="3" t="str">
        <f>B8</f>
        <v>IFAMN</v>
      </c>
      <c r="D19" s="3" t="s">
        <v>116</v>
      </c>
      <c r="E19" s="282">
        <f>E8</f>
        <v>0.4587</v>
      </c>
    </row>
    <row r="20" spans="2:5" x14ac:dyDescent="0.2">
      <c r="B20" s="3" t="s">
        <v>542</v>
      </c>
      <c r="C20" s="3" t="str">
        <f>B9</f>
        <v>IFACR</v>
      </c>
      <c r="D20" s="3" t="s">
        <v>116</v>
      </c>
      <c r="E20" s="282">
        <f>E9</f>
        <v>3.484</v>
      </c>
    </row>
  </sheetData>
  <pageMargins left="0.75" right="0.75" top="1" bottom="1" header="0.5" footer="0.5"/>
  <pageSetup paperSize="9" orientation="landscape" horizontalDpi="1200" verticalDpi="0" r:id="rId1"/>
  <headerFooter alignWithMargins="0"/>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pane xSplit="7" ySplit="7" topLeftCell="H8" activePane="bottomRight" state="frozen"/>
      <selection pane="topRight" activeCell="J1" sqref="J1"/>
      <selection pane="bottomLeft" activeCell="A8" sqref="A8"/>
      <selection pane="bottomRight"/>
    </sheetView>
  </sheetViews>
  <sheetFormatPr defaultColWidth="9.140625" defaultRowHeight="11.25" customHeight="1" x14ac:dyDescent="0.2"/>
  <cols>
    <col min="1" max="1" width="12.28515625" style="3" customWidth="1"/>
    <col min="2" max="2" width="8.42578125" style="3" customWidth="1"/>
    <col min="3" max="3" width="24.28515625" style="3" customWidth="1"/>
    <col min="4" max="4" width="8.5703125" style="3" customWidth="1"/>
    <col min="5" max="5" width="8.85546875" style="3" customWidth="1"/>
    <col min="6" max="6" width="10.140625" style="3" customWidth="1"/>
    <col min="7" max="7" width="6.85546875" style="26" customWidth="1"/>
    <col min="8" max="16384" width="9.140625" style="3"/>
  </cols>
  <sheetData>
    <row r="1" spans="1:7" ht="11.25" customHeight="1" x14ac:dyDescent="0.2">
      <c r="A1" s="2" t="s">
        <v>110</v>
      </c>
    </row>
    <row r="3" spans="1:7" ht="21.75" customHeight="1" x14ac:dyDescent="0.2"/>
    <row r="4" spans="1:7" ht="17.25" customHeight="1" x14ac:dyDescent="0.2">
      <c r="E4" s="27" t="s">
        <v>92</v>
      </c>
      <c r="F4" s="27"/>
      <c r="G4" s="27"/>
    </row>
    <row r="5" spans="1:7" ht="16.5" customHeight="1" x14ac:dyDescent="0.2"/>
    <row r="6" spans="1:7" ht="17.25" customHeight="1" x14ac:dyDescent="0.2"/>
    <row r="7" spans="1:7" ht="21.75" customHeight="1" x14ac:dyDescent="0.2">
      <c r="B7" s="2" t="s">
        <v>56</v>
      </c>
      <c r="C7" s="2" t="s">
        <v>57</v>
      </c>
      <c r="D7" s="6" t="s">
        <v>93</v>
      </c>
      <c r="E7" s="2" t="s">
        <v>80</v>
      </c>
      <c r="F7" s="2" t="s">
        <v>81</v>
      </c>
      <c r="G7" s="6" t="s">
        <v>94</v>
      </c>
    </row>
  </sheetData>
  <pageMargins left="0.75" right="0.75" top="1" bottom="1" header="0.5" footer="0.5"/>
  <pageSetup paperSize="9" orientation="landscape" horizontalDpi="1200" verticalDpi="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A852-6685-477C-9531-B444B15907ED}">
  <sheetPr>
    <tabColor rgb="FF00B050"/>
  </sheetPr>
  <dimension ref="A6:AG387"/>
  <sheetViews>
    <sheetView tabSelected="1" topLeftCell="A122" zoomScale="85" zoomScaleNormal="85" workbookViewId="0">
      <selection activeCell="T169" sqref="T169"/>
    </sheetView>
  </sheetViews>
  <sheetFormatPr defaultColWidth="9.140625" defaultRowHeight="15.75" x14ac:dyDescent="0.25"/>
  <cols>
    <col min="1" max="1" width="28.28515625" style="122" customWidth="1"/>
    <col min="2" max="3" width="30.42578125" style="122" customWidth="1"/>
    <col min="4" max="4" width="13.5703125" style="122" bestFit="1" customWidth="1"/>
    <col min="5" max="5" width="15" style="122" customWidth="1"/>
    <col min="6" max="6" width="17" style="122" customWidth="1"/>
    <col min="7" max="7" width="9.140625" style="122"/>
    <col min="8" max="8" width="12.42578125" style="122" bestFit="1" customWidth="1"/>
    <col min="9" max="9" width="13.5703125" style="122" bestFit="1" customWidth="1"/>
    <col min="10" max="10" width="14.42578125" style="122" customWidth="1"/>
    <col min="11" max="11" width="11.5703125" style="122" bestFit="1" customWidth="1"/>
    <col min="12" max="13" width="9.140625" style="122"/>
    <col min="14" max="14" width="13.7109375" style="122" customWidth="1"/>
    <col min="15" max="15" width="11.85546875" style="122" customWidth="1"/>
    <col min="16" max="16" width="13.5703125" style="122" customWidth="1"/>
    <col min="17" max="17" width="20.42578125" style="122" customWidth="1"/>
    <col min="18" max="18" width="14.28515625" style="122" customWidth="1"/>
    <col min="19" max="19" width="16.5703125" style="122" customWidth="1"/>
    <col min="20" max="20" width="13.5703125" style="122" customWidth="1"/>
    <col min="21" max="25" width="9.140625" style="122"/>
    <col min="26" max="26" width="15.42578125" style="122" customWidth="1"/>
    <col min="27" max="16384" width="9.140625" style="122"/>
  </cols>
  <sheetData>
    <row r="6" spans="1:5" ht="26.25" x14ac:dyDescent="0.4">
      <c r="A6" s="166" t="s">
        <v>214</v>
      </c>
    </row>
    <row r="8" spans="1:5" ht="16.5" thickBot="1" x14ac:dyDescent="0.3">
      <c r="B8" s="121" t="s">
        <v>218</v>
      </c>
    </row>
    <row r="9" spans="1:5" x14ac:dyDescent="0.25">
      <c r="B9" s="284" t="s">
        <v>219</v>
      </c>
      <c r="C9" s="285" t="s">
        <v>220</v>
      </c>
      <c r="D9" s="286"/>
      <c r="E9" s="287"/>
    </row>
    <row r="10" spans="1:5" x14ac:dyDescent="0.25">
      <c r="B10" s="338" t="s">
        <v>221</v>
      </c>
      <c r="C10" s="126" t="s">
        <v>222</v>
      </c>
      <c r="E10" s="288"/>
    </row>
    <row r="11" spans="1:5" x14ac:dyDescent="0.25">
      <c r="B11" s="338"/>
      <c r="C11" s="126" t="s">
        <v>223</v>
      </c>
      <c r="E11" s="288"/>
    </row>
    <row r="12" spans="1:5" ht="16.5" thickBot="1" x14ac:dyDescent="0.3">
      <c r="B12" s="339"/>
      <c r="C12" s="128" t="s">
        <v>224</v>
      </c>
      <c r="E12" s="288"/>
    </row>
    <row r="13" spans="1:5" x14ac:dyDescent="0.25">
      <c r="B13" s="340" t="s">
        <v>225</v>
      </c>
      <c r="C13" s="129" t="s">
        <v>226</v>
      </c>
      <c r="E13" s="288"/>
    </row>
    <row r="14" spans="1:5" x14ac:dyDescent="0.25">
      <c r="B14" s="341"/>
      <c r="C14" s="129" t="s">
        <v>227</v>
      </c>
      <c r="E14" s="288"/>
    </row>
    <row r="15" spans="1:5" ht="16.5" thickBot="1" x14ac:dyDescent="0.3">
      <c r="B15" s="342"/>
      <c r="C15" s="130" t="s">
        <v>228</v>
      </c>
      <c r="E15" s="288"/>
    </row>
    <row r="16" spans="1:5" x14ac:dyDescent="0.25">
      <c r="B16" s="340" t="s">
        <v>229</v>
      </c>
      <c r="C16" s="129" t="s">
        <v>230</v>
      </c>
      <c r="E16" s="288"/>
    </row>
    <row r="17" spans="2:13" x14ac:dyDescent="0.25">
      <c r="B17" s="341"/>
      <c r="C17" s="129" t="s">
        <v>231</v>
      </c>
      <c r="E17" s="288"/>
    </row>
    <row r="18" spans="2:13" ht="30.75" thickBot="1" x14ac:dyDescent="0.3">
      <c r="B18" s="342"/>
      <c r="C18" s="130" t="s">
        <v>232</v>
      </c>
      <c r="E18" s="288"/>
    </row>
    <row r="19" spans="2:13" x14ac:dyDescent="0.25">
      <c r="B19" s="340" t="s">
        <v>233</v>
      </c>
      <c r="C19" s="129" t="s">
        <v>230</v>
      </c>
      <c r="E19" s="288"/>
    </row>
    <row r="20" spans="2:13" x14ac:dyDescent="0.25">
      <c r="B20" s="341"/>
      <c r="C20" s="129" t="s">
        <v>231</v>
      </c>
      <c r="E20" s="288"/>
    </row>
    <row r="21" spans="2:13" ht="16.5" thickBot="1" x14ac:dyDescent="0.3">
      <c r="B21" s="342"/>
      <c r="C21" s="130" t="s">
        <v>234</v>
      </c>
      <c r="E21" s="288"/>
    </row>
    <row r="22" spans="2:13" x14ac:dyDescent="0.25">
      <c r="B22" s="289"/>
      <c r="E22" s="288"/>
    </row>
    <row r="23" spans="2:13" x14ac:dyDescent="0.25">
      <c r="B23" s="289"/>
      <c r="E23" s="288"/>
    </row>
    <row r="24" spans="2:13" x14ac:dyDescent="0.25">
      <c r="B24" s="289"/>
      <c r="E24" s="288"/>
    </row>
    <row r="25" spans="2:13" x14ac:dyDescent="0.25">
      <c r="B25" s="289"/>
      <c r="E25" s="288"/>
    </row>
    <row r="26" spans="2:13" ht="31.5" x14ac:dyDescent="0.25">
      <c r="B26" s="290" t="s">
        <v>236</v>
      </c>
      <c r="C26" s="291" t="s">
        <v>237</v>
      </c>
      <c r="D26" s="292" t="s">
        <v>468</v>
      </c>
      <c r="E26" s="293" t="s">
        <v>468</v>
      </c>
      <c r="F26" s="122" t="s">
        <v>238</v>
      </c>
      <c r="G26" s="122" t="s">
        <v>239</v>
      </c>
      <c r="H26" s="122" t="s">
        <v>240</v>
      </c>
      <c r="I26" s="122" t="s">
        <v>241</v>
      </c>
      <c r="K26" s="122" t="s">
        <v>242</v>
      </c>
      <c r="L26" s="122" t="s">
        <v>243</v>
      </c>
      <c r="M26" s="122" t="s">
        <v>0</v>
      </c>
    </row>
    <row r="27" spans="2:13" ht="16.5" thickBot="1" x14ac:dyDescent="0.3">
      <c r="B27" s="294" t="s">
        <v>245</v>
      </c>
      <c r="C27" s="133">
        <v>2000</v>
      </c>
      <c r="D27" s="230">
        <v>-25.622157157247099</v>
      </c>
      <c r="E27" s="295">
        <v>27.2191479003376</v>
      </c>
      <c r="F27" s="122">
        <v>0.72</v>
      </c>
      <c r="G27" s="122">
        <f>C27*0.001-F27</f>
        <v>1.28</v>
      </c>
      <c r="J27" s="122" t="s">
        <v>246</v>
      </c>
      <c r="K27" s="122" t="s">
        <v>247</v>
      </c>
    </row>
    <row r="28" spans="2:13" x14ac:dyDescent="0.25">
      <c r="B28" s="296" t="s">
        <v>248</v>
      </c>
      <c r="C28" s="328">
        <v>1200</v>
      </c>
      <c r="D28" s="336" t="s">
        <v>469</v>
      </c>
      <c r="E28" s="297" t="s">
        <v>469</v>
      </c>
      <c r="G28" s="122">
        <f>C28*0.001</f>
        <v>1.2</v>
      </c>
      <c r="H28" s="134">
        <f>C33*0.001</f>
        <v>0.42</v>
      </c>
      <c r="J28" s="122" t="s">
        <v>249</v>
      </c>
      <c r="L28" s="122" t="s">
        <v>247</v>
      </c>
    </row>
    <row r="29" spans="2:13" ht="16.5" thickBot="1" x14ac:dyDescent="0.3">
      <c r="B29" s="298" t="s">
        <v>250</v>
      </c>
      <c r="C29" s="329"/>
      <c r="D29" s="337"/>
      <c r="E29" s="299"/>
    </row>
    <row r="30" spans="2:13" ht="16.5" thickBot="1" x14ac:dyDescent="0.3">
      <c r="B30" s="294" t="s">
        <v>252</v>
      </c>
      <c r="C30" s="133">
        <v>150</v>
      </c>
      <c r="D30" s="133">
        <v>-28.744199999999999</v>
      </c>
      <c r="E30" s="300">
        <v>32.0214</v>
      </c>
      <c r="H30" s="122">
        <f>C30*0.001</f>
        <v>0.15</v>
      </c>
      <c r="J30" s="122" t="s">
        <v>253</v>
      </c>
      <c r="M30" s="122" t="s">
        <v>254</v>
      </c>
    </row>
    <row r="31" spans="2:13" ht="28.5" x14ac:dyDescent="0.25">
      <c r="B31" s="296" t="s">
        <v>470</v>
      </c>
      <c r="C31" s="328">
        <v>110</v>
      </c>
      <c r="D31" s="330">
        <v>-26.1357162831553</v>
      </c>
      <c r="E31" s="332">
        <v>28.047042804386201</v>
      </c>
      <c r="H31" s="122">
        <f>C31*0.001</f>
        <v>0.11</v>
      </c>
      <c r="J31" s="122" t="s">
        <v>253</v>
      </c>
    </row>
    <row r="32" spans="2:13" ht="30.75" thickBot="1" x14ac:dyDescent="0.3">
      <c r="B32" s="298" t="s">
        <v>257</v>
      </c>
      <c r="C32" s="329"/>
      <c r="D32" s="331"/>
      <c r="E32" s="333"/>
    </row>
    <row r="33" spans="2:16" ht="16.5" thickBot="1" x14ac:dyDescent="0.3">
      <c r="B33" s="294" t="s">
        <v>259</v>
      </c>
      <c r="C33" s="133">
        <v>420</v>
      </c>
      <c r="D33" s="133">
        <v>-25.6587</v>
      </c>
      <c r="E33" s="300">
        <v>27.828499999999998</v>
      </c>
      <c r="H33" s="134"/>
      <c r="M33" s="122" t="s">
        <v>260</v>
      </c>
    </row>
    <row r="34" spans="2:16" x14ac:dyDescent="0.25">
      <c r="B34" s="296" t="s">
        <v>261</v>
      </c>
      <c r="C34" s="328">
        <v>267</v>
      </c>
      <c r="D34" s="328">
        <v>-26.903199999999998</v>
      </c>
      <c r="E34" s="334">
        <v>26.809100000000001</v>
      </c>
      <c r="H34" s="122">
        <f>C34*0.001</f>
        <v>0.26700000000000002</v>
      </c>
      <c r="K34" s="122">
        <v>14</v>
      </c>
      <c r="M34" s="135">
        <v>0.6</v>
      </c>
      <c r="N34" s="122" t="s">
        <v>262</v>
      </c>
      <c r="O34" s="136" t="s">
        <v>263</v>
      </c>
      <c r="P34" s="136"/>
    </row>
    <row r="35" spans="2:16" ht="16.5" thickBot="1" x14ac:dyDescent="0.3">
      <c r="B35" s="298" t="s">
        <v>265</v>
      </c>
      <c r="C35" s="329"/>
      <c r="D35" s="329"/>
      <c r="E35" s="335"/>
    </row>
    <row r="36" spans="2:16" ht="16.5" thickBot="1" x14ac:dyDescent="0.3">
      <c r="B36" s="294" t="s">
        <v>266</v>
      </c>
      <c r="C36" s="133">
        <v>410</v>
      </c>
      <c r="D36" s="133">
        <v>-26.037600000000001</v>
      </c>
      <c r="E36" s="300">
        <v>28.0427</v>
      </c>
      <c r="I36" s="122">
        <f>C36*0.001</f>
        <v>0.41000000000000003</v>
      </c>
      <c r="J36" s="136" t="s">
        <v>267</v>
      </c>
    </row>
    <row r="37" spans="2:16" ht="16.5" thickBot="1" x14ac:dyDescent="0.3">
      <c r="B37" s="301" t="s">
        <v>268</v>
      </c>
      <c r="C37" s="140">
        <v>300</v>
      </c>
      <c r="D37" s="140">
        <v>-25.715499999999999</v>
      </c>
      <c r="E37" s="302">
        <v>30.231300000000001</v>
      </c>
      <c r="H37" s="122">
        <f>C37*0.001</f>
        <v>0.3</v>
      </c>
    </row>
    <row r="38" spans="2:16" x14ac:dyDescent="0.25">
      <c r="B38" s="303" t="s">
        <v>270</v>
      </c>
      <c r="C38" s="142">
        <v>4707</v>
      </c>
      <c r="D38" s="142"/>
      <c r="E38" s="304"/>
    </row>
    <row r="39" spans="2:16" ht="16.5" thickBot="1" x14ac:dyDescent="0.3">
      <c r="B39" s="305"/>
      <c r="C39" s="306"/>
      <c r="D39" s="306"/>
      <c r="E39" s="307"/>
    </row>
    <row r="41" spans="2:16" x14ac:dyDescent="0.25">
      <c r="C41" s="122" t="s">
        <v>271</v>
      </c>
      <c r="D41" s="143">
        <f>SUM(F41:I41)</f>
        <v>4.8570000000000002</v>
      </c>
      <c r="E41" s="143"/>
      <c r="F41" s="122">
        <f>SUM(F27:F37)</f>
        <v>0.72</v>
      </c>
      <c r="G41" s="122">
        <f>SUM(G27:G37)</f>
        <v>2.48</v>
      </c>
      <c r="H41" s="122">
        <f>SUM(H27:H37)</f>
        <v>1.2469999999999999</v>
      </c>
      <c r="I41" s="122">
        <f>SUM(I27:I37)</f>
        <v>0.41000000000000003</v>
      </c>
      <c r="J41" s="122" t="s">
        <v>272</v>
      </c>
    </row>
    <row r="42" spans="2:16" x14ac:dyDescent="0.25">
      <c r="C42" s="122" t="s">
        <v>274</v>
      </c>
      <c r="F42" s="122">
        <f>E69</f>
        <v>2400</v>
      </c>
      <c r="G42" s="122">
        <f>E68</f>
        <v>3500</v>
      </c>
      <c r="H42" s="122">
        <f>E67</f>
        <v>4100</v>
      </c>
      <c r="I42" s="122">
        <f>H42</f>
        <v>4100</v>
      </c>
      <c r="J42" s="122" t="s">
        <v>175</v>
      </c>
    </row>
    <row r="43" spans="2:16" x14ac:dyDescent="0.25">
      <c r="C43" s="122" t="s">
        <v>276</v>
      </c>
      <c r="D43" s="144">
        <f>SUM(F43:I43)</f>
        <v>17201.7</v>
      </c>
      <c r="E43" s="144"/>
      <c r="F43" s="145">
        <f>F42*F41</f>
        <v>1728</v>
      </c>
      <c r="G43" s="145">
        <f>G42*G41</f>
        <v>8680</v>
      </c>
      <c r="H43" s="145">
        <f>H42*H41</f>
        <v>5112.7</v>
      </c>
      <c r="I43" s="145">
        <f>I42*I41</f>
        <v>1681.0000000000002</v>
      </c>
      <c r="J43" s="122" t="s">
        <v>210</v>
      </c>
    </row>
    <row r="44" spans="2:16" x14ac:dyDescent="0.25">
      <c r="C44" s="122" t="s">
        <v>277</v>
      </c>
      <c r="D44" s="144">
        <f>SUM(F44:I44)</f>
        <v>73.584000000000003</v>
      </c>
      <c r="E44" s="144"/>
      <c r="H44" s="122">
        <f>K34*M34*8.76</f>
        <v>73.584000000000003</v>
      </c>
    </row>
    <row r="45" spans="2:16" x14ac:dyDescent="0.25">
      <c r="C45" s="122" t="s">
        <v>279</v>
      </c>
      <c r="D45" s="146">
        <f>D43-D44</f>
        <v>17128.116000000002</v>
      </c>
      <c r="E45" s="146"/>
    </row>
    <row r="46" spans="2:16" x14ac:dyDescent="0.25">
      <c r="D46" s="147"/>
      <c r="E46" s="147"/>
    </row>
    <row r="47" spans="2:16" x14ac:dyDescent="0.25">
      <c r="D47" s="148">
        <f>D43/D41</f>
        <v>3541.6306361951824</v>
      </c>
      <c r="E47" s="148"/>
      <c r="F47" s="122" t="s">
        <v>281</v>
      </c>
    </row>
    <row r="48" spans="2:16" x14ac:dyDescent="0.25">
      <c r="D48" s="122">
        <f>(F43+(G27/G41)*G43)/(F27+G27)</f>
        <v>3104</v>
      </c>
      <c r="F48" s="122" t="s">
        <v>283</v>
      </c>
    </row>
    <row r="51" spans="1:16" x14ac:dyDescent="0.25">
      <c r="B51" s="145" t="s">
        <v>214</v>
      </c>
    </row>
    <row r="52" spans="1:16" x14ac:dyDescent="0.25">
      <c r="C52" s="314" t="s">
        <v>535</v>
      </c>
    </row>
    <row r="53" spans="1:16" x14ac:dyDescent="0.25">
      <c r="C53" s="316" t="s">
        <v>503</v>
      </c>
      <c r="D53" s="316" t="s">
        <v>555</v>
      </c>
      <c r="E53" s="316">
        <v>2017</v>
      </c>
      <c r="F53" s="316">
        <v>2026</v>
      </c>
      <c r="G53" s="316">
        <v>2028</v>
      </c>
      <c r="H53" s="316">
        <v>2030</v>
      </c>
      <c r="I53" s="316">
        <v>2031</v>
      </c>
      <c r="J53" s="316">
        <v>2032</v>
      </c>
      <c r="K53" s="316">
        <v>2033</v>
      </c>
      <c r="L53" s="316">
        <v>2034</v>
      </c>
      <c r="M53" s="316">
        <v>2035</v>
      </c>
      <c r="N53" s="316">
        <v>2036</v>
      </c>
    </row>
    <row r="54" spans="1:16" x14ac:dyDescent="0.25">
      <c r="C54" s="272" t="s">
        <v>204</v>
      </c>
      <c r="D54" s="122" t="s">
        <v>145</v>
      </c>
      <c r="E54" s="315">
        <f>D41</f>
        <v>4.8570000000000002</v>
      </c>
      <c r="F54" s="315">
        <f>E54</f>
        <v>4.8570000000000002</v>
      </c>
      <c r="G54" s="162">
        <f>F54-G56</f>
        <v>4.2570000000000006</v>
      </c>
      <c r="H54" s="162">
        <f>G54-H56</f>
        <v>3.6570000000000005</v>
      </c>
      <c r="I54" s="162">
        <f>H54-I56</f>
        <v>3.0570000000000004</v>
      </c>
      <c r="J54" s="162">
        <f t="shared" ref="J54:M54" si="0">I54-J56</f>
        <v>2.4570000000000003</v>
      </c>
      <c r="K54" s="162">
        <f t="shared" si="0"/>
        <v>1.8570000000000002</v>
      </c>
      <c r="L54" s="162">
        <f t="shared" si="0"/>
        <v>1.2570000000000001</v>
      </c>
      <c r="M54" s="162">
        <f t="shared" si="0"/>
        <v>0.65700000000000014</v>
      </c>
      <c r="N54" s="162">
        <v>0</v>
      </c>
    </row>
    <row r="56" spans="1:16" x14ac:dyDescent="0.25">
      <c r="G56" s="122">
        <v>0.6</v>
      </c>
      <c r="H56" s="122">
        <v>0.6</v>
      </c>
      <c r="I56" s="122">
        <v>0.6</v>
      </c>
      <c r="J56" s="122">
        <v>0.6</v>
      </c>
      <c r="K56" s="122">
        <v>0.6</v>
      </c>
      <c r="L56" s="122">
        <v>0.6</v>
      </c>
      <c r="M56" s="122">
        <v>0.6</v>
      </c>
      <c r="P56" s="122" t="s">
        <v>629</v>
      </c>
    </row>
    <row r="62" spans="1:16" ht="26.25" x14ac:dyDescent="0.4">
      <c r="A62" s="166" t="s">
        <v>547</v>
      </c>
    </row>
    <row r="64" spans="1:16" x14ac:dyDescent="0.25">
      <c r="C64" s="145"/>
      <c r="D64" s="145"/>
    </row>
    <row r="65" spans="3:21" x14ac:dyDescent="0.25">
      <c r="C65" s="123"/>
      <c r="D65" s="124"/>
      <c r="E65" s="124"/>
      <c r="F65" s="124" t="s">
        <v>288</v>
      </c>
      <c r="G65" s="124"/>
      <c r="H65" s="124"/>
      <c r="I65" s="124"/>
      <c r="J65" s="124"/>
      <c r="K65" s="125"/>
    </row>
    <row r="66" spans="3:21" x14ac:dyDescent="0.25">
      <c r="C66" s="131"/>
      <c r="E66" s="122" t="s">
        <v>209</v>
      </c>
      <c r="F66" s="122" t="s">
        <v>290</v>
      </c>
      <c r="G66" s="122" t="s">
        <v>140</v>
      </c>
      <c r="H66" s="122" t="s">
        <v>291</v>
      </c>
      <c r="I66" s="122" t="s">
        <v>292</v>
      </c>
      <c r="J66" s="122" t="s">
        <v>293</v>
      </c>
      <c r="K66" s="127"/>
    </row>
    <row r="67" spans="3:21" x14ac:dyDescent="0.25">
      <c r="C67" s="131" t="s">
        <v>295</v>
      </c>
      <c r="E67" s="122">
        <f>B226</f>
        <v>4100</v>
      </c>
      <c r="F67" s="122">
        <f>'Chrome methodology'!C251</f>
        <v>0.69</v>
      </c>
      <c r="G67" s="122">
        <f>'Chrome methodology'!C253</f>
        <v>0.2</v>
      </c>
      <c r="H67" s="122">
        <f>'Chrome methodology'!C254</f>
        <v>0.27</v>
      </c>
      <c r="I67" s="122">
        <f>'Chrome methodology'!C255</f>
        <v>0.123</v>
      </c>
      <c r="J67" s="122">
        <f>F67-SUM(G67:I67)</f>
        <v>9.6999999999999975E-2</v>
      </c>
      <c r="K67" s="127"/>
    </row>
    <row r="68" spans="3:21" x14ac:dyDescent="0.25">
      <c r="C68" s="131" t="s">
        <v>239</v>
      </c>
      <c r="E68" s="122">
        <f>B235</f>
        <v>3500</v>
      </c>
      <c r="F68" s="122">
        <f>'Chrome methodology'!C273</f>
        <v>0.61</v>
      </c>
      <c r="G68" s="122">
        <f>'Chrome methodology'!C275</f>
        <v>2.5999999999999999E-2</v>
      </c>
      <c r="H68" s="122">
        <f>'Chrome methodology'!C276</f>
        <v>0.29899999999999999</v>
      </c>
      <c r="I68" s="122">
        <f>'Chrome methodology'!C277</f>
        <v>0.245</v>
      </c>
      <c r="J68" s="122">
        <f>'Chrome methodology'!C278</f>
        <v>4.1000000000000002E-2</v>
      </c>
      <c r="K68" s="127"/>
    </row>
    <row r="69" spans="3:21" x14ac:dyDescent="0.25">
      <c r="C69" s="131" t="s">
        <v>297</v>
      </c>
      <c r="E69" s="122">
        <f>B240</f>
        <v>2400</v>
      </c>
      <c r="K69" s="127"/>
    </row>
    <row r="70" spans="3:21" x14ac:dyDescent="0.25">
      <c r="C70" s="131"/>
      <c r="K70" s="127"/>
      <c r="Q70" s="3"/>
      <c r="R70" s="3"/>
      <c r="S70" s="3"/>
      <c r="T70" s="3"/>
      <c r="U70" s="3"/>
    </row>
    <row r="71" spans="3:21" x14ac:dyDescent="0.25">
      <c r="C71" s="131" t="s">
        <v>299</v>
      </c>
      <c r="K71" s="127"/>
      <c r="U71" s="3"/>
    </row>
    <row r="72" spans="3:21" x14ac:dyDescent="0.25">
      <c r="C72" s="131" t="s">
        <v>300</v>
      </c>
      <c r="K72" s="127"/>
    </row>
    <row r="73" spans="3:21" x14ac:dyDescent="0.25">
      <c r="C73" s="131"/>
      <c r="K73" s="127"/>
    </row>
    <row r="74" spans="3:21" x14ac:dyDescent="0.25">
      <c r="C74" s="137"/>
      <c r="D74" s="138"/>
      <c r="E74" s="138"/>
      <c r="F74" s="138"/>
      <c r="G74" s="138"/>
      <c r="H74" s="138"/>
      <c r="I74" s="138"/>
      <c r="J74" s="138"/>
      <c r="K74" s="139"/>
    </row>
    <row r="80" spans="3:21" x14ac:dyDescent="0.25">
      <c r="C80" s="150"/>
      <c r="D80" s="150"/>
      <c r="E80" s="150"/>
      <c r="F80" s="151" t="s">
        <v>303</v>
      </c>
      <c r="G80" s="151" t="s">
        <v>239</v>
      </c>
      <c r="H80" s="151" t="s">
        <v>297</v>
      </c>
      <c r="I80" s="151" t="s">
        <v>304</v>
      </c>
      <c r="J80" s="151" t="s">
        <v>305</v>
      </c>
      <c r="K80" s="145" t="s">
        <v>550</v>
      </c>
    </row>
    <row r="81" spans="3:21" x14ac:dyDescent="0.25">
      <c r="C81" s="151" t="s">
        <v>306</v>
      </c>
      <c r="D81" s="150" t="s">
        <v>307</v>
      </c>
      <c r="E81" s="150"/>
      <c r="F81" s="150">
        <f>E67</f>
        <v>4100</v>
      </c>
      <c r="G81" s="150">
        <f>E68</f>
        <v>3500</v>
      </c>
      <c r="H81" s="150">
        <f>E69</f>
        <v>2400</v>
      </c>
      <c r="I81" s="150"/>
      <c r="J81" s="150"/>
      <c r="K81" s="122" t="s">
        <v>551</v>
      </c>
    </row>
    <row r="82" spans="3:21" x14ac:dyDescent="0.25">
      <c r="C82" s="151"/>
      <c r="D82" s="150"/>
      <c r="E82" s="150"/>
      <c r="F82" s="150"/>
      <c r="G82" s="150"/>
      <c r="H82" s="150"/>
      <c r="I82" s="150"/>
      <c r="J82" s="150"/>
      <c r="P82" s="145" t="s">
        <v>623</v>
      </c>
    </row>
    <row r="83" spans="3:21" x14ac:dyDescent="0.25">
      <c r="C83" s="151" t="s">
        <v>308</v>
      </c>
      <c r="D83" s="150" t="s">
        <v>140</v>
      </c>
      <c r="E83" s="150"/>
      <c r="F83" s="150">
        <f>G67</f>
        <v>0.2</v>
      </c>
      <c r="G83" s="150">
        <f>G68</f>
        <v>2.5999999999999999E-2</v>
      </c>
      <c r="H83" s="150">
        <f>G83</f>
        <v>2.5999999999999999E-2</v>
      </c>
      <c r="I83" s="150"/>
      <c r="K83" s="122" t="s">
        <v>311</v>
      </c>
      <c r="P83" s="122">
        <f>R155</f>
        <v>27</v>
      </c>
    </row>
    <row r="84" spans="3:21" x14ac:dyDescent="0.25">
      <c r="C84" s="151"/>
      <c r="D84" s="150" t="s">
        <v>310</v>
      </c>
      <c r="E84" s="150"/>
      <c r="F84" s="150">
        <f>H67</f>
        <v>0.27</v>
      </c>
      <c r="G84" s="150">
        <f>H68</f>
        <v>0.29899999999999999</v>
      </c>
      <c r="H84" s="150">
        <f>G84*0.5</f>
        <v>0.14949999999999999</v>
      </c>
      <c r="I84" s="150"/>
      <c r="J84" s="150" t="s">
        <v>309</v>
      </c>
      <c r="K84" s="122" t="s">
        <v>311</v>
      </c>
      <c r="P84" s="122">
        <f>R156</f>
        <v>28</v>
      </c>
    </row>
    <row r="85" spans="3:21" x14ac:dyDescent="0.25">
      <c r="C85" s="151"/>
      <c r="D85" s="150" t="s">
        <v>313</v>
      </c>
      <c r="E85" s="150"/>
      <c r="F85" s="150">
        <f>I67</f>
        <v>0.123</v>
      </c>
      <c r="G85" s="150">
        <f>I68</f>
        <v>0.245</v>
      </c>
      <c r="H85" s="150">
        <f t="shared" ref="H85" si="1">G85</f>
        <v>0.245</v>
      </c>
      <c r="I85" s="150"/>
      <c r="J85" s="150"/>
      <c r="K85" s="122" t="s">
        <v>311</v>
      </c>
      <c r="N85" s="122" t="s">
        <v>586</v>
      </c>
      <c r="P85" s="122">
        <f>R156</f>
        <v>28</v>
      </c>
    </row>
    <row r="86" spans="3:21" x14ac:dyDescent="0.25">
      <c r="C86" s="151"/>
      <c r="D86" s="150" t="s">
        <v>314</v>
      </c>
      <c r="E86" s="150"/>
      <c r="F86" s="150">
        <f>J67</f>
        <v>9.6999999999999975E-2</v>
      </c>
      <c r="G86" s="150">
        <f>J68</f>
        <v>4.1000000000000002E-2</v>
      </c>
      <c r="H86" s="150">
        <f>G84-H84+G86</f>
        <v>0.1905</v>
      </c>
      <c r="I86" s="150"/>
      <c r="J86" s="150"/>
      <c r="K86" s="122" t="s">
        <v>311</v>
      </c>
    </row>
    <row r="87" spans="3:21" x14ac:dyDescent="0.25">
      <c r="C87" s="151"/>
      <c r="D87" s="152" t="s">
        <v>316</v>
      </c>
      <c r="E87" s="152"/>
      <c r="F87" s="152">
        <f>SUM(F83:F86)</f>
        <v>0.69</v>
      </c>
      <c r="G87" s="152">
        <f>SUM(G83:G86)</f>
        <v>0.6110000000000001</v>
      </c>
      <c r="H87" s="152">
        <f>SUM(H83:H86)</f>
        <v>0.61099999999999999</v>
      </c>
      <c r="I87" s="150"/>
      <c r="J87" s="150"/>
    </row>
    <row r="88" spans="3:21" x14ac:dyDescent="0.25">
      <c r="C88" s="151" t="s">
        <v>622</v>
      </c>
      <c r="D88" s="150" t="s">
        <v>140</v>
      </c>
      <c r="E88" s="152"/>
      <c r="F88" s="152"/>
      <c r="G88" s="152"/>
      <c r="H88" s="152"/>
      <c r="I88" s="150"/>
      <c r="J88" s="150"/>
    </row>
    <row r="89" spans="3:21" x14ac:dyDescent="0.25">
      <c r="C89" s="151"/>
      <c r="D89" s="150" t="s">
        <v>310</v>
      </c>
      <c r="E89" s="152"/>
      <c r="F89" s="152"/>
      <c r="G89" s="152"/>
      <c r="H89" s="152"/>
      <c r="I89" s="150"/>
      <c r="J89" s="150"/>
    </row>
    <row r="90" spans="3:21" x14ac:dyDescent="0.25">
      <c r="C90" s="151"/>
      <c r="D90" s="150" t="s">
        <v>313</v>
      </c>
      <c r="E90" s="152"/>
      <c r="F90" s="152"/>
      <c r="G90" s="152"/>
      <c r="H90" s="152"/>
      <c r="I90" s="150"/>
      <c r="J90" s="150"/>
    </row>
    <row r="91" spans="3:21" x14ac:dyDescent="0.25">
      <c r="C91" s="151"/>
      <c r="D91" s="150" t="s">
        <v>314</v>
      </c>
      <c r="E91" s="152"/>
      <c r="F91" s="152"/>
      <c r="G91" s="152"/>
      <c r="H91" s="152"/>
      <c r="I91" s="150"/>
      <c r="J91" s="150"/>
    </row>
    <row r="92" spans="3:21" x14ac:dyDescent="0.25">
      <c r="C92" s="151"/>
      <c r="D92" s="152"/>
      <c r="E92" s="152"/>
      <c r="F92" s="152"/>
      <c r="G92" s="152"/>
      <c r="H92" s="152"/>
      <c r="I92" s="150"/>
      <c r="J92" s="150"/>
    </row>
    <row r="93" spans="3:21" x14ac:dyDescent="0.25">
      <c r="C93" s="151" t="s">
        <v>318</v>
      </c>
      <c r="D93" s="150" t="str">
        <f>B27</f>
        <v>Glencore Merafe (Xstrata)</v>
      </c>
      <c r="E93" s="150"/>
      <c r="F93" s="150"/>
      <c r="G93" s="150">
        <f>G27</f>
        <v>1.28</v>
      </c>
      <c r="H93" s="150">
        <f>F27</f>
        <v>0.72</v>
      </c>
      <c r="I93" s="150"/>
      <c r="J93" s="150"/>
      <c r="Q93" s="30"/>
      <c r="R93" s="90"/>
      <c r="S93" s="90"/>
    </row>
    <row r="94" spans="3:21" x14ac:dyDescent="0.25">
      <c r="C94" s="151"/>
      <c r="D94" s="150" t="str">
        <f>B28</f>
        <v>Samancor Chrome Limited</v>
      </c>
      <c r="E94" s="150"/>
      <c r="F94" s="150">
        <f>H28</f>
        <v>0.42</v>
      </c>
      <c r="G94" s="150">
        <f>G28</f>
        <v>1.2</v>
      </c>
      <c r="H94" s="150"/>
      <c r="I94" s="150"/>
      <c r="J94" s="150" t="s">
        <v>320</v>
      </c>
      <c r="Q94" s="26"/>
      <c r="R94" s="26"/>
      <c r="S94" s="26"/>
      <c r="T94" s="90"/>
      <c r="U94" s="90"/>
    </row>
    <row r="95" spans="3:21" x14ac:dyDescent="0.25">
      <c r="C95" s="151"/>
      <c r="D95" s="150" t="str">
        <f>B30</f>
        <v>Tata KZN</v>
      </c>
      <c r="E95" s="150"/>
      <c r="F95" s="150">
        <f>H30</f>
        <v>0.15</v>
      </c>
      <c r="G95" s="150"/>
      <c r="H95" s="150"/>
      <c r="I95" s="150"/>
      <c r="J95" s="150"/>
      <c r="Q95" s="26"/>
      <c r="R95" s="26"/>
      <c r="S95" s="26"/>
      <c r="T95" s="89"/>
      <c r="U95" s="26"/>
    </row>
    <row r="96" spans="3:21" x14ac:dyDescent="0.25">
      <c r="C96" s="151"/>
      <c r="D96" s="150" t="str">
        <f>B31</f>
        <v>Afarak (Probably now Zeetrust)</v>
      </c>
      <c r="E96" s="150"/>
      <c r="F96" s="150">
        <f>H31</f>
        <v>0.11</v>
      </c>
      <c r="G96" s="150"/>
      <c r="H96" s="150"/>
      <c r="I96" s="150"/>
      <c r="J96" s="150"/>
      <c r="Q96" s="3"/>
      <c r="R96" s="3"/>
      <c r="S96" s="3"/>
      <c r="T96" s="90"/>
      <c r="U96" s="89"/>
    </row>
    <row r="97" spans="1:21" x14ac:dyDescent="0.25">
      <c r="C97" s="151"/>
      <c r="D97" s="150" t="str">
        <f>B34</f>
        <v>International Ferro Metals</v>
      </c>
      <c r="E97" s="150"/>
      <c r="F97" s="150">
        <f>H34</f>
        <v>0.26700000000000002</v>
      </c>
      <c r="G97" s="150"/>
      <c r="H97" s="150"/>
      <c r="I97" s="150">
        <f>K34</f>
        <v>14</v>
      </c>
      <c r="J97" s="150"/>
      <c r="Q97" s="30"/>
      <c r="R97" s="30"/>
      <c r="S97" s="30"/>
      <c r="T97" s="90"/>
      <c r="U97" s="89"/>
    </row>
    <row r="98" spans="1:21" x14ac:dyDescent="0.25">
      <c r="C98" s="151"/>
      <c r="D98" s="150" t="str">
        <f>B36</f>
        <v>ASA Metals (Newco)</v>
      </c>
      <c r="E98" s="150"/>
      <c r="F98" s="150">
        <f>I36</f>
        <v>0.41000000000000003</v>
      </c>
      <c r="G98" s="150"/>
      <c r="H98" s="150"/>
      <c r="I98" s="150"/>
      <c r="J98" s="150" t="s">
        <v>323</v>
      </c>
      <c r="Q98" s="3"/>
      <c r="R98" s="3"/>
      <c r="S98" s="3"/>
      <c r="T98" s="90"/>
      <c r="U98" s="89"/>
    </row>
    <row r="99" spans="1:21" x14ac:dyDescent="0.25">
      <c r="C99" s="151"/>
      <c r="D99" s="150" t="str">
        <f>B37</f>
        <v>Assmang Chrome</v>
      </c>
      <c r="E99" s="150"/>
      <c r="F99" s="150">
        <f>H37</f>
        <v>0.3</v>
      </c>
      <c r="G99" s="150"/>
      <c r="H99" s="150"/>
      <c r="I99" s="150"/>
      <c r="J99" s="150"/>
      <c r="Q99" s="3"/>
      <c r="R99" s="3"/>
      <c r="S99" s="3"/>
      <c r="T99" s="90"/>
      <c r="U99" s="26"/>
    </row>
    <row r="100" spans="1:21" x14ac:dyDescent="0.25">
      <c r="C100" s="151"/>
      <c r="D100" s="152" t="s">
        <v>316</v>
      </c>
      <c r="E100" s="152"/>
      <c r="F100" s="153">
        <f>SUM(F93:F99)</f>
        <v>1.657</v>
      </c>
      <c r="G100" s="153">
        <f>SUM(G93:G99)</f>
        <v>2.48</v>
      </c>
      <c r="H100" s="153">
        <f t="shared" ref="H100" si="2">SUM(H93:H99)</f>
        <v>0.72</v>
      </c>
      <c r="I100" s="150"/>
      <c r="J100" s="150"/>
      <c r="Q100" s="3"/>
      <c r="R100" s="3"/>
      <c r="S100" s="3"/>
      <c r="T100" s="90"/>
      <c r="U100" s="33"/>
    </row>
    <row r="101" spans="1:21" x14ac:dyDescent="0.25">
      <c r="C101" s="151" t="s">
        <v>324</v>
      </c>
      <c r="D101" s="150"/>
      <c r="E101" s="150"/>
      <c r="F101" s="154">
        <f>SUM(F100:H100)</f>
        <v>4.8570000000000002</v>
      </c>
      <c r="G101" s="155"/>
      <c r="H101" s="155"/>
      <c r="I101" s="150"/>
      <c r="J101" s="150"/>
      <c r="Q101" s="3"/>
      <c r="R101" s="3"/>
      <c r="S101" s="3"/>
      <c r="T101" s="3"/>
      <c r="U101" s="90"/>
    </row>
    <row r="102" spans="1:21" x14ac:dyDescent="0.25">
      <c r="Q102" s="30"/>
      <c r="R102" s="30"/>
      <c r="S102" s="30"/>
      <c r="T102" s="90"/>
      <c r="U102" s="89"/>
    </row>
    <row r="103" spans="1:21" ht="21" x14ac:dyDescent="0.35">
      <c r="A103" s="310" t="s">
        <v>600</v>
      </c>
      <c r="C103" s="145" t="s">
        <v>601</v>
      </c>
      <c r="Q103" s="3"/>
      <c r="R103" s="3"/>
      <c r="S103" s="3"/>
      <c r="T103" s="90"/>
      <c r="U103" s="89"/>
    </row>
    <row r="104" spans="1:21" x14ac:dyDescent="0.25">
      <c r="D104" s="150" t="str">
        <f t="shared" ref="D104:D110" si="3">D93</f>
        <v>Glencore Merafe (Xstrata)</v>
      </c>
      <c r="E104" s="150"/>
      <c r="F104" s="150"/>
      <c r="G104" s="156">
        <v>0.8</v>
      </c>
      <c r="H104" s="156">
        <v>0.8</v>
      </c>
      <c r="Q104" s="3"/>
      <c r="R104" s="3"/>
      <c r="S104" s="3"/>
      <c r="T104" s="90"/>
      <c r="U104" s="26"/>
    </row>
    <row r="105" spans="1:21" x14ac:dyDescent="0.25">
      <c r="D105" s="150" t="str">
        <f t="shared" si="3"/>
        <v>Samancor Chrome Limited</v>
      </c>
      <c r="E105" s="150"/>
      <c r="F105" s="156">
        <v>0.8</v>
      </c>
      <c r="G105" s="156">
        <v>0.8</v>
      </c>
      <c r="H105" s="150"/>
      <c r="Q105" s="3"/>
      <c r="R105" s="3"/>
      <c r="S105" s="3"/>
      <c r="T105" s="90"/>
      <c r="U105" s="33"/>
    </row>
    <row r="106" spans="1:21" x14ac:dyDescent="0.25">
      <c r="D106" s="150" t="str">
        <f t="shared" si="3"/>
        <v>Tata KZN</v>
      </c>
      <c r="E106" s="150"/>
      <c r="F106" s="156">
        <v>0</v>
      </c>
      <c r="G106" s="150"/>
      <c r="H106" s="150"/>
      <c r="Q106" s="3"/>
      <c r="R106" s="3"/>
      <c r="S106" s="3"/>
      <c r="T106" s="3"/>
      <c r="U106" s="90"/>
    </row>
    <row r="107" spans="1:21" x14ac:dyDescent="0.25">
      <c r="D107" s="150" t="str">
        <f t="shared" si="3"/>
        <v>Afarak (Probably now Zeetrust)</v>
      </c>
      <c r="E107" s="150"/>
      <c r="F107" s="157">
        <f>J107</f>
        <v>0.7</v>
      </c>
      <c r="G107" s="150"/>
      <c r="H107" s="150"/>
      <c r="J107" s="158">
        <v>0.7</v>
      </c>
    </row>
    <row r="108" spans="1:21" x14ac:dyDescent="0.25">
      <c r="D108" s="150" t="str">
        <f t="shared" si="3"/>
        <v>International Ferro Metals</v>
      </c>
      <c r="E108" s="150"/>
      <c r="F108" s="156">
        <f>F107</f>
        <v>0.7</v>
      </c>
      <c r="G108" s="150"/>
      <c r="H108" s="150"/>
    </row>
    <row r="109" spans="1:21" x14ac:dyDescent="0.25">
      <c r="D109" s="150" t="str">
        <f t="shared" si="3"/>
        <v>ASA Metals (Newco)</v>
      </c>
      <c r="E109" s="150"/>
      <c r="F109" s="156">
        <f>F107</f>
        <v>0.7</v>
      </c>
      <c r="G109" s="150"/>
      <c r="H109" s="150"/>
      <c r="O109" s="145" t="s">
        <v>542</v>
      </c>
    </row>
    <row r="110" spans="1:21" x14ac:dyDescent="0.25">
      <c r="D110" s="150" t="str">
        <f t="shared" si="3"/>
        <v>Assmang Chrome</v>
      </c>
      <c r="E110" s="150"/>
      <c r="F110" s="156">
        <v>0</v>
      </c>
      <c r="G110" s="150"/>
      <c r="H110" s="150"/>
      <c r="P110" s="314" t="s">
        <v>535</v>
      </c>
    </row>
    <row r="111" spans="1:21" x14ac:dyDescent="0.25">
      <c r="I111" s="145" t="s">
        <v>326</v>
      </c>
      <c r="J111" s="311" t="s">
        <v>325</v>
      </c>
      <c r="P111" s="316" t="s">
        <v>537</v>
      </c>
      <c r="Q111" s="316" t="s">
        <v>40</v>
      </c>
      <c r="R111" s="316" t="s">
        <v>538</v>
      </c>
      <c r="S111" s="316">
        <v>2017</v>
      </c>
    </row>
    <row r="112" spans="1:21" x14ac:dyDescent="0.25">
      <c r="D112" s="145" t="s">
        <v>599</v>
      </c>
      <c r="F112" s="122">
        <f>SUMPRODUCT(F104:F110,F93:F99)</f>
        <v>0.88690000000000002</v>
      </c>
      <c r="G112" s="122">
        <f>SUMPRODUCT(G104:G110,G93:G99)</f>
        <v>1.984</v>
      </c>
      <c r="H112" s="122">
        <f>SUMPRODUCT(H104:H110,H93:H99)</f>
        <v>0.57599999999999996</v>
      </c>
      <c r="I112" s="172">
        <f>SUM(F112:H112)</f>
        <v>3.4468999999999999</v>
      </c>
      <c r="J112" s="311">
        <f>S260/1000</f>
        <v>3.484</v>
      </c>
      <c r="K112" s="311" t="s">
        <v>272</v>
      </c>
      <c r="L112" s="311" t="s">
        <v>390</v>
      </c>
      <c r="P112" s="122" t="s">
        <v>542</v>
      </c>
      <c r="Q112" s="122" t="s">
        <v>208</v>
      </c>
      <c r="R112" s="315" t="s">
        <v>116</v>
      </c>
      <c r="S112" s="315">
        <f>J112</f>
        <v>3.484</v>
      </c>
    </row>
    <row r="115" spans="1:16" ht="21" x14ac:dyDescent="0.35">
      <c r="A115" s="310" t="s">
        <v>552</v>
      </c>
    </row>
    <row r="117" spans="1:16" x14ac:dyDescent="0.25">
      <c r="F117" s="145" t="s">
        <v>303</v>
      </c>
      <c r="G117" s="145" t="s">
        <v>239</v>
      </c>
      <c r="H117" s="145" t="s">
        <v>297</v>
      </c>
      <c r="I117" s="145" t="s">
        <v>404</v>
      </c>
    </row>
    <row r="119" spans="1:16" x14ac:dyDescent="0.25">
      <c r="E119" s="145" t="s">
        <v>327</v>
      </c>
      <c r="I119" s="145"/>
      <c r="J119" s="164"/>
    </row>
    <row r="120" spans="1:16" x14ac:dyDescent="0.25">
      <c r="E120" s="159" t="s">
        <v>209</v>
      </c>
      <c r="F120" s="122">
        <f>F112*F81</f>
        <v>3636.29</v>
      </c>
      <c r="G120" s="122">
        <f>G112*G81</f>
        <v>6944</v>
      </c>
      <c r="H120" s="122">
        <f>H112*H81</f>
        <v>1382.3999999999999</v>
      </c>
      <c r="I120" s="312">
        <f>SUM(F120:H120)</f>
        <v>11962.69</v>
      </c>
      <c r="J120" s="313">
        <v>14413.888888888889</v>
      </c>
      <c r="K120" s="164" t="s">
        <v>210</v>
      </c>
      <c r="L120" s="164" t="s">
        <v>330</v>
      </c>
      <c r="P120" s="159" t="s">
        <v>329</v>
      </c>
    </row>
    <row r="121" spans="1:16" x14ac:dyDescent="0.25">
      <c r="E121" s="159" t="s">
        <v>140</v>
      </c>
      <c r="F121" s="160">
        <f t="shared" ref="F121:H124" si="4">F$112*F83</f>
        <v>0.17738000000000001</v>
      </c>
      <c r="G121" s="160">
        <f t="shared" si="4"/>
        <v>5.1583999999999998E-2</v>
      </c>
      <c r="H121" s="160">
        <f t="shared" si="4"/>
        <v>1.4975999999999998E-2</v>
      </c>
      <c r="I121" s="172">
        <f>SUM(F121:H121)</f>
        <v>0.24393999999999999</v>
      </c>
      <c r="K121" s="122" t="s">
        <v>272</v>
      </c>
      <c r="P121" s="122">
        <v>27</v>
      </c>
    </row>
    <row r="122" spans="1:16" x14ac:dyDescent="0.25">
      <c r="E122" s="159" t="s">
        <v>291</v>
      </c>
      <c r="F122" s="160">
        <f t="shared" si="4"/>
        <v>0.23946300000000001</v>
      </c>
      <c r="G122" s="160">
        <f t="shared" si="4"/>
        <v>0.59321599999999997</v>
      </c>
      <c r="H122" s="160">
        <f t="shared" si="4"/>
        <v>8.6111999999999994E-2</v>
      </c>
      <c r="I122" s="172">
        <f>SUM(F122:H122)</f>
        <v>0.91879099999999991</v>
      </c>
      <c r="K122" s="122" t="s">
        <v>272</v>
      </c>
      <c r="P122" s="122">
        <v>28</v>
      </c>
    </row>
    <row r="123" spans="1:16" x14ac:dyDescent="0.25">
      <c r="E123" s="159" t="s">
        <v>292</v>
      </c>
      <c r="F123" s="160">
        <f t="shared" si="4"/>
        <v>0.1090887</v>
      </c>
      <c r="G123" s="160">
        <f t="shared" si="4"/>
        <v>0.48608000000000001</v>
      </c>
      <c r="H123" s="160">
        <f t="shared" si="4"/>
        <v>0.14112</v>
      </c>
      <c r="I123" s="172">
        <f>SUM(F123:H123)</f>
        <v>0.73628870000000002</v>
      </c>
      <c r="K123" s="122" t="s">
        <v>272</v>
      </c>
      <c r="P123" s="122">
        <v>28</v>
      </c>
    </row>
    <row r="124" spans="1:16" x14ac:dyDescent="0.25">
      <c r="B124" s="145"/>
      <c r="E124" s="159" t="s">
        <v>293</v>
      </c>
      <c r="F124" s="160">
        <f t="shared" si="4"/>
        <v>8.6029299999999975E-2</v>
      </c>
      <c r="G124" s="160">
        <f t="shared" si="4"/>
        <v>8.1344E-2</v>
      </c>
      <c r="H124" s="160">
        <f t="shared" si="4"/>
        <v>0.10972799999999999</v>
      </c>
      <c r="I124" s="172">
        <f>SUM(F124:H124)</f>
        <v>0.27710129999999999</v>
      </c>
      <c r="K124" s="122" t="s">
        <v>272</v>
      </c>
      <c r="P124" s="122">
        <v>27</v>
      </c>
    </row>
    <row r="126" spans="1:16" ht="18.75" x14ac:dyDescent="0.3">
      <c r="B126" s="309" t="s">
        <v>553</v>
      </c>
      <c r="C126" s="161"/>
    </row>
    <row r="127" spans="1:16" x14ac:dyDescent="0.25">
      <c r="E127" s="159" t="s">
        <v>209</v>
      </c>
      <c r="F127" s="162">
        <f>I120/$I$112</f>
        <v>3470.5648553772958</v>
      </c>
      <c r="G127" s="122" t="s">
        <v>334</v>
      </c>
    </row>
    <row r="128" spans="1:16" x14ac:dyDescent="0.25">
      <c r="E128" s="159" t="s">
        <v>211</v>
      </c>
      <c r="F128" s="162">
        <f>(I121*P121+I124*P124)/$I$112</f>
        <v>4.0813818503582935</v>
      </c>
      <c r="G128" s="122" t="s">
        <v>335</v>
      </c>
    </row>
    <row r="129" spans="2:16" x14ac:dyDescent="0.25">
      <c r="E129" s="159" t="s">
        <v>212</v>
      </c>
      <c r="F129" s="162">
        <f>(I122*P122+I123*P123+J129*P123)/$I$112</f>
        <v>20.627230264875688</v>
      </c>
      <c r="G129" s="122" t="s">
        <v>335</v>
      </c>
      <c r="J129" s="163">
        <f>J130-SUM(I122:I123)-J131</f>
        <v>0.88420601428571455</v>
      </c>
      <c r="K129" s="164" t="s">
        <v>554</v>
      </c>
    </row>
    <row r="130" spans="2:16" x14ac:dyDescent="0.25">
      <c r="E130" s="159"/>
      <c r="J130" s="164">
        <v>2.7</v>
      </c>
      <c r="K130" s="164" t="s">
        <v>336</v>
      </c>
    </row>
    <row r="131" spans="2:16" x14ac:dyDescent="0.25">
      <c r="J131" s="122">
        <f>J132/P122</f>
        <v>0.16071428571428573</v>
      </c>
      <c r="K131" s="122" t="s">
        <v>337</v>
      </c>
    </row>
    <row r="132" spans="2:16" x14ac:dyDescent="0.25">
      <c r="J132" s="122">
        <v>4.5</v>
      </c>
      <c r="K132" s="122" t="s">
        <v>338</v>
      </c>
    </row>
    <row r="140" spans="2:16" ht="26.25" x14ac:dyDescent="0.4">
      <c r="B140" s="166" t="s">
        <v>581</v>
      </c>
    </row>
    <row r="141" spans="2:16" x14ac:dyDescent="0.25">
      <c r="C141" s="122" t="s">
        <v>351</v>
      </c>
      <c r="D141" s="122" t="s">
        <v>352</v>
      </c>
    </row>
    <row r="142" spans="2:16" x14ac:dyDescent="0.25">
      <c r="C142" s="122" t="s">
        <v>353</v>
      </c>
      <c r="D142" s="122" t="s">
        <v>583</v>
      </c>
      <c r="P142" s="122">
        <f>H158/D158</f>
        <v>0.67809159724869195</v>
      </c>
    </row>
    <row r="143" spans="2:16" x14ac:dyDescent="0.25">
      <c r="C143" s="122" t="s">
        <v>354</v>
      </c>
      <c r="D143" s="122" t="s">
        <v>590</v>
      </c>
    </row>
    <row r="146" spans="2:22" x14ac:dyDescent="0.25">
      <c r="D146" s="145" t="s">
        <v>355</v>
      </c>
      <c r="E146" s="145"/>
      <c r="H146" s="145" t="s">
        <v>356</v>
      </c>
      <c r="J146" s="145" t="s">
        <v>357</v>
      </c>
      <c r="N146" s="145" t="s">
        <v>358</v>
      </c>
    </row>
    <row r="147" spans="2:22" x14ac:dyDescent="0.25">
      <c r="H147" s="122" t="s">
        <v>297</v>
      </c>
      <c r="J147" s="122" t="s">
        <v>587</v>
      </c>
    </row>
    <row r="148" spans="2:22" x14ac:dyDescent="0.25">
      <c r="C148" s="122" t="s">
        <v>359</v>
      </c>
      <c r="D148" s="160">
        <f>F101</f>
        <v>4.8570000000000002</v>
      </c>
      <c r="E148" s="160"/>
      <c r="F148" s="122" t="s">
        <v>595</v>
      </c>
      <c r="U148" s="122" t="s">
        <v>360</v>
      </c>
    </row>
    <row r="149" spans="2:22" x14ac:dyDescent="0.25">
      <c r="C149" s="122" t="s">
        <v>361</v>
      </c>
      <c r="D149" s="160">
        <f>H149*F149</f>
        <v>7050.5555555555566</v>
      </c>
      <c r="E149" s="160"/>
      <c r="F149" s="135">
        <v>0.7</v>
      </c>
      <c r="H149" s="148">
        <f>B318*1000*0.74</f>
        <v>10072.222222222224</v>
      </c>
      <c r="I149" s="148"/>
      <c r="J149" s="148">
        <f>H149*(1+U149)</f>
        <v>11079.444444444447</v>
      </c>
      <c r="N149" s="160">
        <f>(E360/R157)*(1+U152)</f>
        <v>43.490026666666672</v>
      </c>
      <c r="U149" s="135">
        <v>0.1</v>
      </c>
      <c r="V149" s="122" t="s">
        <v>362</v>
      </c>
    </row>
    <row r="150" spans="2:22" x14ac:dyDescent="0.25">
      <c r="C150" s="122" t="s">
        <v>363</v>
      </c>
      <c r="D150" s="122">
        <f>J112</f>
        <v>3.484</v>
      </c>
      <c r="F150" s="167">
        <f>D150/D148</f>
        <v>0.71731521515338681</v>
      </c>
    </row>
    <row r="151" spans="2:22" x14ac:dyDescent="0.25">
      <c r="C151" s="122" t="s">
        <v>364</v>
      </c>
      <c r="H151" s="122">
        <v>20</v>
      </c>
      <c r="J151" s="122">
        <v>20</v>
      </c>
      <c r="N151" s="122">
        <f>E357</f>
        <v>10</v>
      </c>
      <c r="U151" s="122" t="s">
        <v>365</v>
      </c>
    </row>
    <row r="152" spans="2:22" x14ac:dyDescent="0.25">
      <c r="C152" s="122" t="s">
        <v>345</v>
      </c>
      <c r="N152" s="135">
        <f>E365</f>
        <v>0.33</v>
      </c>
      <c r="U152" s="135">
        <v>0.3</v>
      </c>
      <c r="V152" s="122" t="s">
        <v>366</v>
      </c>
    </row>
    <row r="153" spans="2:22" x14ac:dyDescent="0.25">
      <c r="C153" s="145" t="s">
        <v>367</v>
      </c>
      <c r="H153" s="162"/>
    </row>
    <row r="154" spans="2:22" x14ac:dyDescent="0.25">
      <c r="C154" s="122" t="s">
        <v>209</v>
      </c>
      <c r="D154" s="162">
        <f>F127*3.6*1000000/1000000000</f>
        <v>12.494033479358265</v>
      </c>
      <c r="E154" s="162"/>
      <c r="F154" s="122" t="s">
        <v>335</v>
      </c>
      <c r="H154" s="168">
        <f>H81*3.6*1000000/1000000000</f>
        <v>8.64</v>
      </c>
      <c r="I154" s="168"/>
      <c r="J154" s="168">
        <f>H154</f>
        <v>8.64</v>
      </c>
      <c r="Q154" s="122" t="s">
        <v>368</v>
      </c>
      <c r="R154" s="122" t="s">
        <v>335</v>
      </c>
      <c r="S154" s="122" t="s">
        <v>621</v>
      </c>
    </row>
    <row r="155" spans="2:22" x14ac:dyDescent="0.25">
      <c r="C155" s="122" t="s">
        <v>140</v>
      </c>
      <c r="D155" s="160">
        <f>F128</f>
        <v>4.0813818503582935</v>
      </c>
      <c r="E155" s="160"/>
      <c r="F155" s="122" t="s">
        <v>335</v>
      </c>
      <c r="H155" s="168">
        <f>(H83+H86)*R155</f>
        <v>5.8455000000000004</v>
      </c>
      <c r="I155" s="168"/>
      <c r="J155" s="168">
        <f>H155</f>
        <v>5.8455000000000004</v>
      </c>
      <c r="P155" s="122" t="s">
        <v>140</v>
      </c>
      <c r="Q155" s="169">
        <v>0.86</v>
      </c>
      <c r="R155" s="125">
        <v>27</v>
      </c>
      <c r="S155" s="322">
        <f>Q155</f>
        <v>0.86</v>
      </c>
    </row>
    <row r="156" spans="2:22" x14ac:dyDescent="0.25">
      <c r="C156" s="122" t="s">
        <v>291</v>
      </c>
      <c r="D156" s="160">
        <f>F129</f>
        <v>20.627230264875688</v>
      </c>
      <c r="E156" s="160"/>
      <c r="F156" s="122" t="s">
        <v>335</v>
      </c>
      <c r="H156" s="168">
        <f>(H84+H85)*R156</f>
        <v>11.045999999999999</v>
      </c>
      <c r="I156" s="168" t="s">
        <v>589</v>
      </c>
      <c r="J156" s="168">
        <f>$H$156*K156</f>
        <v>5.5229999999999997</v>
      </c>
      <c r="K156" s="158">
        <v>0.5</v>
      </c>
      <c r="L156" s="134" t="s">
        <v>369</v>
      </c>
      <c r="P156" s="122" t="s">
        <v>291</v>
      </c>
      <c r="Q156" s="170">
        <v>0.9</v>
      </c>
      <c r="R156" s="125">
        <f>P122</f>
        <v>28</v>
      </c>
      <c r="S156" s="322">
        <f t="shared" ref="S156:S157" si="5">Q156</f>
        <v>0.9</v>
      </c>
    </row>
    <row r="157" spans="2:22" x14ac:dyDescent="0.25">
      <c r="B157" s="164"/>
      <c r="C157" s="122" t="s">
        <v>370</v>
      </c>
      <c r="D157" s="160"/>
      <c r="E157" s="160"/>
      <c r="F157" s="122" t="s">
        <v>335</v>
      </c>
      <c r="H157" s="168"/>
      <c r="I157" s="168"/>
      <c r="J157" s="168">
        <f>$H$156*K157</f>
        <v>5.5229999999999997</v>
      </c>
      <c r="K157" s="158">
        <v>0.5</v>
      </c>
      <c r="L157" s="134" t="s">
        <v>369</v>
      </c>
      <c r="P157" s="122" t="s">
        <v>584</v>
      </c>
      <c r="Q157" s="171">
        <v>0.86</v>
      </c>
      <c r="R157" s="139">
        <f>T161/1000</f>
        <v>31.5</v>
      </c>
      <c r="S157" s="322">
        <f t="shared" si="5"/>
        <v>0.86</v>
      </c>
    </row>
    <row r="158" spans="2:22" x14ac:dyDescent="0.25">
      <c r="B158" s="164"/>
      <c r="C158" s="145" t="s">
        <v>588</v>
      </c>
      <c r="D158" s="172">
        <f>SUMPRODUCT(D155:D157,Q155:Q157)</f>
        <v>22.074495629696251</v>
      </c>
      <c r="E158" s="172"/>
      <c r="F158" s="145"/>
      <c r="G158" s="145"/>
      <c r="H158" s="173">
        <f>SUMPRODUCT(H155:H157,Q155:Q157)</f>
        <v>14.968530000000001</v>
      </c>
      <c r="I158" s="173"/>
      <c r="J158" s="173">
        <f>SUMPRODUCT(J155:J157,Q155:Q157)</f>
        <v>14.74761</v>
      </c>
      <c r="K158" s="159"/>
    </row>
    <row r="159" spans="2:22" x14ac:dyDescent="0.25">
      <c r="C159" s="145" t="s">
        <v>387</v>
      </c>
      <c r="T159" s="122" t="s">
        <v>376</v>
      </c>
    </row>
    <row r="160" spans="2:22" x14ac:dyDescent="0.25">
      <c r="C160" s="122" t="s">
        <v>374</v>
      </c>
      <c r="D160" s="174">
        <v>3.2245200000000001</v>
      </c>
      <c r="E160" s="174"/>
      <c r="F160" s="174" t="s">
        <v>388</v>
      </c>
      <c r="G160" s="174"/>
      <c r="H160" s="174">
        <f>D160*((H156+H155)/H158)</f>
        <v>3.638766103284691</v>
      </c>
      <c r="I160" s="174"/>
      <c r="J160" s="174">
        <f>D160*((J156+J155)/J158)</f>
        <v>2.4856878924788495</v>
      </c>
      <c r="T160" s="122">
        <v>7500</v>
      </c>
      <c r="U160" s="122" t="s">
        <v>373</v>
      </c>
      <c r="V160" s="164" t="s">
        <v>371</v>
      </c>
    </row>
    <row r="161" spans="1:22" x14ac:dyDescent="0.25">
      <c r="D161" s="122" t="s">
        <v>389</v>
      </c>
      <c r="T161" s="122">
        <f>T160*4.2</f>
        <v>31500</v>
      </c>
      <c r="U161" s="122" t="s">
        <v>375</v>
      </c>
      <c r="V161" s="122" t="s">
        <v>372</v>
      </c>
    </row>
    <row r="162" spans="1:22" x14ac:dyDescent="0.25">
      <c r="H162" s="122" t="s">
        <v>595</v>
      </c>
    </row>
    <row r="163" spans="1:22" x14ac:dyDescent="0.25">
      <c r="Q163" s="314" t="s">
        <v>535</v>
      </c>
      <c r="S163" s="3"/>
    </row>
    <row r="164" spans="1:22" x14ac:dyDescent="0.25">
      <c r="Q164" s="316" t="s">
        <v>503</v>
      </c>
      <c r="R164" s="316" t="s">
        <v>518</v>
      </c>
      <c r="S164" s="316" t="s">
        <v>519</v>
      </c>
      <c r="T164" s="316" t="s">
        <v>122</v>
      </c>
      <c r="U164" s="316" t="s">
        <v>183</v>
      </c>
    </row>
    <row r="165" spans="1:22" x14ac:dyDescent="0.25">
      <c r="Q165" s="3" t="str">
        <f>SEC_Processes!D16</f>
        <v>IFABIOCHAR</v>
      </c>
      <c r="R165" s="90" t="s">
        <v>534</v>
      </c>
      <c r="S165" s="90" t="s">
        <v>533</v>
      </c>
      <c r="T165" s="135">
        <f>N152</f>
        <v>0.33</v>
      </c>
      <c r="U165" s="160">
        <f>N149</f>
        <v>43.490026666666672</v>
      </c>
    </row>
    <row r="167" spans="1:22" x14ac:dyDescent="0.25">
      <c r="H167" s="135">
        <v>0.1</v>
      </c>
      <c r="I167" s="122" t="s">
        <v>582</v>
      </c>
    </row>
    <row r="168" spans="1:22" x14ac:dyDescent="0.25">
      <c r="C168" s="314" t="s">
        <v>535</v>
      </c>
      <c r="E168" s="3"/>
      <c r="F168" s="3"/>
    </row>
    <row r="169" spans="1:22" x14ac:dyDescent="0.25">
      <c r="C169" s="316" t="s">
        <v>503</v>
      </c>
      <c r="D169" s="316" t="s">
        <v>518</v>
      </c>
      <c r="E169" s="316" t="s">
        <v>519</v>
      </c>
      <c r="F169" s="316" t="s">
        <v>141</v>
      </c>
      <c r="G169" s="316" t="s">
        <v>543</v>
      </c>
      <c r="H169" s="316" t="s">
        <v>147</v>
      </c>
      <c r="I169" s="316" t="s">
        <v>183</v>
      </c>
      <c r="J169" s="316" t="s">
        <v>559</v>
      </c>
      <c r="K169" s="316" t="s">
        <v>207</v>
      </c>
      <c r="L169" s="316" t="s">
        <v>596</v>
      </c>
      <c r="M169" s="316" t="s">
        <v>640</v>
      </c>
    </row>
    <row r="170" spans="1:22" x14ac:dyDescent="0.25">
      <c r="A170" s="122" t="s">
        <v>597</v>
      </c>
      <c r="C170" s="272" t="str">
        <f>C54</f>
        <v>IFCEAF-E</v>
      </c>
      <c r="D170" s="90" t="s">
        <v>194</v>
      </c>
      <c r="E170" s="90"/>
      <c r="F170" s="162">
        <f>D156</f>
        <v>20.627230264875688</v>
      </c>
    </row>
    <row r="171" spans="1:22" x14ac:dyDescent="0.25">
      <c r="C171" s="26"/>
      <c r="D171" s="90" t="s">
        <v>556</v>
      </c>
      <c r="E171" s="90"/>
      <c r="F171" s="162">
        <f>D155</f>
        <v>4.0813818503582935</v>
      </c>
    </row>
    <row r="172" spans="1:22" x14ac:dyDescent="0.25">
      <c r="C172" s="26"/>
      <c r="D172" s="89" t="s">
        <v>192</v>
      </c>
      <c r="E172" s="26"/>
      <c r="F172" s="162">
        <f>D154</f>
        <v>12.494033479358265</v>
      </c>
    </row>
    <row r="173" spans="1:22" x14ac:dyDescent="0.25">
      <c r="A173" s="272"/>
      <c r="C173" s="3"/>
      <c r="D173" s="90"/>
      <c r="E173" s="89" t="s">
        <v>208</v>
      </c>
      <c r="G173" s="122">
        <v>1</v>
      </c>
      <c r="H173" s="148">
        <f>H177</f>
        <v>705.05555555555566</v>
      </c>
      <c r="L173" s="122">
        <f>D160*1000</f>
        <v>3224.52</v>
      </c>
    </row>
    <row r="174" spans="1:22" x14ac:dyDescent="0.25">
      <c r="A174" s="272" t="s">
        <v>598</v>
      </c>
      <c r="C174" s="272" t="str">
        <f>SEC_Processes!D10</f>
        <v>IFCEAF-N</v>
      </c>
      <c r="D174" s="90" t="s">
        <v>194</v>
      </c>
      <c r="E174" s="90"/>
      <c r="F174" s="162">
        <f>F170</f>
        <v>20.627230264875688</v>
      </c>
      <c r="H174" s="148"/>
    </row>
    <row r="175" spans="1:22" x14ac:dyDescent="0.25">
      <c r="A175" s="272"/>
      <c r="C175" s="3"/>
      <c r="D175" s="90" t="s">
        <v>556</v>
      </c>
      <c r="E175" s="90"/>
      <c r="F175" s="162">
        <f>F171</f>
        <v>4.0813818503582935</v>
      </c>
      <c r="H175" s="148"/>
    </row>
    <row r="176" spans="1:22" x14ac:dyDescent="0.25">
      <c r="A176" s="272"/>
      <c r="C176" s="3"/>
      <c r="D176" s="89" t="s">
        <v>192</v>
      </c>
      <c r="E176" s="26"/>
      <c r="F176" s="162">
        <f>F172</f>
        <v>12.494033479358265</v>
      </c>
      <c r="H176" s="148"/>
    </row>
    <row r="177" spans="1:15" x14ac:dyDescent="0.25">
      <c r="A177" s="272"/>
      <c r="C177" s="3"/>
      <c r="D177" s="90"/>
      <c r="E177" s="89" t="s">
        <v>208</v>
      </c>
      <c r="G177" s="122">
        <v>1</v>
      </c>
      <c r="H177" s="148">
        <f>I177*$H$167</f>
        <v>705.05555555555566</v>
      </c>
      <c r="I177" s="160">
        <f>D149</f>
        <v>7050.5555555555566</v>
      </c>
      <c r="J177" s="122">
        <v>20</v>
      </c>
      <c r="K177" s="122">
        <v>2024</v>
      </c>
      <c r="L177" s="122">
        <f>L173</f>
        <v>3224.52</v>
      </c>
    </row>
    <row r="178" spans="1:15" x14ac:dyDescent="0.25">
      <c r="A178" s="272" t="s">
        <v>593</v>
      </c>
      <c r="C178" s="272" t="str">
        <f>SEC_Processes!D11</f>
        <v>IFCEAFP-N</v>
      </c>
      <c r="D178" s="90" t="s">
        <v>194</v>
      </c>
      <c r="E178" s="89"/>
      <c r="F178" s="168">
        <f>H156</f>
        <v>11.045999999999999</v>
      </c>
      <c r="H178" s="148"/>
    </row>
    <row r="179" spans="1:15" x14ac:dyDescent="0.25">
      <c r="C179" s="3"/>
      <c r="D179" s="90" t="s">
        <v>556</v>
      </c>
      <c r="E179" s="89"/>
      <c r="F179" s="168">
        <f>H155</f>
        <v>5.8455000000000004</v>
      </c>
      <c r="H179" s="148"/>
    </row>
    <row r="180" spans="1:15" x14ac:dyDescent="0.25">
      <c r="C180" s="3"/>
      <c r="D180" s="90" t="s">
        <v>192</v>
      </c>
      <c r="E180" s="26"/>
      <c r="F180" s="168">
        <f>H154</f>
        <v>8.64</v>
      </c>
      <c r="H180" s="148"/>
    </row>
    <row r="181" spans="1:15" x14ac:dyDescent="0.25">
      <c r="C181" s="3"/>
      <c r="D181" s="3"/>
      <c r="E181" s="90" t="s">
        <v>208</v>
      </c>
      <c r="G181" s="122">
        <v>1</v>
      </c>
      <c r="H181" s="148">
        <f>I181*$H$167</f>
        <v>1007.2222222222225</v>
      </c>
      <c r="I181" s="148">
        <f>H149</f>
        <v>10072.222222222224</v>
      </c>
      <c r="J181" s="122">
        <v>20</v>
      </c>
      <c r="K181" s="122">
        <v>2028</v>
      </c>
      <c r="L181" s="122">
        <f>L177</f>
        <v>3224.52</v>
      </c>
      <c r="M181" s="122">
        <v>0.8</v>
      </c>
      <c r="O181" s="122" t="s">
        <v>620</v>
      </c>
    </row>
    <row r="182" spans="1:15" x14ac:dyDescent="0.25">
      <c r="A182" s="122" t="s">
        <v>594</v>
      </c>
      <c r="C182" s="272" t="str">
        <f>SEC_Processes!D12</f>
        <v>IFCEAFPB-N</v>
      </c>
      <c r="D182" s="90" t="s">
        <v>194</v>
      </c>
      <c r="E182" s="89"/>
      <c r="F182" s="168">
        <f>J156</f>
        <v>5.5229999999999997</v>
      </c>
      <c r="H182" s="148"/>
    </row>
    <row r="183" spans="1:15" x14ac:dyDescent="0.25">
      <c r="C183" s="3"/>
      <c r="D183" s="90" t="s">
        <v>556</v>
      </c>
      <c r="E183" s="89"/>
      <c r="F183" s="168">
        <f>J155</f>
        <v>5.8455000000000004</v>
      </c>
      <c r="H183" s="148"/>
    </row>
    <row r="184" spans="1:15" x14ac:dyDescent="0.25">
      <c r="C184" s="3"/>
      <c r="D184" s="90" t="s">
        <v>192</v>
      </c>
      <c r="E184" s="26"/>
      <c r="F184" s="168">
        <f>J154</f>
        <v>8.64</v>
      </c>
      <c r="H184" s="148"/>
    </row>
    <row r="185" spans="1:15" x14ac:dyDescent="0.25">
      <c r="C185" s="3"/>
      <c r="D185" s="90" t="s">
        <v>533</v>
      </c>
      <c r="E185" s="33"/>
      <c r="F185" s="168">
        <f>J157</f>
        <v>5.5229999999999997</v>
      </c>
      <c r="H185" s="148"/>
    </row>
    <row r="186" spans="1:15" x14ac:dyDescent="0.25">
      <c r="C186" s="3"/>
      <c r="D186" s="3"/>
      <c r="E186" s="90" t="s">
        <v>208</v>
      </c>
      <c r="G186" s="122">
        <v>1</v>
      </c>
      <c r="H186" s="148">
        <f>I186*$H$167</f>
        <v>1107.9444444444448</v>
      </c>
      <c r="I186" s="148">
        <f>J149</f>
        <v>11079.444444444447</v>
      </c>
      <c r="J186" s="122">
        <v>20</v>
      </c>
      <c r="K186" s="122">
        <v>2035</v>
      </c>
      <c r="L186" s="168">
        <f>L181*(J158-J157)/D158</f>
        <v>1347.4799123919686</v>
      </c>
    </row>
    <row r="187" spans="1:15" x14ac:dyDescent="0.25">
      <c r="C187" s="3"/>
    </row>
    <row r="188" spans="1:15" x14ac:dyDescent="0.25">
      <c r="C188" s="3"/>
      <c r="D188" s="3"/>
      <c r="E188" s="90"/>
    </row>
    <row r="189" spans="1:15" x14ac:dyDescent="0.25">
      <c r="C189" s="3"/>
      <c r="D189" s="3"/>
      <c r="E189" s="90"/>
    </row>
    <row r="190" spans="1:15" ht="18.75" customHeight="1" x14ac:dyDescent="0.25">
      <c r="B190" s="145" t="s">
        <v>618</v>
      </c>
      <c r="C190" s="3"/>
      <c r="D190" s="3"/>
      <c r="E190" s="90"/>
    </row>
    <row r="191" spans="1:15" ht="18.75" customHeight="1" x14ac:dyDescent="0.25">
      <c r="C191" s="3"/>
      <c r="D191" s="3"/>
      <c r="E191" s="90"/>
    </row>
    <row r="192" spans="1:15" ht="18.75" customHeight="1" x14ac:dyDescent="0.25">
      <c r="C192" s="314" t="s">
        <v>535</v>
      </c>
      <c r="D192" s="3"/>
      <c r="E192" s="90"/>
    </row>
    <row r="193" spans="1:27" x14ac:dyDescent="0.25">
      <c r="C193" s="316" t="s">
        <v>503</v>
      </c>
      <c r="D193" s="316" t="s">
        <v>555</v>
      </c>
      <c r="E193" s="316">
        <v>2017</v>
      </c>
    </row>
    <row r="194" spans="1:27" x14ac:dyDescent="0.25">
      <c r="C194" s="272" t="str">
        <f>C170</f>
        <v>IFCEAF-E</v>
      </c>
      <c r="D194" s="272" t="s">
        <v>619</v>
      </c>
      <c r="E194" s="160">
        <v>0.6</v>
      </c>
    </row>
    <row r="195" spans="1:27" ht="12" customHeight="1" x14ac:dyDescent="0.25">
      <c r="C195" s="272" t="str">
        <f>C174</f>
        <v>IFCEAF-N</v>
      </c>
      <c r="D195" s="272" t="s">
        <v>619</v>
      </c>
      <c r="E195" s="160">
        <v>0.6</v>
      </c>
    </row>
    <row r="196" spans="1:27" x14ac:dyDescent="0.25">
      <c r="C196" s="272" t="str">
        <f>C178</f>
        <v>IFCEAFP-N</v>
      </c>
      <c r="D196" s="272" t="s">
        <v>619</v>
      </c>
      <c r="E196" s="160">
        <v>0.6</v>
      </c>
    </row>
    <row r="197" spans="1:27" x14ac:dyDescent="0.25">
      <c r="C197" s="272" t="str">
        <f>C182</f>
        <v>IFCEAFPB-N</v>
      </c>
      <c r="D197" s="272" t="s">
        <v>619</v>
      </c>
      <c r="E197" s="160">
        <v>0.6</v>
      </c>
    </row>
    <row r="198" spans="1:27" x14ac:dyDescent="0.25">
      <c r="C198" s="3"/>
      <c r="D198" s="3"/>
      <c r="E198" s="90"/>
    </row>
    <row r="199" spans="1:27" ht="23.25" x14ac:dyDescent="0.35">
      <c r="A199" s="175" t="s">
        <v>577</v>
      </c>
    </row>
    <row r="201" spans="1:27" ht="23.25" x14ac:dyDescent="0.35">
      <c r="B201" s="319" t="s">
        <v>561</v>
      </c>
      <c r="C201" s="124"/>
      <c r="D201" s="124"/>
      <c r="E201" s="124"/>
      <c r="F201" s="124"/>
      <c r="G201" s="124"/>
      <c r="H201" s="124"/>
      <c r="I201" s="124"/>
      <c r="J201" s="124"/>
      <c r="K201" s="124"/>
      <c r="L201" s="124"/>
      <c r="M201" s="124"/>
      <c r="N201" s="125"/>
      <c r="Q201" s="175" t="s">
        <v>339</v>
      </c>
    </row>
    <row r="202" spans="1:27" x14ac:dyDescent="0.25">
      <c r="B202" s="131" t="s">
        <v>560</v>
      </c>
      <c r="N202" s="127"/>
    </row>
    <row r="203" spans="1:27" x14ac:dyDescent="0.25">
      <c r="B203" s="131"/>
      <c r="D203" s="145" t="s">
        <v>567</v>
      </c>
      <c r="N203" s="127"/>
      <c r="R203" s="122" t="s">
        <v>391</v>
      </c>
    </row>
    <row r="204" spans="1:27" x14ac:dyDescent="0.25">
      <c r="B204" s="149" t="s">
        <v>562</v>
      </c>
      <c r="D204" s="145">
        <f>SUM(D205:D208)</f>
        <v>880</v>
      </c>
      <c r="N204" s="127"/>
      <c r="R204" s="176" t="s">
        <v>392</v>
      </c>
      <c r="S204" s="124"/>
      <c r="T204" s="124" t="s">
        <v>393</v>
      </c>
      <c r="U204" s="177">
        <v>2012</v>
      </c>
      <c r="V204" s="177">
        <v>2013</v>
      </c>
      <c r="W204" s="177">
        <v>2014</v>
      </c>
      <c r="X204" s="177">
        <v>2015</v>
      </c>
      <c r="Y204" s="177">
        <v>2016</v>
      </c>
      <c r="Z204" s="177">
        <v>2017</v>
      </c>
      <c r="AA204" s="125"/>
    </row>
    <row r="205" spans="1:27" x14ac:dyDescent="0.25">
      <c r="B205" s="131"/>
      <c r="C205" s="122" t="s">
        <v>563</v>
      </c>
      <c r="D205" s="122">
        <v>130</v>
      </c>
      <c r="N205" s="127"/>
      <c r="R205" s="131" t="s">
        <v>394</v>
      </c>
      <c r="T205" s="122" t="s">
        <v>395</v>
      </c>
      <c r="U205" s="178">
        <v>3063000</v>
      </c>
      <c r="V205" s="178">
        <v>3219000</v>
      </c>
      <c r="W205" s="178">
        <v>3719000</v>
      </c>
      <c r="X205" s="178">
        <v>3685000</v>
      </c>
      <c r="Y205" s="178">
        <v>3334705.7</v>
      </c>
      <c r="Z205" s="178">
        <v>3370941.2</v>
      </c>
      <c r="AA205" s="127"/>
    </row>
    <row r="206" spans="1:27" x14ac:dyDescent="0.25">
      <c r="B206" s="131"/>
      <c r="C206" s="122" t="s">
        <v>564</v>
      </c>
      <c r="D206" s="122">
        <v>310</v>
      </c>
      <c r="N206" s="127"/>
      <c r="R206" s="131" t="s">
        <v>396</v>
      </c>
      <c r="T206" s="122" t="s">
        <v>395</v>
      </c>
      <c r="U206" s="178">
        <v>706000</v>
      </c>
      <c r="V206" s="178">
        <v>681000</v>
      </c>
      <c r="W206" s="178">
        <v>814263</v>
      </c>
      <c r="X206" s="178">
        <v>492000</v>
      </c>
      <c r="Y206" s="178">
        <v>684016.60000000009</v>
      </c>
      <c r="Z206" s="178">
        <v>707122.60000000009</v>
      </c>
      <c r="AA206" s="127"/>
    </row>
    <row r="207" spans="1:27" x14ac:dyDescent="0.25">
      <c r="B207" s="131"/>
      <c r="C207" s="122" t="s">
        <v>565</v>
      </c>
      <c r="D207" s="122">
        <v>275</v>
      </c>
      <c r="N207" s="127"/>
      <c r="R207" s="131" t="s">
        <v>397</v>
      </c>
      <c r="T207" s="122" t="s">
        <v>395</v>
      </c>
      <c r="U207" s="178">
        <v>177000</v>
      </c>
      <c r="V207" s="178">
        <v>163000</v>
      </c>
      <c r="W207" s="178">
        <v>194737</v>
      </c>
      <c r="X207" s="178">
        <v>123000</v>
      </c>
      <c r="Y207" s="178">
        <v>163139.26354372373</v>
      </c>
      <c r="Z207" s="178">
        <v>155493.5440824645</v>
      </c>
      <c r="AA207" s="127"/>
    </row>
    <row r="208" spans="1:27" x14ac:dyDescent="0.25">
      <c r="B208" s="131"/>
      <c r="C208" s="122" t="s">
        <v>566</v>
      </c>
      <c r="D208" s="122">
        <v>165</v>
      </c>
      <c r="N208" s="127"/>
      <c r="R208" s="131" t="s">
        <v>398</v>
      </c>
      <c r="T208" s="122" t="s">
        <v>395</v>
      </c>
      <c r="U208" s="178">
        <v>83100</v>
      </c>
      <c r="V208" s="178">
        <v>78400</v>
      </c>
      <c r="W208" s="178">
        <v>87700</v>
      </c>
      <c r="X208" s="178">
        <v>138000</v>
      </c>
      <c r="Y208" s="178">
        <v>105948</v>
      </c>
      <c r="Z208" s="178">
        <v>104183</v>
      </c>
      <c r="AA208" s="127"/>
    </row>
    <row r="209" spans="2:33" x14ac:dyDescent="0.25">
      <c r="B209" s="131"/>
      <c r="N209" s="127"/>
      <c r="R209" s="131" t="s">
        <v>399</v>
      </c>
      <c r="T209" s="122" t="s">
        <v>395</v>
      </c>
      <c r="U209" s="178">
        <v>53000</v>
      </c>
      <c r="V209" s="178">
        <v>34000</v>
      </c>
      <c r="W209" s="178">
        <v>47200</v>
      </c>
      <c r="X209" s="178">
        <v>42600</v>
      </c>
      <c r="Y209" s="178">
        <v>38251.659999999996</v>
      </c>
      <c r="Z209" s="178">
        <v>35013.760000000002</v>
      </c>
      <c r="AA209" s="127"/>
    </row>
    <row r="210" spans="2:33" x14ac:dyDescent="0.25">
      <c r="B210" s="149" t="s">
        <v>568</v>
      </c>
      <c r="D210" s="145">
        <f>SUM(D211:D216)</f>
        <v>1363</v>
      </c>
      <c r="F210" s="320" t="s">
        <v>569</v>
      </c>
      <c r="H210" s="122">
        <v>7.6</v>
      </c>
      <c r="I210" s="122" t="s">
        <v>570</v>
      </c>
      <c r="N210" s="127"/>
      <c r="R210" s="137"/>
      <c r="S210" s="138"/>
      <c r="T210" s="138"/>
      <c r="U210" s="138"/>
      <c r="V210" s="138"/>
      <c r="W210" s="138"/>
      <c r="X210" s="138"/>
      <c r="Y210" s="138"/>
      <c r="Z210" s="138"/>
      <c r="AA210" s="139"/>
    </row>
    <row r="211" spans="2:33" x14ac:dyDescent="0.25">
      <c r="B211" s="131"/>
      <c r="C211" s="122" t="s">
        <v>571</v>
      </c>
      <c r="D211" s="122">
        <v>270</v>
      </c>
      <c r="N211" s="127"/>
    </row>
    <row r="212" spans="2:33" x14ac:dyDescent="0.25">
      <c r="B212" s="131"/>
      <c r="C212" s="122" t="s">
        <v>572</v>
      </c>
      <c r="D212" s="122">
        <v>286</v>
      </c>
      <c r="I212" s="176" t="s">
        <v>578</v>
      </c>
      <c r="J212" s="124"/>
      <c r="K212" s="124"/>
      <c r="L212" s="124"/>
      <c r="M212" s="124"/>
      <c r="N212" s="125"/>
    </row>
    <row r="213" spans="2:33" x14ac:dyDescent="0.25">
      <c r="B213" s="131"/>
      <c r="C213" s="122" t="s">
        <v>573</v>
      </c>
      <c r="D213" s="122">
        <v>245</v>
      </c>
      <c r="I213" s="131" t="s">
        <v>579</v>
      </c>
      <c r="N213" s="127"/>
      <c r="R213" s="122" t="s">
        <v>400</v>
      </c>
    </row>
    <row r="214" spans="2:33" x14ac:dyDescent="0.25">
      <c r="B214" s="131"/>
      <c r="C214" s="122" t="s">
        <v>574</v>
      </c>
      <c r="D214" s="122">
        <v>220</v>
      </c>
      <c r="I214" s="131" t="s">
        <v>580</v>
      </c>
      <c r="N214" s="127"/>
      <c r="R214" s="123"/>
      <c r="S214" s="124"/>
      <c r="T214" s="124"/>
      <c r="U214" s="124"/>
      <c r="V214" s="124"/>
      <c r="W214" s="124"/>
      <c r="X214" s="124"/>
      <c r="Y214" s="124"/>
      <c r="Z214" s="124"/>
      <c r="AA214" s="125"/>
      <c r="AE214" s="177">
        <v>2015</v>
      </c>
      <c r="AF214" s="177">
        <v>2016</v>
      </c>
      <c r="AG214" s="177">
        <v>2017</v>
      </c>
    </row>
    <row r="215" spans="2:33" x14ac:dyDescent="0.25">
      <c r="B215" s="131"/>
      <c r="C215" s="122" t="s">
        <v>575</v>
      </c>
      <c r="D215" s="122">
        <v>140</v>
      </c>
      <c r="I215" s="131"/>
      <c r="N215" s="127"/>
      <c r="R215" s="131" t="s">
        <v>401</v>
      </c>
      <c r="U215" s="146">
        <f t="shared" ref="U215:Z215" si="6">U205</f>
        <v>3063000</v>
      </c>
      <c r="V215" s="146">
        <f t="shared" si="6"/>
        <v>3219000</v>
      </c>
      <c r="W215" s="146">
        <f t="shared" si="6"/>
        <v>3719000</v>
      </c>
      <c r="X215" s="146">
        <f t="shared" si="6"/>
        <v>3685000</v>
      </c>
      <c r="Y215" s="146">
        <f t="shared" si="6"/>
        <v>3334705.7</v>
      </c>
      <c r="Z215" s="146">
        <f t="shared" si="6"/>
        <v>3370941.2</v>
      </c>
      <c r="AA215" s="127"/>
      <c r="AD215" s="131" t="s">
        <v>401</v>
      </c>
      <c r="AE215" s="178">
        <v>3685000</v>
      </c>
      <c r="AF215" s="178">
        <v>3334705.7</v>
      </c>
      <c r="AG215" s="178">
        <v>3370941.2</v>
      </c>
    </row>
    <row r="216" spans="2:33" x14ac:dyDescent="0.25">
      <c r="B216" s="131"/>
      <c r="C216" s="122" t="s">
        <v>576</v>
      </c>
      <c r="D216" s="122">
        <v>202</v>
      </c>
      <c r="I216" s="131"/>
      <c r="N216" s="127"/>
      <c r="R216" s="131" t="s">
        <v>402</v>
      </c>
      <c r="U216" s="146">
        <f t="shared" ref="U216:Z216" si="7">U206+U207</f>
        <v>883000</v>
      </c>
      <c r="V216" s="146">
        <f t="shared" si="7"/>
        <v>844000</v>
      </c>
      <c r="W216" s="146">
        <f t="shared" si="7"/>
        <v>1009000</v>
      </c>
      <c r="X216" s="146">
        <f t="shared" si="7"/>
        <v>615000</v>
      </c>
      <c r="Y216" s="146">
        <f t="shared" si="7"/>
        <v>847155.86354372383</v>
      </c>
      <c r="Z216" s="146">
        <f t="shared" si="7"/>
        <v>862616.14408246463</v>
      </c>
      <c r="AA216" s="127"/>
      <c r="AD216" s="131" t="s">
        <v>402</v>
      </c>
      <c r="AE216" s="178">
        <v>615000</v>
      </c>
      <c r="AF216" s="178">
        <v>847155.86354372383</v>
      </c>
      <c r="AG216" s="178">
        <v>862616.14408246463</v>
      </c>
    </row>
    <row r="217" spans="2:33" x14ac:dyDescent="0.25">
      <c r="B217" s="131"/>
      <c r="I217" s="131"/>
      <c r="N217" s="127"/>
      <c r="R217" s="131" t="s">
        <v>403</v>
      </c>
      <c r="U217" s="146">
        <f t="shared" ref="U217:Z217" si="8">U208+U209</f>
        <v>136100</v>
      </c>
      <c r="V217" s="146">
        <f t="shared" si="8"/>
        <v>112400</v>
      </c>
      <c r="W217" s="146">
        <f t="shared" si="8"/>
        <v>134900</v>
      </c>
      <c r="X217" s="146">
        <f t="shared" si="8"/>
        <v>180600</v>
      </c>
      <c r="Y217" s="146">
        <f t="shared" si="8"/>
        <v>144199.66</v>
      </c>
      <c r="Z217" s="146">
        <f t="shared" si="8"/>
        <v>139196.76</v>
      </c>
      <c r="AA217" s="127"/>
      <c r="AD217" s="131" t="s">
        <v>403</v>
      </c>
      <c r="AE217" s="178">
        <v>180600</v>
      </c>
      <c r="AF217" s="178">
        <v>144199.66</v>
      </c>
      <c r="AG217" s="178">
        <v>139196.76</v>
      </c>
    </row>
    <row r="218" spans="2:33" x14ac:dyDescent="0.25">
      <c r="B218" s="131"/>
      <c r="I218" s="131"/>
      <c r="N218" s="127"/>
      <c r="R218" s="131"/>
      <c r="U218" s="146">
        <f t="shared" ref="U218:Z218" si="9">SUM(U215:U217)</f>
        <v>4082100</v>
      </c>
      <c r="V218" s="146">
        <f t="shared" si="9"/>
        <v>4175400</v>
      </c>
      <c r="W218" s="146">
        <f t="shared" si="9"/>
        <v>4862900</v>
      </c>
      <c r="X218" s="146">
        <f t="shared" si="9"/>
        <v>4480600</v>
      </c>
      <c r="Y218" s="146">
        <f t="shared" si="9"/>
        <v>4326061.223543724</v>
      </c>
      <c r="Z218" s="146">
        <f t="shared" si="9"/>
        <v>4372754.1040824642</v>
      </c>
      <c r="AA218" s="127"/>
      <c r="AD218" s="131" t="s">
        <v>404</v>
      </c>
      <c r="AE218" s="178">
        <v>4480600</v>
      </c>
      <c r="AF218" s="178">
        <v>4326061.223543724</v>
      </c>
      <c r="AG218" s="178">
        <v>4372754.1040824642</v>
      </c>
    </row>
    <row r="219" spans="2:33" x14ac:dyDescent="0.25">
      <c r="B219" s="137"/>
      <c r="C219" s="138"/>
      <c r="D219" s="138"/>
      <c r="E219" s="138"/>
      <c r="F219" s="138"/>
      <c r="G219" s="138"/>
      <c r="H219" s="138"/>
      <c r="I219" s="137"/>
      <c r="J219" s="138"/>
      <c r="K219" s="138"/>
      <c r="L219" s="138"/>
      <c r="M219" s="138"/>
      <c r="N219" s="139"/>
      <c r="R219" s="137"/>
      <c r="S219" s="138"/>
      <c r="T219" s="138"/>
      <c r="U219" s="138"/>
      <c r="V219" s="138"/>
      <c r="W219" s="138"/>
      <c r="X219" s="138"/>
      <c r="Y219" s="138"/>
      <c r="Z219" s="138"/>
      <c r="AA219" s="139"/>
    </row>
    <row r="222" spans="2:33" x14ac:dyDescent="0.25">
      <c r="B222" s="136" t="s">
        <v>285</v>
      </c>
    </row>
    <row r="223" spans="2:33" ht="23.25" x14ac:dyDescent="0.35">
      <c r="B223" s="123" t="s">
        <v>286</v>
      </c>
      <c r="C223" s="124"/>
      <c r="D223" s="124"/>
      <c r="E223" s="124"/>
      <c r="F223" s="124"/>
      <c r="G223" s="124"/>
      <c r="H223" s="124"/>
      <c r="I223" s="124"/>
      <c r="J223" s="124"/>
      <c r="K223" s="124"/>
      <c r="L223" s="124"/>
      <c r="M223" s="124"/>
      <c r="N223" s="125"/>
      <c r="Q223" s="175" t="s">
        <v>214</v>
      </c>
    </row>
    <row r="224" spans="2:33" x14ac:dyDescent="0.25">
      <c r="B224" s="131"/>
      <c r="N224" s="127"/>
    </row>
    <row r="225" spans="2:27" ht="63" x14ac:dyDescent="0.25">
      <c r="B225" s="149" t="s">
        <v>287</v>
      </c>
      <c r="N225" s="127"/>
      <c r="R225" s="123"/>
      <c r="S225" s="124"/>
      <c r="T225" s="179" t="s">
        <v>405</v>
      </c>
      <c r="U225" s="125"/>
    </row>
    <row r="226" spans="2:27" x14ac:dyDescent="0.25">
      <c r="B226" s="131">
        <v>4100</v>
      </c>
      <c r="C226" s="122" t="s">
        <v>175</v>
      </c>
      <c r="N226" s="127"/>
      <c r="R226" s="131" t="s">
        <v>394</v>
      </c>
      <c r="T226" s="178">
        <v>3719000</v>
      </c>
      <c r="U226" s="127"/>
    </row>
    <row r="227" spans="2:27" x14ac:dyDescent="0.25">
      <c r="B227" s="131"/>
      <c r="N227" s="127"/>
      <c r="R227" s="131" t="s">
        <v>396</v>
      </c>
      <c r="T227" s="178">
        <v>814263</v>
      </c>
      <c r="U227" s="127"/>
    </row>
    <row r="228" spans="2:27" x14ac:dyDescent="0.25">
      <c r="B228" s="149" t="s">
        <v>289</v>
      </c>
      <c r="N228" s="127"/>
      <c r="R228" s="131" t="s">
        <v>397</v>
      </c>
      <c r="T228" s="178">
        <v>350000</v>
      </c>
      <c r="U228" s="127"/>
    </row>
    <row r="229" spans="2:27" x14ac:dyDescent="0.25">
      <c r="B229" s="131" t="s">
        <v>294</v>
      </c>
      <c r="N229" s="127"/>
      <c r="R229" s="131" t="s">
        <v>398</v>
      </c>
      <c r="T229" s="178">
        <v>148900</v>
      </c>
      <c r="U229" s="127"/>
    </row>
    <row r="230" spans="2:27" x14ac:dyDescent="0.25">
      <c r="B230" s="131">
        <v>4800</v>
      </c>
      <c r="C230" s="122" t="s">
        <v>175</v>
      </c>
      <c r="N230" s="127"/>
      <c r="R230" s="131" t="s">
        <v>399</v>
      </c>
      <c r="T230" s="178">
        <v>58800</v>
      </c>
      <c r="U230" s="127"/>
    </row>
    <row r="231" spans="2:27" x14ac:dyDescent="0.25">
      <c r="B231" s="131"/>
      <c r="N231" s="127"/>
      <c r="R231" s="137"/>
      <c r="S231" s="138"/>
      <c r="T231" s="138"/>
      <c r="U231" s="139"/>
    </row>
    <row r="232" spans="2:27" x14ac:dyDescent="0.25">
      <c r="B232" s="149" t="s">
        <v>239</v>
      </c>
      <c r="N232" s="127"/>
    </row>
    <row r="233" spans="2:27" x14ac:dyDescent="0.25">
      <c r="B233" s="131" t="s">
        <v>296</v>
      </c>
      <c r="N233" s="127"/>
    </row>
    <row r="234" spans="2:27" x14ac:dyDescent="0.25">
      <c r="B234" s="131" t="s">
        <v>298</v>
      </c>
      <c r="N234" s="127"/>
      <c r="R234" s="122" t="s">
        <v>406</v>
      </c>
    </row>
    <row r="235" spans="2:27" x14ac:dyDescent="0.25">
      <c r="B235" s="131">
        <v>3500</v>
      </c>
      <c r="C235" s="122" t="s">
        <v>175</v>
      </c>
      <c r="N235" s="127"/>
      <c r="R235" s="123"/>
      <c r="S235" s="124"/>
      <c r="T235" s="124"/>
      <c r="U235" s="124"/>
      <c r="V235" s="124"/>
      <c r="W235" s="124"/>
      <c r="X235" s="124"/>
      <c r="Y235" s="124"/>
      <c r="Z235" s="124"/>
      <c r="AA235" s="125"/>
    </row>
    <row r="236" spans="2:27" x14ac:dyDescent="0.25">
      <c r="B236" s="131"/>
      <c r="N236" s="127"/>
      <c r="R236" s="131" t="s">
        <v>401</v>
      </c>
      <c r="T236" s="146">
        <f>T226</f>
        <v>3719000</v>
      </c>
      <c r="V236" s="122">
        <f>T236/$T$239</f>
        <v>0.73051012156246276</v>
      </c>
      <c r="AA236" s="127"/>
    </row>
    <row r="237" spans="2:27" x14ac:dyDescent="0.25">
      <c r="B237" s="149" t="s">
        <v>297</v>
      </c>
      <c r="N237" s="127"/>
      <c r="R237" s="131" t="s">
        <v>402</v>
      </c>
      <c r="T237" s="146">
        <f>T228+T227</f>
        <v>1164263</v>
      </c>
      <c r="V237" s="122">
        <f>T237/$T$239</f>
        <v>0.2286920961711959</v>
      </c>
      <c r="AA237" s="127"/>
    </row>
    <row r="238" spans="2:27" x14ac:dyDescent="0.25">
      <c r="B238" s="131" t="s">
        <v>301</v>
      </c>
      <c r="N238" s="127"/>
      <c r="R238" s="131" t="s">
        <v>403</v>
      </c>
      <c r="T238" s="146">
        <f>T230+T229</f>
        <v>207700</v>
      </c>
      <c r="V238" s="122">
        <f>T238/$T$239</f>
        <v>4.0797782266341356E-2</v>
      </c>
      <c r="AA238" s="127"/>
    </row>
    <row r="239" spans="2:27" x14ac:dyDescent="0.25">
      <c r="B239" s="131" t="s">
        <v>302</v>
      </c>
      <c r="N239" s="127"/>
      <c r="R239" s="131" t="s">
        <v>407</v>
      </c>
      <c r="T239" s="146">
        <f>SUM(T236:T238)</f>
        <v>5090963</v>
      </c>
      <c r="AA239" s="127"/>
    </row>
    <row r="240" spans="2:27" x14ac:dyDescent="0.25">
      <c r="B240" s="131">
        <v>2400</v>
      </c>
      <c r="C240" s="122" t="s">
        <v>175</v>
      </c>
      <c r="N240" s="127"/>
      <c r="R240" s="137"/>
      <c r="S240" s="138"/>
      <c r="T240" s="138"/>
      <c r="U240" s="138"/>
      <c r="V240" s="138"/>
      <c r="W240" s="138"/>
      <c r="X240" s="138"/>
      <c r="Y240" s="138"/>
      <c r="Z240" s="138"/>
      <c r="AA240" s="139"/>
    </row>
    <row r="241" spans="2:28" x14ac:dyDescent="0.25">
      <c r="B241" s="131"/>
      <c r="N241" s="127"/>
    </row>
    <row r="242" spans="2:28" x14ac:dyDescent="0.25">
      <c r="B242" s="131"/>
      <c r="N242" s="127"/>
    </row>
    <row r="243" spans="2:28" x14ac:dyDescent="0.25">
      <c r="B243" s="131"/>
      <c r="N243" s="127"/>
    </row>
    <row r="244" spans="2:28" x14ac:dyDescent="0.25">
      <c r="B244" s="131"/>
      <c r="N244" s="127"/>
      <c r="R244" s="122" t="s">
        <v>408</v>
      </c>
    </row>
    <row r="245" spans="2:28" x14ac:dyDescent="0.25">
      <c r="B245" s="137"/>
      <c r="C245" s="138"/>
      <c r="D245" s="138"/>
      <c r="E245" s="138"/>
      <c r="F245" s="138"/>
      <c r="G245" s="138"/>
      <c r="H245" s="138"/>
      <c r="I245" s="138"/>
      <c r="J245" s="138"/>
      <c r="K245" s="138"/>
      <c r="L245" s="138"/>
      <c r="M245" s="138"/>
      <c r="N245" s="139"/>
      <c r="R245" s="123"/>
      <c r="S245" s="124"/>
      <c r="T245" s="124"/>
      <c r="U245" s="124"/>
      <c r="V245" s="124"/>
      <c r="W245" s="124"/>
      <c r="X245" s="124"/>
      <c r="Y245" s="124"/>
      <c r="Z245" s="124"/>
      <c r="AA245" s="124"/>
      <c r="AB245" s="125"/>
    </row>
    <row r="246" spans="2:28" x14ac:dyDescent="0.25">
      <c r="R246" s="180" t="s">
        <v>409</v>
      </c>
      <c r="S246" s="181" t="s">
        <v>410</v>
      </c>
      <c r="T246" s="182"/>
      <c r="U246" s="324" t="s">
        <v>411</v>
      </c>
      <c r="V246" s="325"/>
      <c r="W246" s="326" t="s">
        <v>412</v>
      </c>
      <c r="X246" s="326"/>
      <c r="Y246" s="326"/>
      <c r="AB246" s="127"/>
    </row>
    <row r="247" spans="2:28" ht="28.5" x14ac:dyDescent="0.25">
      <c r="B247" s="122" t="s">
        <v>312</v>
      </c>
      <c r="R247" s="183"/>
      <c r="S247" s="184"/>
      <c r="T247" s="185" t="s">
        <v>413</v>
      </c>
      <c r="U247" s="186" t="s">
        <v>21</v>
      </c>
      <c r="V247" s="187" t="s">
        <v>414</v>
      </c>
      <c r="W247" s="327" t="s">
        <v>415</v>
      </c>
      <c r="X247" s="327"/>
      <c r="Y247" s="188" t="s">
        <v>414</v>
      </c>
      <c r="AB247" s="127"/>
    </row>
    <row r="248" spans="2:28" ht="28.5" x14ac:dyDescent="0.25">
      <c r="B248" s="123"/>
      <c r="C248" s="124"/>
      <c r="D248" s="124"/>
      <c r="E248" s="124"/>
      <c r="F248" s="124"/>
      <c r="G248" s="124"/>
      <c r="H248" s="124"/>
      <c r="I248" s="124"/>
      <c r="J248" s="124"/>
      <c r="K248" s="124"/>
      <c r="L248" s="124"/>
      <c r="M248" s="124"/>
      <c r="N248" s="125"/>
      <c r="R248" s="189"/>
      <c r="S248" s="190" t="s">
        <v>416</v>
      </c>
      <c r="T248" s="191" t="s">
        <v>416</v>
      </c>
      <c r="U248" s="190" t="s">
        <v>417</v>
      </c>
      <c r="V248" s="192" t="s">
        <v>418</v>
      </c>
      <c r="W248" s="190" t="s">
        <v>416</v>
      </c>
      <c r="X248" s="193" t="s">
        <v>417</v>
      </c>
      <c r="Y248" s="190" t="s">
        <v>418</v>
      </c>
      <c r="AB248" s="127"/>
    </row>
    <row r="249" spans="2:28" x14ac:dyDescent="0.25">
      <c r="B249" s="131"/>
      <c r="C249" s="145" t="s">
        <v>315</v>
      </c>
      <c r="N249" s="127"/>
      <c r="R249" s="194">
        <v>2006</v>
      </c>
      <c r="S249" s="195">
        <v>3030</v>
      </c>
      <c r="T249" s="196">
        <v>353</v>
      </c>
      <c r="U249" s="195">
        <v>1352224</v>
      </c>
      <c r="V249" s="197">
        <v>3832</v>
      </c>
      <c r="W249" s="198">
        <v>2581</v>
      </c>
      <c r="X249" s="199">
        <v>10370421</v>
      </c>
      <c r="Y249" s="200">
        <v>4017</v>
      </c>
      <c r="AB249" s="127"/>
    </row>
    <row r="250" spans="2:28" x14ac:dyDescent="0.25">
      <c r="B250" s="131"/>
      <c r="C250" s="122">
        <v>4.2699999999999996</v>
      </c>
      <c r="D250" s="122" t="s">
        <v>317</v>
      </c>
      <c r="N250" s="127"/>
      <c r="R250" s="201">
        <v>2007</v>
      </c>
      <c r="S250" s="202">
        <v>3552</v>
      </c>
      <c r="T250" s="203">
        <v>395</v>
      </c>
      <c r="U250" s="202">
        <v>1995161</v>
      </c>
      <c r="V250" s="204">
        <v>5047</v>
      </c>
      <c r="W250" s="205">
        <v>2969</v>
      </c>
      <c r="X250" s="206">
        <v>15520338</v>
      </c>
      <c r="Y250" s="207">
        <v>5227</v>
      </c>
      <c r="AB250" s="127"/>
    </row>
    <row r="251" spans="2:28" x14ac:dyDescent="0.25">
      <c r="B251" s="131"/>
      <c r="C251" s="122">
        <v>0.69</v>
      </c>
      <c r="D251" s="122" t="s">
        <v>319</v>
      </c>
      <c r="N251" s="127"/>
      <c r="R251" s="201">
        <v>2008</v>
      </c>
      <c r="S251" s="202">
        <v>3269</v>
      </c>
      <c r="T251" s="203">
        <v>334</v>
      </c>
      <c r="U251" s="202">
        <v>3415822</v>
      </c>
      <c r="V251" s="204">
        <v>10227</v>
      </c>
      <c r="W251" s="205">
        <v>2525</v>
      </c>
      <c r="X251" s="206">
        <v>28355767</v>
      </c>
      <c r="Y251" s="205">
        <v>11230</v>
      </c>
      <c r="AB251" s="127"/>
    </row>
    <row r="252" spans="2:28" x14ac:dyDescent="0.25">
      <c r="B252" s="131"/>
      <c r="D252" s="122" t="s">
        <v>321</v>
      </c>
      <c r="N252" s="127"/>
      <c r="R252" s="201">
        <v>2009</v>
      </c>
      <c r="S252" s="202">
        <v>2346</v>
      </c>
      <c r="T252" s="203">
        <v>432</v>
      </c>
      <c r="U252" s="202">
        <v>2252973</v>
      </c>
      <c r="V252" s="204">
        <v>5215</v>
      </c>
      <c r="W252" s="205">
        <v>2621</v>
      </c>
      <c r="X252" s="206">
        <v>15881599</v>
      </c>
      <c r="Y252" s="207">
        <v>6059</v>
      </c>
      <c r="AB252" s="127"/>
    </row>
    <row r="253" spans="2:28" x14ac:dyDescent="0.25">
      <c r="B253" s="131"/>
      <c r="C253" s="122">
        <v>0.2</v>
      </c>
      <c r="D253" s="122" t="s">
        <v>322</v>
      </c>
      <c r="N253" s="127"/>
      <c r="R253" s="201">
        <v>2010</v>
      </c>
      <c r="S253" s="202">
        <v>3607</v>
      </c>
      <c r="T253" s="203">
        <v>397</v>
      </c>
      <c r="U253" s="202">
        <v>2851837</v>
      </c>
      <c r="V253" s="204">
        <v>7183</v>
      </c>
      <c r="W253" s="205">
        <v>3116</v>
      </c>
      <c r="X253" s="206">
        <v>24216069</v>
      </c>
      <c r="Y253" s="207">
        <v>7772</v>
      </c>
      <c r="AB253" s="127"/>
    </row>
    <row r="254" spans="2:28" x14ac:dyDescent="0.25">
      <c r="B254" s="131"/>
      <c r="C254" s="122">
        <v>0.27</v>
      </c>
      <c r="D254" s="122" t="s">
        <v>310</v>
      </c>
      <c r="N254" s="127"/>
      <c r="R254" s="201">
        <v>2011</v>
      </c>
      <c r="S254" s="202">
        <v>3426</v>
      </c>
      <c r="T254" s="203">
        <v>451</v>
      </c>
      <c r="U254" s="202">
        <v>3430563</v>
      </c>
      <c r="V254" s="204">
        <v>7620</v>
      </c>
      <c r="W254" s="205">
        <v>3048</v>
      </c>
      <c r="X254" s="206">
        <v>23793442</v>
      </c>
      <c r="Y254" s="207">
        <v>7817</v>
      </c>
      <c r="AB254" s="127"/>
    </row>
    <row r="255" spans="2:28" x14ac:dyDescent="0.25">
      <c r="B255" s="131"/>
      <c r="C255" s="122">
        <v>0.123</v>
      </c>
      <c r="D255" s="122" t="s">
        <v>313</v>
      </c>
      <c r="N255" s="127"/>
      <c r="R255" s="201">
        <v>2012</v>
      </c>
      <c r="S255" s="202">
        <v>3063</v>
      </c>
      <c r="T255" s="203">
        <v>443</v>
      </c>
      <c r="U255" s="202">
        <v>3402210</v>
      </c>
      <c r="V255" s="204">
        <v>7677</v>
      </c>
      <c r="W255" s="205">
        <v>2745</v>
      </c>
      <c r="X255" s="206">
        <v>22290876</v>
      </c>
      <c r="Y255" s="207">
        <v>8120</v>
      </c>
      <c r="AB255" s="127"/>
    </row>
    <row r="256" spans="2:28" x14ac:dyDescent="0.25">
      <c r="B256" s="131"/>
      <c r="N256" s="127"/>
      <c r="R256" s="201">
        <v>2013</v>
      </c>
      <c r="S256" s="202">
        <v>3219</v>
      </c>
      <c r="T256" s="203">
        <v>360</v>
      </c>
      <c r="U256" s="202">
        <v>2983322</v>
      </c>
      <c r="V256" s="204">
        <v>8286</v>
      </c>
      <c r="W256" s="205">
        <v>2802</v>
      </c>
      <c r="X256" s="206">
        <v>25552642</v>
      </c>
      <c r="Y256" s="207">
        <v>9120</v>
      </c>
      <c r="AB256" s="127"/>
    </row>
    <row r="257" spans="2:28" x14ac:dyDescent="0.25">
      <c r="B257" s="131"/>
      <c r="N257" s="127"/>
      <c r="R257" s="201">
        <v>2014</v>
      </c>
      <c r="S257" s="202">
        <v>3719</v>
      </c>
      <c r="T257" s="203">
        <v>571</v>
      </c>
      <c r="U257" s="202">
        <v>5105685</v>
      </c>
      <c r="V257" s="204">
        <v>8937</v>
      </c>
      <c r="W257" s="205">
        <v>3192</v>
      </c>
      <c r="X257" s="206">
        <v>31079849</v>
      </c>
      <c r="Y257" s="207">
        <v>9737</v>
      </c>
      <c r="AB257" s="127"/>
    </row>
    <row r="258" spans="2:28" x14ac:dyDescent="0.25">
      <c r="B258" s="131"/>
      <c r="N258" s="127"/>
      <c r="R258" s="201">
        <v>2015</v>
      </c>
      <c r="S258" s="202">
        <v>3685</v>
      </c>
      <c r="T258" s="203">
        <v>613</v>
      </c>
      <c r="U258" s="202">
        <v>5678536</v>
      </c>
      <c r="V258" s="204">
        <v>9265</v>
      </c>
      <c r="W258" s="205">
        <v>3101</v>
      </c>
      <c r="X258" s="206">
        <v>30284468</v>
      </c>
      <c r="Y258" s="207">
        <v>9767</v>
      </c>
      <c r="AB258" s="127"/>
    </row>
    <row r="259" spans="2:28" x14ac:dyDescent="0.25">
      <c r="B259" s="131"/>
      <c r="N259" s="127"/>
      <c r="R259" s="201">
        <v>2016</v>
      </c>
      <c r="S259" s="202">
        <v>3524</v>
      </c>
      <c r="T259" s="203">
        <v>533</v>
      </c>
      <c r="U259" s="202">
        <v>5192025</v>
      </c>
      <c r="V259" s="204">
        <v>9733</v>
      </c>
      <c r="W259" s="205">
        <v>3284</v>
      </c>
      <c r="X259" s="206">
        <v>33379185</v>
      </c>
      <c r="Y259" s="205">
        <v>10163</v>
      </c>
      <c r="AB259" s="127"/>
    </row>
    <row r="260" spans="2:28" x14ac:dyDescent="0.25">
      <c r="B260" s="131"/>
      <c r="N260" s="127"/>
      <c r="R260" s="208">
        <v>2017</v>
      </c>
      <c r="S260" s="209">
        <v>3484</v>
      </c>
      <c r="T260" s="210">
        <v>524</v>
      </c>
      <c r="U260" s="211">
        <v>6228617</v>
      </c>
      <c r="V260" s="212">
        <v>11770</v>
      </c>
      <c r="W260" s="213">
        <v>2951</v>
      </c>
      <c r="X260" s="214">
        <v>37461378</v>
      </c>
      <c r="Y260" s="213">
        <v>12649</v>
      </c>
      <c r="AB260" s="127"/>
    </row>
    <row r="261" spans="2:28" x14ac:dyDescent="0.25">
      <c r="B261" s="131"/>
      <c r="N261" s="127"/>
      <c r="R261" s="131"/>
      <c r="AB261" s="127"/>
    </row>
    <row r="262" spans="2:28" x14ac:dyDescent="0.25">
      <c r="B262" s="131"/>
      <c r="N262" s="127"/>
      <c r="R262" s="137"/>
      <c r="S262" s="138"/>
      <c r="T262" s="138"/>
      <c r="U262" s="138"/>
      <c r="V262" s="138"/>
      <c r="W262" s="138"/>
      <c r="X262" s="138"/>
      <c r="Y262" s="138"/>
      <c r="Z262" s="138"/>
      <c r="AA262" s="138"/>
      <c r="AB262" s="139"/>
    </row>
    <row r="263" spans="2:28" x14ac:dyDescent="0.25">
      <c r="B263" s="131"/>
      <c r="N263" s="127"/>
    </row>
    <row r="264" spans="2:28" x14ac:dyDescent="0.25">
      <c r="B264" s="131"/>
      <c r="N264" s="127"/>
    </row>
    <row r="265" spans="2:28" x14ac:dyDescent="0.25">
      <c r="B265" s="131"/>
      <c r="N265" s="127"/>
    </row>
    <row r="266" spans="2:28" x14ac:dyDescent="0.25">
      <c r="B266" s="131"/>
      <c r="N266" s="127"/>
    </row>
    <row r="267" spans="2:28" x14ac:dyDescent="0.25">
      <c r="B267" s="131"/>
      <c r="N267" s="127"/>
    </row>
    <row r="268" spans="2:28" x14ac:dyDescent="0.25">
      <c r="B268" s="131"/>
      <c r="N268" s="127"/>
    </row>
    <row r="269" spans="2:28" x14ac:dyDescent="0.25">
      <c r="B269" s="131"/>
      <c r="N269" s="127"/>
    </row>
    <row r="270" spans="2:28" x14ac:dyDescent="0.25">
      <c r="B270" s="131"/>
      <c r="N270" s="127"/>
    </row>
    <row r="271" spans="2:28" x14ac:dyDescent="0.25">
      <c r="B271" s="131"/>
      <c r="C271" s="145" t="s">
        <v>328</v>
      </c>
      <c r="N271" s="127"/>
    </row>
    <row r="272" spans="2:28" x14ac:dyDescent="0.25">
      <c r="B272" s="131"/>
      <c r="C272" s="122">
        <v>3.38</v>
      </c>
      <c r="D272" s="122" t="s">
        <v>331</v>
      </c>
      <c r="N272" s="127"/>
    </row>
    <row r="273" spans="2:14" x14ac:dyDescent="0.25">
      <c r="B273" s="131"/>
      <c r="C273" s="122">
        <v>0.61</v>
      </c>
      <c r="D273" s="122" t="s">
        <v>332</v>
      </c>
      <c r="N273" s="127"/>
    </row>
    <row r="274" spans="2:14" x14ac:dyDescent="0.25">
      <c r="B274" s="131"/>
      <c r="D274" s="122" t="s">
        <v>333</v>
      </c>
      <c r="N274" s="127"/>
    </row>
    <row r="275" spans="2:14" x14ac:dyDescent="0.25">
      <c r="B275" s="131"/>
      <c r="C275" s="122">
        <v>2.5999999999999999E-2</v>
      </c>
      <c r="D275" s="122" t="s">
        <v>322</v>
      </c>
      <c r="N275" s="127"/>
    </row>
    <row r="276" spans="2:14" x14ac:dyDescent="0.25">
      <c r="B276" s="131"/>
      <c r="C276" s="122">
        <v>0.29899999999999999</v>
      </c>
      <c r="D276" s="122" t="s">
        <v>310</v>
      </c>
      <c r="N276" s="127"/>
    </row>
    <row r="277" spans="2:14" x14ac:dyDescent="0.25">
      <c r="B277" s="131"/>
      <c r="C277" s="122">
        <v>0.245</v>
      </c>
      <c r="D277" s="122" t="s">
        <v>313</v>
      </c>
      <c r="N277" s="127"/>
    </row>
    <row r="278" spans="2:14" x14ac:dyDescent="0.25">
      <c r="B278" s="131"/>
      <c r="C278" s="122">
        <v>4.1000000000000002E-2</v>
      </c>
      <c r="D278" s="122" t="s">
        <v>314</v>
      </c>
      <c r="N278" s="127"/>
    </row>
    <row r="279" spans="2:14" x14ac:dyDescent="0.25">
      <c r="B279" s="131"/>
      <c r="N279" s="127"/>
    </row>
    <row r="280" spans="2:14" x14ac:dyDescent="0.25">
      <c r="B280" s="131"/>
      <c r="N280" s="127"/>
    </row>
    <row r="281" spans="2:14" x14ac:dyDescent="0.25">
      <c r="B281" s="131"/>
      <c r="N281" s="127"/>
    </row>
    <row r="282" spans="2:14" x14ac:dyDescent="0.25">
      <c r="B282" s="131"/>
      <c r="N282" s="127"/>
    </row>
    <row r="283" spans="2:14" x14ac:dyDescent="0.25">
      <c r="B283" s="131"/>
      <c r="N283" s="127"/>
    </row>
    <row r="284" spans="2:14" x14ac:dyDescent="0.25">
      <c r="B284" s="131"/>
      <c r="N284" s="127"/>
    </row>
    <row r="285" spans="2:14" x14ac:dyDescent="0.25">
      <c r="B285" s="131"/>
      <c r="N285" s="127"/>
    </row>
    <row r="286" spans="2:14" x14ac:dyDescent="0.25">
      <c r="B286" s="131"/>
      <c r="N286" s="127"/>
    </row>
    <row r="287" spans="2:14" x14ac:dyDescent="0.25">
      <c r="B287" s="131"/>
      <c r="N287" s="127"/>
    </row>
    <row r="288" spans="2:14" x14ac:dyDescent="0.25">
      <c r="B288" s="131"/>
      <c r="N288" s="127"/>
    </row>
    <row r="289" spans="2:17" x14ac:dyDescent="0.25">
      <c r="B289" s="131"/>
      <c r="N289" s="127"/>
    </row>
    <row r="290" spans="2:17" x14ac:dyDescent="0.25">
      <c r="B290" s="131"/>
      <c r="N290" s="127"/>
    </row>
    <row r="291" spans="2:17" x14ac:dyDescent="0.25">
      <c r="B291" s="131"/>
      <c r="N291" s="127"/>
    </row>
    <row r="292" spans="2:17" x14ac:dyDescent="0.25">
      <c r="B292" s="131"/>
      <c r="N292" s="127"/>
    </row>
    <row r="293" spans="2:17" x14ac:dyDescent="0.25">
      <c r="B293" s="131"/>
      <c r="N293" s="127"/>
    </row>
    <row r="294" spans="2:17" x14ac:dyDescent="0.25">
      <c r="B294" s="131"/>
      <c r="N294" s="127"/>
    </row>
    <row r="295" spans="2:17" x14ac:dyDescent="0.25">
      <c r="B295" s="131"/>
      <c r="N295" s="127"/>
    </row>
    <row r="296" spans="2:17" x14ac:dyDescent="0.25">
      <c r="B296" s="137"/>
      <c r="C296" s="138"/>
      <c r="D296" s="138"/>
      <c r="E296" s="138"/>
      <c r="F296" s="138"/>
      <c r="G296" s="138"/>
      <c r="H296" s="138"/>
      <c r="I296" s="138"/>
      <c r="J296" s="138"/>
      <c r="K296" s="138"/>
      <c r="L296" s="138"/>
      <c r="M296" s="138"/>
      <c r="N296" s="139"/>
    </row>
    <row r="300" spans="2:17" x14ac:dyDescent="0.25">
      <c r="B300" s="145" t="s">
        <v>548</v>
      </c>
      <c r="Q300" s="145" t="s">
        <v>624</v>
      </c>
    </row>
    <row r="301" spans="2:17" x14ac:dyDescent="0.25">
      <c r="B301" s="123" t="s">
        <v>342</v>
      </c>
      <c r="C301" s="124"/>
      <c r="D301" s="124"/>
      <c r="E301" s="124"/>
      <c r="F301" s="124"/>
      <c r="G301" s="124"/>
      <c r="H301" s="124"/>
      <c r="I301" s="124"/>
      <c r="J301" s="124"/>
      <c r="K301" s="124"/>
      <c r="L301" s="124"/>
      <c r="M301" s="124"/>
      <c r="N301" s="125"/>
    </row>
    <row r="302" spans="2:17" x14ac:dyDescent="0.25">
      <c r="B302" s="131" t="s">
        <v>344</v>
      </c>
      <c r="N302" s="127"/>
      <c r="Q302" s="122" t="s">
        <v>625</v>
      </c>
    </row>
    <row r="303" spans="2:17" x14ac:dyDescent="0.25">
      <c r="B303" s="131"/>
      <c r="N303" s="127"/>
      <c r="Q303" s="122" t="s">
        <v>626</v>
      </c>
    </row>
    <row r="304" spans="2:17" x14ac:dyDescent="0.25">
      <c r="B304" s="131" t="s">
        <v>347</v>
      </c>
      <c r="N304" s="127"/>
      <c r="Q304" s="122" t="s">
        <v>627</v>
      </c>
    </row>
    <row r="305" spans="2:14" x14ac:dyDescent="0.25">
      <c r="B305" s="165" t="s">
        <v>349</v>
      </c>
      <c r="N305" s="127"/>
    </row>
    <row r="306" spans="2:14" x14ac:dyDescent="0.25">
      <c r="B306" s="131" t="s">
        <v>214</v>
      </c>
      <c r="N306" s="127"/>
    </row>
    <row r="307" spans="2:14" x14ac:dyDescent="0.25">
      <c r="B307" s="137">
        <v>140</v>
      </c>
      <c r="C307" s="138" t="s">
        <v>350</v>
      </c>
      <c r="D307" s="138"/>
      <c r="E307" s="138"/>
      <c r="F307" s="138"/>
      <c r="G307" s="138"/>
      <c r="H307" s="138"/>
      <c r="I307" s="138"/>
      <c r="J307" s="138"/>
      <c r="K307" s="138"/>
      <c r="L307" s="138"/>
      <c r="M307" s="138"/>
      <c r="N307" s="139"/>
    </row>
    <row r="311" spans="2:14" x14ac:dyDescent="0.25">
      <c r="B311" s="122" t="s">
        <v>235</v>
      </c>
    </row>
    <row r="312" spans="2:14" x14ac:dyDescent="0.25">
      <c r="B312" s="132" t="s">
        <v>244</v>
      </c>
      <c r="C312" s="124"/>
      <c r="D312" s="124"/>
      <c r="E312" s="124"/>
      <c r="F312" s="124"/>
      <c r="G312" s="124"/>
      <c r="H312" s="124"/>
      <c r="I312" s="124"/>
      <c r="J312" s="124"/>
      <c r="K312" s="125"/>
    </row>
    <row r="313" spans="2:14" x14ac:dyDescent="0.25">
      <c r="B313" s="131"/>
      <c r="K313" s="127"/>
    </row>
    <row r="314" spans="2:14" x14ac:dyDescent="0.25">
      <c r="B314" s="131"/>
      <c r="K314" s="127"/>
    </row>
    <row r="315" spans="2:14" x14ac:dyDescent="0.25">
      <c r="B315" s="131">
        <v>4.9000000000000004</v>
      </c>
      <c r="C315" s="122" t="s">
        <v>251</v>
      </c>
      <c r="K315" s="127"/>
    </row>
    <row r="316" spans="2:14" x14ac:dyDescent="0.25">
      <c r="B316" s="131">
        <v>0.36</v>
      </c>
      <c r="C316" s="122" t="s">
        <v>255</v>
      </c>
      <c r="K316" s="127"/>
    </row>
    <row r="317" spans="2:14" x14ac:dyDescent="0.25">
      <c r="B317" s="131">
        <v>0.36</v>
      </c>
      <c r="C317" s="122" t="s">
        <v>256</v>
      </c>
      <c r="K317" s="127"/>
    </row>
    <row r="318" spans="2:14" x14ac:dyDescent="0.25">
      <c r="B318" s="131">
        <f>B315/B316</f>
        <v>13.611111111111112</v>
      </c>
      <c r="C318" s="122" t="s">
        <v>258</v>
      </c>
      <c r="K318" s="127"/>
    </row>
    <row r="319" spans="2:14" x14ac:dyDescent="0.25">
      <c r="B319" s="131"/>
      <c r="K319" s="127"/>
    </row>
    <row r="320" spans="2:14" x14ac:dyDescent="0.25">
      <c r="B320" s="137" t="s">
        <v>264</v>
      </c>
      <c r="C320" s="138"/>
      <c r="D320" s="138"/>
      <c r="E320" s="138"/>
      <c r="F320" s="138"/>
      <c r="G320" s="138"/>
      <c r="H320" s="138"/>
      <c r="I320" s="138"/>
      <c r="J320" s="138"/>
      <c r="K320" s="139"/>
    </row>
    <row r="322" spans="2:17" x14ac:dyDescent="0.25">
      <c r="B322" s="123"/>
      <c r="C322" s="124"/>
      <c r="D322" s="124"/>
      <c r="E322" s="124"/>
      <c r="F322" s="124"/>
      <c r="G322" s="124"/>
      <c r="H322" s="124"/>
      <c r="I322" s="124"/>
      <c r="J322" s="124"/>
      <c r="K322" s="125"/>
    </row>
    <row r="323" spans="2:17" x14ac:dyDescent="0.25">
      <c r="B323" s="141" t="s">
        <v>269</v>
      </c>
      <c r="K323" s="127"/>
    </row>
    <row r="324" spans="2:17" x14ac:dyDescent="0.25">
      <c r="B324" s="131"/>
      <c r="K324" s="127"/>
    </row>
    <row r="325" spans="2:17" x14ac:dyDescent="0.25">
      <c r="B325" s="131" t="s">
        <v>273</v>
      </c>
      <c r="K325" s="127"/>
    </row>
    <row r="326" spans="2:17" x14ac:dyDescent="0.25">
      <c r="B326" s="131">
        <v>3000</v>
      </c>
      <c r="C326" s="122" t="s">
        <v>275</v>
      </c>
      <c r="K326" s="127"/>
    </row>
    <row r="327" spans="2:17" x14ac:dyDescent="0.25">
      <c r="B327" s="131"/>
      <c r="K327" s="127"/>
    </row>
    <row r="328" spans="2:17" x14ac:dyDescent="0.25">
      <c r="B328" s="131">
        <v>22</v>
      </c>
      <c r="C328" s="122" t="s">
        <v>278</v>
      </c>
      <c r="K328" s="127"/>
    </row>
    <row r="329" spans="2:17" x14ac:dyDescent="0.25">
      <c r="B329" s="131">
        <v>13</v>
      </c>
      <c r="C329" s="122" t="s">
        <v>280</v>
      </c>
      <c r="K329" s="127"/>
      <c r="Q329" s="122" t="s">
        <v>628</v>
      </c>
    </row>
    <row r="330" spans="2:17" x14ac:dyDescent="0.25">
      <c r="B330" s="131"/>
      <c r="K330" s="127"/>
    </row>
    <row r="331" spans="2:17" x14ac:dyDescent="0.25">
      <c r="B331" s="131">
        <v>2</v>
      </c>
      <c r="C331" s="122" t="s">
        <v>282</v>
      </c>
      <c r="K331" s="127"/>
    </row>
    <row r="332" spans="2:17" x14ac:dyDescent="0.25">
      <c r="B332" s="131">
        <v>4</v>
      </c>
      <c r="C332" s="122" t="s">
        <v>284</v>
      </c>
      <c r="K332" s="127"/>
    </row>
    <row r="333" spans="2:17" x14ac:dyDescent="0.25">
      <c r="B333" s="137"/>
      <c r="C333" s="138"/>
      <c r="D333" s="138"/>
      <c r="E333" s="138"/>
      <c r="F333" s="138"/>
      <c r="G333" s="138"/>
      <c r="H333" s="138"/>
      <c r="I333" s="138"/>
      <c r="J333" s="138"/>
      <c r="K333" s="139"/>
    </row>
    <row r="337" spans="2:14" x14ac:dyDescent="0.25">
      <c r="B337" s="123" t="s">
        <v>377</v>
      </c>
      <c r="C337" s="124"/>
      <c r="D337" s="124"/>
      <c r="E337" s="124"/>
      <c r="F337" s="124"/>
      <c r="G337" s="124"/>
      <c r="H337" s="124"/>
      <c r="I337" s="124"/>
      <c r="J337" s="124"/>
      <c r="K337" s="124"/>
      <c r="L337" s="124"/>
      <c r="M337" s="124"/>
      <c r="N337" s="125"/>
    </row>
    <row r="338" spans="2:14" x14ac:dyDescent="0.25">
      <c r="B338" s="131" t="s">
        <v>380</v>
      </c>
      <c r="N338" s="127"/>
    </row>
    <row r="339" spans="2:14" x14ac:dyDescent="0.25">
      <c r="B339" s="131"/>
      <c r="N339" s="127"/>
    </row>
    <row r="340" spans="2:14" x14ac:dyDescent="0.25">
      <c r="B340" s="131"/>
      <c r="N340" s="127"/>
    </row>
    <row r="341" spans="2:14" x14ac:dyDescent="0.25">
      <c r="B341" s="131"/>
      <c r="N341" s="127"/>
    </row>
    <row r="342" spans="2:14" x14ac:dyDescent="0.25">
      <c r="B342" s="131"/>
      <c r="N342" s="127"/>
    </row>
    <row r="343" spans="2:14" x14ac:dyDescent="0.25">
      <c r="B343" s="131"/>
      <c r="N343" s="127"/>
    </row>
    <row r="344" spans="2:14" x14ac:dyDescent="0.25">
      <c r="B344" s="131"/>
      <c r="N344" s="127"/>
    </row>
    <row r="345" spans="2:14" x14ac:dyDescent="0.25">
      <c r="B345" s="131"/>
      <c r="N345" s="127"/>
    </row>
    <row r="346" spans="2:14" x14ac:dyDescent="0.25">
      <c r="B346" s="131"/>
      <c r="N346" s="127"/>
    </row>
    <row r="347" spans="2:14" x14ac:dyDescent="0.25">
      <c r="B347" s="131"/>
      <c r="N347" s="127"/>
    </row>
    <row r="348" spans="2:14" x14ac:dyDescent="0.25">
      <c r="B348" s="131"/>
      <c r="N348" s="127"/>
    </row>
    <row r="349" spans="2:14" x14ac:dyDescent="0.25">
      <c r="B349" s="131"/>
      <c r="N349" s="127"/>
    </row>
    <row r="350" spans="2:14" x14ac:dyDescent="0.25">
      <c r="B350" s="131"/>
      <c r="N350" s="127"/>
    </row>
    <row r="351" spans="2:14" x14ac:dyDescent="0.25">
      <c r="B351" s="131"/>
      <c r="N351" s="127"/>
    </row>
    <row r="352" spans="2:14" x14ac:dyDescent="0.25">
      <c r="B352" s="131"/>
      <c r="N352" s="127"/>
    </row>
    <row r="353" spans="2:14" x14ac:dyDescent="0.25">
      <c r="B353" s="131"/>
      <c r="N353" s="127"/>
    </row>
    <row r="354" spans="2:14" x14ac:dyDescent="0.25">
      <c r="B354" s="131"/>
      <c r="N354" s="127"/>
    </row>
    <row r="355" spans="2:14" x14ac:dyDescent="0.25">
      <c r="B355" s="131"/>
      <c r="N355" s="127"/>
    </row>
    <row r="356" spans="2:14" x14ac:dyDescent="0.25">
      <c r="B356" s="131"/>
      <c r="D356" s="308" t="s">
        <v>549</v>
      </c>
      <c r="N356" s="127"/>
    </row>
    <row r="357" spans="2:14" x14ac:dyDescent="0.25">
      <c r="B357" s="131"/>
      <c r="D357" s="123" t="s">
        <v>378</v>
      </c>
      <c r="E357" s="124">
        <v>10</v>
      </c>
      <c r="F357" s="124" t="s">
        <v>379</v>
      </c>
      <c r="G357" s="125"/>
      <c r="N357" s="127"/>
    </row>
    <row r="358" spans="2:14" x14ac:dyDescent="0.25">
      <c r="B358" s="131"/>
      <c r="D358" s="131" t="s">
        <v>381</v>
      </c>
      <c r="E358" s="122">
        <v>79</v>
      </c>
      <c r="F358" s="122" t="s">
        <v>382</v>
      </c>
      <c r="G358" s="127"/>
      <c r="N358" s="127"/>
    </row>
    <row r="359" spans="2:14" x14ac:dyDescent="0.25">
      <c r="B359" s="131"/>
      <c r="D359" s="131"/>
      <c r="E359" s="122">
        <f>E358*E364</f>
        <v>88.48</v>
      </c>
      <c r="F359" s="122" t="s">
        <v>383</v>
      </c>
      <c r="G359" s="127"/>
      <c r="N359" s="127"/>
    </row>
    <row r="360" spans="2:14" x14ac:dyDescent="0.25">
      <c r="B360" s="131"/>
      <c r="D360" s="131"/>
      <c r="E360" s="122">
        <f>E359*E363</f>
        <v>1053.7968000000001</v>
      </c>
      <c r="F360" s="122" t="s">
        <v>384</v>
      </c>
      <c r="G360" s="127"/>
      <c r="N360" s="127"/>
    </row>
    <row r="361" spans="2:14" x14ac:dyDescent="0.25">
      <c r="B361" s="131"/>
      <c r="D361" s="131"/>
      <c r="G361" s="127"/>
      <c r="N361" s="127"/>
    </row>
    <row r="362" spans="2:14" x14ac:dyDescent="0.25">
      <c r="B362" s="131"/>
      <c r="D362" s="131"/>
      <c r="G362" s="127"/>
      <c r="N362" s="127"/>
    </row>
    <row r="363" spans="2:14" x14ac:dyDescent="0.25">
      <c r="B363" s="131"/>
      <c r="D363" s="131"/>
      <c r="E363" s="122">
        <v>11.91</v>
      </c>
      <c r="F363" s="122" t="s">
        <v>385</v>
      </c>
      <c r="G363" s="127"/>
      <c r="N363" s="127"/>
    </row>
    <row r="364" spans="2:14" x14ac:dyDescent="0.25">
      <c r="B364" s="131"/>
      <c r="D364" s="131"/>
      <c r="E364" s="122">
        <v>1.1200000000000001</v>
      </c>
      <c r="F364" s="122" t="s">
        <v>386</v>
      </c>
      <c r="G364" s="127"/>
      <c r="N364" s="127"/>
    </row>
    <row r="365" spans="2:14" x14ac:dyDescent="0.25">
      <c r="B365" s="131"/>
      <c r="D365" s="131" t="s">
        <v>345</v>
      </c>
      <c r="E365" s="135">
        <v>0.33</v>
      </c>
      <c r="G365" s="127"/>
      <c r="N365" s="127"/>
    </row>
    <row r="366" spans="2:14" x14ac:dyDescent="0.25">
      <c r="B366" s="131"/>
      <c r="D366" s="137"/>
      <c r="E366" s="138"/>
      <c r="F366" s="138"/>
      <c r="G366" s="139"/>
      <c r="N366" s="127"/>
    </row>
    <row r="367" spans="2:14" x14ac:dyDescent="0.25">
      <c r="B367" s="131"/>
      <c r="N367" s="127"/>
    </row>
    <row r="368" spans="2:14" x14ac:dyDescent="0.25">
      <c r="B368" s="131"/>
      <c r="N368" s="127"/>
    </row>
    <row r="369" spans="2:14" x14ac:dyDescent="0.25">
      <c r="B369" s="137"/>
      <c r="C369" s="138"/>
      <c r="D369" s="138"/>
      <c r="E369" s="138"/>
      <c r="F369" s="138"/>
      <c r="G369" s="138"/>
      <c r="H369" s="138"/>
      <c r="I369" s="138"/>
      <c r="J369" s="138"/>
      <c r="K369" s="138"/>
      <c r="L369" s="138"/>
      <c r="M369" s="138"/>
      <c r="N369" s="139"/>
    </row>
    <row r="373" spans="2:14" x14ac:dyDescent="0.25">
      <c r="B373" s="145" t="s">
        <v>340</v>
      </c>
    </row>
    <row r="374" spans="2:14" x14ac:dyDescent="0.25">
      <c r="B374" s="123" t="s">
        <v>341</v>
      </c>
      <c r="C374" s="124"/>
      <c r="D374" s="124"/>
      <c r="E374" s="124"/>
      <c r="F374" s="124"/>
      <c r="G374" s="124"/>
      <c r="H374" s="124"/>
      <c r="I374" s="124"/>
      <c r="J374" s="124"/>
      <c r="K374" s="124"/>
      <c r="L374" s="124"/>
      <c r="M374" s="124"/>
      <c r="N374" s="125"/>
    </row>
    <row r="375" spans="2:14" x14ac:dyDescent="0.25">
      <c r="B375" s="131" t="s">
        <v>343</v>
      </c>
      <c r="N375" s="127"/>
    </row>
    <row r="376" spans="2:14" x14ac:dyDescent="0.25">
      <c r="B376" s="131"/>
      <c r="C376" s="122" t="s">
        <v>345</v>
      </c>
      <c r="N376" s="127"/>
    </row>
    <row r="377" spans="2:14" x14ac:dyDescent="0.25">
      <c r="B377" s="131" t="s">
        <v>346</v>
      </c>
      <c r="C377" s="135">
        <v>0.2</v>
      </c>
      <c r="D377" s="135"/>
      <c r="N377" s="127"/>
    </row>
    <row r="378" spans="2:14" x14ac:dyDescent="0.25">
      <c r="B378" s="131" t="s">
        <v>348</v>
      </c>
      <c r="C378" s="135">
        <v>0.35</v>
      </c>
      <c r="D378" s="135"/>
      <c r="N378" s="127"/>
    </row>
    <row r="379" spans="2:14" x14ac:dyDescent="0.25">
      <c r="B379" s="131"/>
      <c r="N379" s="127"/>
    </row>
    <row r="380" spans="2:14" x14ac:dyDescent="0.25">
      <c r="B380" s="137"/>
      <c r="C380" s="138"/>
      <c r="D380" s="138"/>
      <c r="E380" s="138"/>
      <c r="F380" s="138"/>
      <c r="G380" s="138"/>
      <c r="H380" s="138"/>
      <c r="I380" s="138"/>
      <c r="J380" s="138"/>
      <c r="K380" s="138"/>
      <c r="L380" s="138"/>
      <c r="M380" s="138"/>
      <c r="N380" s="139"/>
    </row>
    <row r="387" spans="2:2" x14ac:dyDescent="0.25">
      <c r="B387" s="145" t="s">
        <v>585</v>
      </c>
    </row>
  </sheetData>
  <mergeCells count="15">
    <mergeCell ref="D28:D29"/>
    <mergeCell ref="B10:B12"/>
    <mergeCell ref="B13:B15"/>
    <mergeCell ref="B16:B18"/>
    <mergeCell ref="B19:B21"/>
    <mergeCell ref="C28:C29"/>
    <mergeCell ref="U246:V246"/>
    <mergeCell ref="W246:Y246"/>
    <mergeCell ref="W247:X247"/>
    <mergeCell ref="C31:C32"/>
    <mergeCell ref="D31:D32"/>
    <mergeCell ref="E31:E32"/>
    <mergeCell ref="C34:C35"/>
    <mergeCell ref="D34:D35"/>
    <mergeCell ref="E34:E35"/>
  </mergeCells>
  <hyperlinks>
    <hyperlink ref="B312" r:id="rId1" xr:uid="{422A1BB5-B0D8-4A2F-BF63-C584298D04BA}"/>
    <hyperlink ref="B323" r:id="rId2" xr:uid="{45E5F257-3D13-4DA6-9DD8-1D7597FD6307}"/>
    <hyperlink ref="O34" r:id="rId3" xr:uid="{70E8EAE8-62FC-48BF-8095-0EAA637E7771}"/>
    <hyperlink ref="J36" r:id="rId4" xr:uid="{B1A0BF11-D2D1-49E4-9F03-622EF7A6C2AE}"/>
    <hyperlink ref="B222" r:id="rId5" xr:uid="{1E5B9A2A-E76D-4C02-9F61-B210D1411152}"/>
  </hyperlinks>
  <pageMargins left="0.7" right="0.7" top="0.75" bottom="0.75" header="0.3" footer="0.3"/>
  <pageSetup orientation="portrait" horizontalDpi="1200" verticalDpi="1200" r:id="rId6"/>
  <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A67A-800B-417B-BC35-8361CBF14557}">
  <dimension ref="H14:AH31"/>
  <sheetViews>
    <sheetView topLeftCell="E1" workbookViewId="0">
      <selection activeCell="U22" sqref="U22"/>
    </sheetView>
  </sheetViews>
  <sheetFormatPr defaultRowHeight="12.75" x14ac:dyDescent="0.2"/>
  <cols>
    <col min="12" max="12" width="34" customWidth="1"/>
    <col min="15" max="29" width="12.5703125" bestFit="1" customWidth="1"/>
  </cols>
  <sheetData>
    <row r="14" spans="8:34" x14ac:dyDescent="0.2">
      <c r="N14" t="s">
        <v>630</v>
      </c>
      <c r="O14" t="s">
        <v>630</v>
      </c>
      <c r="P14" t="s">
        <v>630</v>
      </c>
      <c r="Q14" t="s">
        <v>630</v>
      </c>
      <c r="R14" t="s">
        <v>630</v>
      </c>
      <c r="S14" t="s">
        <v>630</v>
      </c>
      <c r="T14" t="s">
        <v>630</v>
      </c>
      <c r="U14" t="s">
        <v>630</v>
      </c>
      <c r="V14" t="s">
        <v>630</v>
      </c>
      <c r="W14" t="s">
        <v>630</v>
      </c>
      <c r="X14" t="s">
        <v>630</v>
      </c>
      <c r="Y14" t="s">
        <v>630</v>
      </c>
      <c r="Z14" t="s">
        <v>630</v>
      </c>
      <c r="AA14" t="s">
        <v>630</v>
      </c>
      <c r="AB14" t="s">
        <v>630</v>
      </c>
      <c r="AC14" t="s">
        <v>630</v>
      </c>
      <c r="AD14" t="s">
        <v>630</v>
      </c>
      <c r="AE14" t="s">
        <v>630</v>
      </c>
      <c r="AF14" t="s">
        <v>630</v>
      </c>
      <c r="AG14" t="s">
        <v>630</v>
      </c>
      <c r="AH14" t="s">
        <v>630</v>
      </c>
    </row>
    <row r="15" spans="8:34" x14ac:dyDescent="0.2">
      <c r="H15" t="s">
        <v>631</v>
      </c>
      <c r="I15" t="s">
        <v>632</v>
      </c>
      <c r="J15" t="s">
        <v>633</v>
      </c>
      <c r="K15" t="s">
        <v>631</v>
      </c>
      <c r="L15" t="s">
        <v>634</v>
      </c>
      <c r="M15" t="s">
        <v>635</v>
      </c>
      <c r="N15">
        <v>2019</v>
      </c>
      <c r="O15">
        <v>2020</v>
      </c>
      <c r="P15">
        <v>2021</v>
      </c>
      <c r="Q15">
        <v>2022</v>
      </c>
      <c r="R15">
        <v>2023</v>
      </c>
      <c r="S15">
        <v>2024</v>
      </c>
      <c r="T15">
        <v>2025</v>
      </c>
      <c r="U15">
        <v>2026</v>
      </c>
      <c r="V15">
        <v>2027</v>
      </c>
      <c r="W15">
        <v>2028</v>
      </c>
      <c r="X15">
        <v>2029</v>
      </c>
      <c r="Y15">
        <v>2030</v>
      </c>
      <c r="Z15">
        <v>2031</v>
      </c>
      <c r="AA15">
        <v>2032</v>
      </c>
      <c r="AB15">
        <v>2033</v>
      </c>
      <c r="AC15">
        <v>2034</v>
      </c>
      <c r="AD15">
        <v>2035</v>
      </c>
      <c r="AE15">
        <v>2036</v>
      </c>
      <c r="AF15">
        <v>2037</v>
      </c>
      <c r="AG15">
        <v>2038</v>
      </c>
      <c r="AH15">
        <v>2039</v>
      </c>
    </row>
    <row r="16" spans="8:34" x14ac:dyDescent="0.2">
      <c r="H16" t="s">
        <v>636</v>
      </c>
      <c r="I16" t="s">
        <v>637</v>
      </c>
      <c r="J16" t="s">
        <v>638</v>
      </c>
      <c r="K16" t="s">
        <v>636</v>
      </c>
      <c r="L16" t="s">
        <v>605</v>
      </c>
      <c r="M16" t="s">
        <v>639</v>
      </c>
      <c r="N16" s="323">
        <v>3410</v>
      </c>
      <c r="O16" s="323">
        <v>3097</v>
      </c>
      <c r="P16" s="323">
        <v>3379</v>
      </c>
      <c r="Q16" s="323">
        <v>3352</v>
      </c>
      <c r="R16" s="323">
        <v>3356</v>
      </c>
      <c r="S16" s="323">
        <v>3377</v>
      </c>
      <c r="T16" s="323">
        <v>3402</v>
      </c>
      <c r="U16" s="323">
        <v>3508</v>
      </c>
      <c r="V16" s="323">
        <v>3601</v>
      </c>
      <c r="W16" s="323">
        <v>3801</v>
      </c>
      <c r="X16" s="323">
        <v>3953</v>
      </c>
      <c r="Y16" s="323">
        <v>2434</v>
      </c>
      <c r="Z16" s="323">
        <v>2194</v>
      </c>
      <c r="AA16" s="323">
        <v>2197</v>
      </c>
      <c r="AB16" s="323">
        <v>2315</v>
      </c>
      <c r="AC16" s="323">
        <v>2457</v>
      </c>
      <c r="AD16" s="323">
        <v>1234</v>
      </c>
      <c r="AE16">
        <v>994</v>
      </c>
      <c r="AF16">
        <v>754</v>
      </c>
      <c r="AG16">
        <v>514</v>
      </c>
      <c r="AH16">
        <v>257</v>
      </c>
    </row>
    <row r="17" spans="8:34" x14ac:dyDescent="0.2">
      <c r="H17" t="s">
        <v>214</v>
      </c>
      <c r="I17" t="s">
        <v>637</v>
      </c>
      <c r="J17" t="s">
        <v>638</v>
      </c>
      <c r="K17" t="s">
        <v>214</v>
      </c>
      <c r="L17" t="s">
        <v>605</v>
      </c>
      <c r="M17">
        <v>0</v>
      </c>
      <c r="N17" s="323">
        <v>4857</v>
      </c>
      <c r="O17" s="323">
        <v>4857</v>
      </c>
      <c r="P17" s="323">
        <v>4857</v>
      </c>
      <c r="Q17" s="323">
        <v>4857</v>
      </c>
      <c r="R17" s="323">
        <v>4857</v>
      </c>
      <c r="S17" s="323">
        <v>4857</v>
      </c>
      <c r="T17" s="323">
        <v>4857</v>
      </c>
      <c r="U17" s="323">
        <v>4857</v>
      </c>
      <c r="V17" s="323">
        <v>4857</v>
      </c>
      <c r="W17" s="323">
        <v>4857</v>
      </c>
      <c r="X17" s="323">
        <v>4457</v>
      </c>
      <c r="Y17" s="323">
        <v>4057</v>
      </c>
      <c r="Z17" s="323">
        <v>3657</v>
      </c>
      <c r="AA17" s="323">
        <v>3257</v>
      </c>
      <c r="AB17" s="323">
        <v>2857</v>
      </c>
      <c r="AC17" s="323">
        <v>2457</v>
      </c>
      <c r="AD17" s="323">
        <v>2057</v>
      </c>
      <c r="AE17" s="323">
        <v>1657</v>
      </c>
      <c r="AF17" s="323">
        <v>1257</v>
      </c>
      <c r="AG17">
        <v>857</v>
      </c>
      <c r="AH17">
        <v>429</v>
      </c>
    </row>
    <row r="22" spans="8:34" x14ac:dyDescent="0.2">
      <c r="N22" s="227">
        <f>N16/N17</f>
        <v>0.7020794729256743</v>
      </c>
      <c r="O22" s="227">
        <f>O16/O17</f>
        <v>0.6376364010706197</v>
      </c>
      <c r="P22" s="227">
        <f t="shared" ref="P22:AH22" si="0">P16/P17</f>
        <v>0.69569693226271356</v>
      </c>
      <c r="Q22" s="227">
        <f t="shared" si="0"/>
        <v>0.69013794523368333</v>
      </c>
      <c r="R22" s="227">
        <f t="shared" si="0"/>
        <v>0.69096149886761371</v>
      </c>
      <c r="S22" s="227">
        <f t="shared" si="0"/>
        <v>0.69528515544574843</v>
      </c>
      <c r="T22" s="227">
        <f t="shared" si="0"/>
        <v>0.70043236565781342</v>
      </c>
      <c r="U22" s="227">
        <f t="shared" si="0"/>
        <v>0.72225653695696934</v>
      </c>
      <c r="V22" s="227">
        <f t="shared" si="0"/>
        <v>0.74140415894585132</v>
      </c>
      <c r="W22" s="227">
        <f t="shared" si="0"/>
        <v>0.7825818406423718</v>
      </c>
      <c r="X22" s="227">
        <f t="shared" si="0"/>
        <v>0.88691945254655602</v>
      </c>
      <c r="Y22" s="227">
        <f t="shared" si="0"/>
        <v>0.59995070248952431</v>
      </c>
      <c r="Z22" s="227">
        <f t="shared" si="0"/>
        <v>0.59994531036368604</v>
      </c>
      <c r="AA22" s="227">
        <f t="shared" si="0"/>
        <v>0.67454712926005522</v>
      </c>
      <c r="AB22" s="227">
        <f t="shared" si="0"/>
        <v>0.81029051452572631</v>
      </c>
      <c r="AC22" s="227">
        <f t="shared" si="0"/>
        <v>1</v>
      </c>
      <c r="AD22" s="227">
        <f t="shared" si="0"/>
        <v>0.59990277102576572</v>
      </c>
      <c r="AE22" s="227">
        <f t="shared" si="0"/>
        <v>0.59987929993964995</v>
      </c>
      <c r="AF22" s="227">
        <f t="shared" si="0"/>
        <v>0.5998408910103421</v>
      </c>
      <c r="AG22" s="227">
        <f t="shared" si="0"/>
        <v>0.59976662777129519</v>
      </c>
      <c r="AH22" s="227">
        <f t="shared" si="0"/>
        <v>0.5990675990675991</v>
      </c>
    </row>
    <row r="28" spans="8:34" x14ac:dyDescent="0.2">
      <c r="N28" t="s">
        <v>630</v>
      </c>
      <c r="O28" t="s">
        <v>630</v>
      </c>
      <c r="P28" t="s">
        <v>630</v>
      </c>
      <c r="Q28" t="s">
        <v>630</v>
      </c>
      <c r="R28" t="s">
        <v>630</v>
      </c>
      <c r="S28" t="s">
        <v>630</v>
      </c>
      <c r="T28" t="s">
        <v>630</v>
      </c>
      <c r="U28" t="s">
        <v>630</v>
      </c>
      <c r="V28" t="s">
        <v>630</v>
      </c>
      <c r="W28" t="s">
        <v>630</v>
      </c>
      <c r="X28" t="s">
        <v>630</v>
      </c>
      <c r="Y28" t="s">
        <v>630</v>
      </c>
      <c r="Z28" t="s">
        <v>630</v>
      </c>
      <c r="AA28" t="s">
        <v>630</v>
      </c>
      <c r="AB28" t="s">
        <v>630</v>
      </c>
      <c r="AC28" t="s">
        <v>630</v>
      </c>
      <c r="AD28" t="s">
        <v>630</v>
      </c>
      <c r="AE28" t="s">
        <v>630</v>
      </c>
      <c r="AF28" t="s">
        <v>630</v>
      </c>
      <c r="AG28" t="s">
        <v>630</v>
      </c>
      <c r="AH28" t="s">
        <v>630</v>
      </c>
    </row>
    <row r="29" spans="8:34" x14ac:dyDescent="0.2">
      <c r="H29" t="s">
        <v>631</v>
      </c>
      <c r="I29" t="s">
        <v>632</v>
      </c>
      <c r="J29" t="s">
        <v>633</v>
      </c>
      <c r="K29" t="s">
        <v>631</v>
      </c>
      <c r="L29" t="s">
        <v>634</v>
      </c>
      <c r="M29" t="s">
        <v>635</v>
      </c>
      <c r="N29">
        <v>2019</v>
      </c>
      <c r="O29">
        <v>2020</v>
      </c>
      <c r="P29">
        <v>2021</v>
      </c>
      <c r="Q29">
        <v>2022</v>
      </c>
      <c r="R29">
        <v>2023</v>
      </c>
      <c r="S29">
        <v>2024</v>
      </c>
      <c r="T29">
        <v>2025</v>
      </c>
      <c r="U29">
        <v>2026</v>
      </c>
      <c r="V29">
        <v>2027</v>
      </c>
      <c r="W29">
        <v>2028</v>
      </c>
      <c r="X29">
        <v>2029</v>
      </c>
      <c r="Y29">
        <v>2030</v>
      </c>
      <c r="Z29">
        <v>2031</v>
      </c>
      <c r="AA29">
        <v>2032</v>
      </c>
      <c r="AB29">
        <v>2033</v>
      </c>
      <c r="AC29">
        <v>2034</v>
      </c>
      <c r="AD29">
        <v>2035</v>
      </c>
      <c r="AE29">
        <v>2036</v>
      </c>
      <c r="AF29">
        <v>2037</v>
      </c>
      <c r="AG29">
        <v>2038</v>
      </c>
      <c r="AH29">
        <v>2039</v>
      </c>
    </row>
    <row r="30" spans="8:34" x14ac:dyDescent="0.2">
      <c r="H30" t="s">
        <v>636</v>
      </c>
      <c r="I30" t="s">
        <v>637</v>
      </c>
      <c r="J30" t="s">
        <v>638</v>
      </c>
      <c r="K30" t="s">
        <v>636</v>
      </c>
      <c r="L30" t="s">
        <v>605</v>
      </c>
      <c r="M30" t="s">
        <v>639</v>
      </c>
      <c r="N30" s="323">
        <v>3410</v>
      </c>
      <c r="O30" s="323">
        <v>3097</v>
      </c>
      <c r="P30" s="323">
        <v>3379</v>
      </c>
      <c r="Q30" s="323">
        <v>3352</v>
      </c>
      <c r="R30" s="323">
        <v>3356</v>
      </c>
      <c r="S30" s="323">
        <v>3377</v>
      </c>
      <c r="T30" s="323">
        <v>3402</v>
      </c>
      <c r="U30" s="323">
        <v>3508</v>
      </c>
      <c r="V30" s="323">
        <v>3601</v>
      </c>
      <c r="W30" s="323">
        <v>3801</v>
      </c>
      <c r="X30" s="323">
        <v>3953</v>
      </c>
      <c r="Y30" s="323">
        <v>2434</v>
      </c>
      <c r="Z30" s="323">
        <v>2194</v>
      </c>
      <c r="AA30" s="323">
        <v>2197</v>
      </c>
      <c r="AB30" s="323">
        <v>2315</v>
      </c>
      <c r="AC30" s="323">
        <v>2457</v>
      </c>
      <c r="AD30" s="323">
        <v>1234</v>
      </c>
      <c r="AE30">
        <v>994</v>
      </c>
      <c r="AF30">
        <v>754</v>
      </c>
      <c r="AG30">
        <v>514</v>
      </c>
      <c r="AH30">
        <v>257</v>
      </c>
    </row>
    <row r="31" spans="8:34" x14ac:dyDescent="0.2">
      <c r="H31" t="s">
        <v>214</v>
      </c>
      <c r="I31" t="s">
        <v>637</v>
      </c>
      <c r="J31" t="s">
        <v>638</v>
      </c>
      <c r="K31" t="s">
        <v>214</v>
      </c>
      <c r="L31" t="s">
        <v>605</v>
      </c>
      <c r="M31">
        <v>0</v>
      </c>
      <c r="N31" s="323">
        <v>4857</v>
      </c>
      <c r="O31" s="323">
        <v>4857</v>
      </c>
      <c r="P31" s="323">
        <v>4857</v>
      </c>
      <c r="Q31" s="323">
        <v>4857</v>
      </c>
      <c r="R31" s="323">
        <v>4857</v>
      </c>
      <c r="S31" s="323">
        <v>4857</v>
      </c>
      <c r="T31" s="323">
        <v>4857</v>
      </c>
      <c r="U31" s="323">
        <v>4857</v>
      </c>
      <c r="V31" s="323">
        <v>4857</v>
      </c>
      <c r="W31" s="323">
        <v>4857</v>
      </c>
      <c r="X31" s="323">
        <v>4457</v>
      </c>
      <c r="Y31" s="323">
        <v>4057</v>
      </c>
      <c r="Z31" s="323">
        <v>3657</v>
      </c>
      <c r="AA31" s="323">
        <v>3257</v>
      </c>
      <c r="AB31" s="323">
        <v>2857</v>
      </c>
      <c r="AC31" s="323">
        <v>2457</v>
      </c>
      <c r="AD31" s="323">
        <v>2057</v>
      </c>
      <c r="AE31" s="323">
        <v>1657</v>
      </c>
      <c r="AF31" s="323">
        <v>1257</v>
      </c>
      <c r="AG31">
        <v>857</v>
      </c>
      <c r="AH31">
        <v>429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5B32-49E5-4AE2-85F7-FC690057B669}">
  <sheetPr>
    <tabColor theme="4" tint="0.59999389629810485"/>
  </sheetPr>
  <dimension ref="C2:F4"/>
  <sheetViews>
    <sheetView workbookViewId="0">
      <selection activeCell="P54" sqref="P54"/>
    </sheetView>
  </sheetViews>
  <sheetFormatPr defaultRowHeight="12.75" x14ac:dyDescent="0.2"/>
  <sheetData>
    <row r="2" spans="3:6" x14ac:dyDescent="0.2">
      <c r="C2" s="62" t="s">
        <v>478</v>
      </c>
    </row>
    <row r="3" spans="3:6" x14ac:dyDescent="0.2">
      <c r="F3" s="62"/>
    </row>
    <row r="4" spans="3:6" x14ac:dyDescent="0.2">
      <c r="F4" s="62" t="s">
        <v>477</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zoomScaleNormal="100" workbookViewId="0">
      <pane xSplit="7" ySplit="7" topLeftCell="H8" activePane="bottomRight" state="frozen"/>
      <selection pane="topRight" activeCell="G1" sqref="G1"/>
      <selection pane="bottomLeft" activeCell="A8" sqref="A8"/>
      <selection pane="bottomRight"/>
    </sheetView>
  </sheetViews>
  <sheetFormatPr defaultColWidth="9.140625" defaultRowHeight="12.75" x14ac:dyDescent="0.2"/>
  <cols>
    <col min="1" max="2" width="12.42578125" style="8" customWidth="1"/>
    <col min="3" max="3" width="20.5703125" style="8" customWidth="1"/>
    <col min="4" max="4" width="8.7109375" style="8" customWidth="1"/>
    <col min="5" max="5" width="12.28515625" style="8" customWidth="1"/>
    <col min="6" max="7" width="12.140625" style="8" customWidth="1"/>
    <col min="8" max="8" width="10.7109375" style="8" customWidth="1"/>
    <col min="9" max="9" width="10.140625" customWidth="1"/>
    <col min="10" max="10" width="11.28515625" style="8" customWidth="1"/>
    <col min="11" max="11" width="11.140625" style="8" customWidth="1"/>
    <col min="12" max="12" width="12.85546875" style="8" customWidth="1"/>
    <col min="13" max="13" width="14" style="8" customWidth="1"/>
    <col min="14" max="14" width="13.42578125" style="8" customWidth="1"/>
    <col min="15" max="16" width="12.140625" style="8" customWidth="1"/>
    <col min="17" max="17" width="14.140625" style="8" customWidth="1"/>
    <col min="18" max="18" width="14.42578125" style="8" customWidth="1"/>
    <col min="19" max="19" width="17.42578125" style="8" customWidth="1"/>
    <col min="20" max="20" width="19.42578125" style="8" customWidth="1"/>
    <col min="21" max="21" width="19" style="8" customWidth="1"/>
    <col min="22" max="22" width="13.85546875" style="8" customWidth="1"/>
    <col min="23" max="23" width="13.7109375" style="8" customWidth="1"/>
    <col min="24" max="24" width="12.28515625" style="8" customWidth="1"/>
    <col min="25" max="25" width="10.28515625" style="8" customWidth="1"/>
    <col min="26" max="16384" width="9.140625" style="8"/>
  </cols>
  <sheetData>
    <row r="1" spans="1:24" s="9" customFormat="1" ht="11.25" x14ac:dyDescent="0.2">
      <c r="A1" s="11" t="s">
        <v>106</v>
      </c>
    </row>
    <row r="2" spans="1:24" s="9" customFormat="1" ht="11.25" customHeight="1" x14ac:dyDescent="0.2"/>
    <row r="3" spans="1:24" s="9" customFormat="1" ht="21.75" customHeight="1" x14ac:dyDescent="0.2">
      <c r="H3" s="21" t="s">
        <v>67</v>
      </c>
      <c r="I3" s="21" t="s">
        <v>68</v>
      </c>
      <c r="J3" s="21" t="s">
        <v>65</v>
      </c>
      <c r="K3" s="21" t="s">
        <v>66</v>
      </c>
      <c r="L3" s="21" t="s">
        <v>69</v>
      </c>
      <c r="M3" s="21" t="s">
        <v>70</v>
      </c>
      <c r="N3" s="22" t="s">
        <v>71</v>
      </c>
      <c r="O3" s="22" t="s">
        <v>73</v>
      </c>
      <c r="P3" s="22" t="s">
        <v>83</v>
      </c>
      <c r="Q3" s="22" t="s">
        <v>84</v>
      </c>
      <c r="R3" s="22" t="s">
        <v>85</v>
      </c>
      <c r="S3" s="22" t="s">
        <v>86</v>
      </c>
      <c r="T3" s="22" t="s">
        <v>87</v>
      </c>
      <c r="U3" s="22" t="s">
        <v>91</v>
      </c>
      <c r="V3" s="21" t="s">
        <v>88</v>
      </c>
      <c r="W3" s="21" t="s">
        <v>89</v>
      </c>
      <c r="X3" s="22" t="s">
        <v>90</v>
      </c>
    </row>
    <row r="4" spans="1:24" s="9" customFormat="1" ht="17.25" customHeight="1" x14ac:dyDescent="0.2">
      <c r="E4" s="20"/>
      <c r="F4" s="20"/>
      <c r="G4" s="20"/>
      <c r="H4" s="13" t="s">
        <v>48</v>
      </c>
      <c r="I4" s="16" t="s">
        <v>64</v>
      </c>
      <c r="J4" s="13" t="s">
        <v>60</v>
      </c>
      <c r="K4" s="13" t="s">
        <v>61</v>
      </c>
      <c r="L4" s="13" t="s">
        <v>49</v>
      </c>
      <c r="M4" s="16" t="s">
        <v>58</v>
      </c>
      <c r="N4" s="13" t="s">
        <v>53</v>
      </c>
      <c r="O4" s="16" t="s">
        <v>62</v>
      </c>
      <c r="P4" s="16" t="s">
        <v>55</v>
      </c>
      <c r="Q4" s="16" t="s">
        <v>72</v>
      </c>
      <c r="R4" s="16" t="s">
        <v>74</v>
      </c>
      <c r="S4" s="16" t="s">
        <v>75</v>
      </c>
      <c r="T4" s="16" t="s">
        <v>76</v>
      </c>
      <c r="U4" s="16" t="s">
        <v>78</v>
      </c>
      <c r="V4" s="13" t="s">
        <v>50</v>
      </c>
      <c r="W4" s="13" t="s">
        <v>52</v>
      </c>
      <c r="X4" s="13" t="s">
        <v>54</v>
      </c>
    </row>
    <row r="5" spans="1:24" s="9" customFormat="1" ht="17.25" customHeight="1" x14ac:dyDescent="0.2">
      <c r="H5" s="19"/>
      <c r="I5" s="19"/>
      <c r="J5" s="14" t="s">
        <v>59</v>
      </c>
      <c r="K5" s="14" t="s">
        <v>59</v>
      </c>
      <c r="L5" s="19"/>
      <c r="M5" s="14" t="s">
        <v>59</v>
      </c>
      <c r="N5" s="14" t="s">
        <v>59</v>
      </c>
      <c r="O5" s="17" t="s">
        <v>63</v>
      </c>
      <c r="P5" s="17" t="s">
        <v>63</v>
      </c>
      <c r="Q5" s="17" t="s">
        <v>63</v>
      </c>
      <c r="R5" s="17" t="s">
        <v>63</v>
      </c>
      <c r="S5" s="17" t="s">
        <v>63</v>
      </c>
      <c r="T5" s="17" t="s">
        <v>63</v>
      </c>
      <c r="U5" s="17" t="s">
        <v>63</v>
      </c>
    </row>
    <row r="6" spans="1:24" s="9" customFormat="1" ht="17.25" customHeight="1" x14ac:dyDescent="0.2">
      <c r="H6" s="19"/>
      <c r="I6" s="19"/>
      <c r="J6" s="19"/>
      <c r="K6" s="19"/>
      <c r="L6" s="19"/>
      <c r="M6" s="19"/>
      <c r="N6" s="19"/>
      <c r="O6" s="19"/>
      <c r="P6" s="17" t="s">
        <v>79</v>
      </c>
      <c r="Q6" s="19"/>
      <c r="R6" s="19"/>
      <c r="S6" s="19"/>
      <c r="T6" s="17" t="s">
        <v>77</v>
      </c>
      <c r="U6" s="25" t="s">
        <v>82</v>
      </c>
    </row>
    <row r="7" spans="1:24" s="9" customFormat="1" ht="17.25" customHeight="1" x14ac:dyDescent="0.2">
      <c r="B7" s="11" t="s">
        <v>46</v>
      </c>
      <c r="C7" s="11" t="s">
        <v>47</v>
      </c>
      <c r="D7" s="11" t="s">
        <v>43</v>
      </c>
      <c r="E7" s="11" t="s">
        <v>56</v>
      </c>
      <c r="F7" s="11" t="s">
        <v>40</v>
      </c>
      <c r="G7" s="11" t="s">
        <v>45</v>
      </c>
      <c r="H7" s="18" t="s">
        <v>44</v>
      </c>
      <c r="J7" s="18" t="s">
        <v>44</v>
      </c>
      <c r="K7" s="21"/>
      <c r="L7" s="18" t="s">
        <v>44</v>
      </c>
      <c r="M7" s="11"/>
      <c r="N7" s="21"/>
      <c r="O7" s="11"/>
      <c r="P7" s="16" t="s">
        <v>44</v>
      </c>
      <c r="Q7" s="16"/>
      <c r="R7" s="16"/>
      <c r="S7" s="16"/>
      <c r="T7" s="16"/>
      <c r="U7" s="16" t="s">
        <v>44</v>
      </c>
      <c r="V7" s="24" t="s">
        <v>51</v>
      </c>
      <c r="W7" s="24" t="s">
        <v>51</v>
      </c>
      <c r="X7" s="24" t="s">
        <v>51</v>
      </c>
    </row>
    <row r="9" spans="1:24" x14ac:dyDescent="0.2">
      <c r="A9" s="7"/>
      <c r="B9" s="7"/>
      <c r="C9" s="7"/>
      <c r="D9" s="7"/>
      <c r="E9" s="7"/>
      <c r="F9" s="7"/>
    </row>
  </sheetData>
  <pageMargins left="0.75" right="0.75" top="1" bottom="1" header="0.5" footer="0.5"/>
  <pageSetup paperSize="9" orientation="landscape" horizontalDpi="1200" vertic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99ED-D8EE-47BB-BB9F-A0BAC2754A54}">
  <sheetPr>
    <tabColor rgb="FF0000FF"/>
  </sheetPr>
  <dimension ref="B1:J25"/>
  <sheetViews>
    <sheetView zoomScale="145" zoomScaleNormal="145" workbookViewId="0">
      <selection activeCell="E38" sqref="E38"/>
    </sheetView>
  </sheetViews>
  <sheetFormatPr defaultRowHeight="12.75" x14ac:dyDescent="0.2"/>
  <cols>
    <col min="1" max="1" width="7.5703125" style="262" customWidth="1"/>
    <col min="2" max="2" width="19.42578125" style="262" customWidth="1"/>
    <col min="3" max="3" width="12.85546875" style="262" customWidth="1"/>
    <col min="4" max="4" width="14.140625" style="262" customWidth="1"/>
    <col min="5" max="5" width="32.85546875" style="262" customWidth="1"/>
    <col min="6" max="6" width="9.5703125" style="262" bestFit="1" customWidth="1"/>
    <col min="7" max="7" width="11.42578125" style="262" bestFit="1" customWidth="1"/>
    <col min="8" max="8" width="12" style="262" customWidth="1"/>
    <col min="9" max="9" width="12.28515625" style="262" customWidth="1"/>
    <col min="10" max="10" width="10.28515625" style="262" customWidth="1"/>
    <col min="11" max="11" width="7.42578125" style="262" bestFit="1" customWidth="1"/>
    <col min="12" max="13" width="10.7109375" style="262" bestFit="1" customWidth="1"/>
    <col min="14" max="16384" width="9.140625" style="262"/>
  </cols>
  <sheetData>
    <row r="1" spans="2:10" ht="21.75" customHeight="1" x14ac:dyDescent="0.4">
      <c r="B1" s="261" t="s">
        <v>482</v>
      </c>
      <c r="C1" s="261"/>
    </row>
    <row r="4" spans="2:10" ht="15" x14ac:dyDescent="0.2">
      <c r="B4" s="263" t="s">
        <v>483</v>
      </c>
      <c r="C4" s="263"/>
    </row>
    <row r="6" spans="2:10" ht="18" x14ac:dyDescent="0.25">
      <c r="B6" s="264" t="s">
        <v>484</v>
      </c>
      <c r="C6" s="264"/>
      <c r="D6" s="265"/>
    </row>
    <row r="7" spans="2:10" ht="17.25" customHeight="1" x14ac:dyDescent="0.2">
      <c r="B7" s="266" t="s">
        <v>485</v>
      </c>
      <c r="C7" s="266"/>
    </row>
    <row r="8" spans="2:10" ht="18" customHeight="1" x14ac:dyDescent="0.2">
      <c r="B8" s="267" t="s">
        <v>486</v>
      </c>
      <c r="C8" s="268" t="s">
        <v>16</v>
      </c>
      <c r="D8" s="267" t="s">
        <v>40</v>
      </c>
      <c r="E8" s="267" t="s">
        <v>41</v>
      </c>
      <c r="F8" s="269" t="s">
        <v>393</v>
      </c>
      <c r="G8" s="269" t="s">
        <v>487</v>
      </c>
      <c r="H8" s="269" t="s">
        <v>488</v>
      </c>
      <c r="I8" s="269" t="s">
        <v>489</v>
      </c>
      <c r="J8" s="269" t="s">
        <v>490</v>
      </c>
    </row>
    <row r="9" spans="2:10" ht="39" thickBot="1" x14ac:dyDescent="0.25">
      <c r="B9" s="270" t="s">
        <v>491</v>
      </c>
      <c r="C9" s="271" t="s">
        <v>492</v>
      </c>
      <c r="D9" s="270" t="s">
        <v>493</v>
      </c>
      <c r="E9" s="270" t="s">
        <v>494</v>
      </c>
      <c r="F9" s="270" t="s">
        <v>393</v>
      </c>
      <c r="G9" s="270" t="s">
        <v>495</v>
      </c>
      <c r="H9" s="270" t="s">
        <v>496</v>
      </c>
      <c r="I9" s="270" t="s">
        <v>497</v>
      </c>
      <c r="J9" s="270" t="s">
        <v>498</v>
      </c>
    </row>
    <row r="10" spans="2:10" x14ac:dyDescent="0.2">
      <c r="B10" s="29" t="s">
        <v>30</v>
      </c>
      <c r="C10" s="29" t="s">
        <v>127</v>
      </c>
      <c r="D10" s="29" t="s">
        <v>208</v>
      </c>
      <c r="E10" s="29" t="s">
        <v>523</v>
      </c>
      <c r="F10" s="29" t="s">
        <v>116</v>
      </c>
      <c r="G10" s="29"/>
      <c r="H10" s="29" t="s">
        <v>123</v>
      </c>
      <c r="I10" s="29"/>
      <c r="J10" s="29"/>
    </row>
    <row r="11" spans="2:10" x14ac:dyDescent="0.2">
      <c r="B11" s="29" t="s">
        <v>30</v>
      </c>
      <c r="C11" s="29" t="s">
        <v>127</v>
      </c>
      <c r="D11" s="29" t="s">
        <v>425</v>
      </c>
      <c r="E11" s="29" t="s">
        <v>524</v>
      </c>
      <c r="F11" s="29" t="s">
        <v>116</v>
      </c>
      <c r="G11" s="29"/>
      <c r="H11" s="29" t="s">
        <v>123</v>
      </c>
      <c r="I11" s="29"/>
      <c r="J11" s="29"/>
    </row>
    <row r="12" spans="2:10" x14ac:dyDescent="0.2">
      <c r="B12" s="29" t="s">
        <v>38</v>
      </c>
      <c r="C12" s="29" t="s">
        <v>127</v>
      </c>
      <c r="D12" s="29" t="s">
        <v>192</v>
      </c>
      <c r="E12" s="29" t="s">
        <v>520</v>
      </c>
      <c r="F12" s="29" t="s">
        <v>116</v>
      </c>
      <c r="G12" s="29"/>
      <c r="H12" s="29" t="s">
        <v>521</v>
      </c>
      <c r="I12" s="29"/>
      <c r="J12" s="29" t="s">
        <v>522</v>
      </c>
    </row>
    <row r="13" spans="2:10" x14ac:dyDescent="0.2">
      <c r="B13" s="29" t="s">
        <v>38</v>
      </c>
      <c r="C13" s="29" t="s">
        <v>127</v>
      </c>
      <c r="D13" s="30" t="s">
        <v>533</v>
      </c>
      <c r="E13" s="30" t="s">
        <v>612</v>
      </c>
      <c r="F13" s="29" t="s">
        <v>116</v>
      </c>
      <c r="H13" s="29" t="s">
        <v>123</v>
      </c>
    </row>
    <row r="14" spans="2:10" x14ac:dyDescent="0.2">
      <c r="B14" s="29" t="s">
        <v>38</v>
      </c>
      <c r="C14" s="29" t="s">
        <v>127</v>
      </c>
      <c r="D14" s="29" t="s">
        <v>194</v>
      </c>
      <c r="E14" s="29" t="s">
        <v>195</v>
      </c>
      <c r="F14" s="29" t="s">
        <v>116</v>
      </c>
      <c r="H14" s="29" t="s">
        <v>123</v>
      </c>
    </row>
    <row r="15" spans="2:10" x14ac:dyDescent="0.2">
      <c r="B15" s="29" t="s">
        <v>38</v>
      </c>
      <c r="C15" s="29" t="s">
        <v>127</v>
      </c>
      <c r="D15" s="29" t="s">
        <v>196</v>
      </c>
      <c r="E15" s="29" t="s">
        <v>197</v>
      </c>
      <c r="F15" s="29" t="s">
        <v>116</v>
      </c>
      <c r="H15" s="29" t="s">
        <v>123</v>
      </c>
    </row>
    <row r="16" spans="2:10" x14ac:dyDescent="0.2">
      <c r="B16" s="16" t="s">
        <v>32</v>
      </c>
      <c r="C16" s="29" t="s">
        <v>127</v>
      </c>
      <c r="D16" s="9" t="s">
        <v>216</v>
      </c>
      <c r="E16" s="9" t="s">
        <v>217</v>
      </c>
      <c r="F16" s="16" t="s">
        <v>120</v>
      </c>
      <c r="H16" s="9" t="s">
        <v>123</v>
      </c>
    </row>
    <row r="17" spans="2:8" x14ac:dyDescent="0.2">
      <c r="B17" s="16" t="s">
        <v>32</v>
      </c>
      <c r="C17" s="29" t="s">
        <v>127</v>
      </c>
      <c r="D17" s="9" t="s">
        <v>467</v>
      </c>
      <c r="E17" s="9" t="s">
        <v>466</v>
      </c>
      <c r="F17" s="16" t="s">
        <v>120</v>
      </c>
      <c r="H17" s="9" t="s">
        <v>123</v>
      </c>
    </row>
    <row r="18" spans="2:8" x14ac:dyDescent="0.2">
      <c r="B18" s="16" t="s">
        <v>32</v>
      </c>
      <c r="C18" s="29" t="s">
        <v>127</v>
      </c>
      <c r="D18" s="29" t="s">
        <v>176</v>
      </c>
      <c r="E18" s="29" t="s">
        <v>177</v>
      </c>
      <c r="F18" s="16" t="s">
        <v>120</v>
      </c>
      <c r="H18" s="9" t="s">
        <v>123</v>
      </c>
    </row>
    <row r="25" spans="2:8" x14ac:dyDescent="0.2">
      <c r="D25" s="9"/>
      <c r="E25" s="9"/>
      <c r="F25" s="16"/>
      <c r="G25" s="16"/>
      <c r="H25" s="9"/>
    </row>
  </sheetData>
  <pageMargins left="0.75" right="0.75" top="1" bottom="1" header="0.5" footer="0.5"/>
  <pageSetup orientation="portrait" horizontalDpi="300" verticalDpi="300"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pane ySplit="7" topLeftCell="A8" activePane="bottomLeft" state="frozen"/>
      <selection pane="bottomLeft"/>
    </sheetView>
  </sheetViews>
  <sheetFormatPr defaultColWidth="9.140625" defaultRowHeight="11.25" x14ac:dyDescent="0.2"/>
  <cols>
    <col min="1" max="1" width="14.42578125" style="3" customWidth="1"/>
    <col min="2" max="3" width="9.140625" style="3"/>
    <col min="4" max="4" width="27.42578125" style="3" customWidth="1"/>
    <col min="5" max="5" width="10.140625" style="3" customWidth="1"/>
    <col min="6" max="6" width="28.7109375" style="3" customWidth="1"/>
    <col min="7" max="16384" width="9.140625" style="3"/>
  </cols>
  <sheetData>
    <row r="1" spans="1:7" x14ac:dyDescent="0.2">
      <c r="A1" s="2" t="s">
        <v>107</v>
      </c>
    </row>
    <row r="3" spans="1:7" ht="18.75" customHeight="1" x14ac:dyDescent="0.2"/>
    <row r="7" spans="1:7" x14ac:dyDescent="0.2">
      <c r="B7" s="2" t="s">
        <v>13</v>
      </c>
      <c r="C7" s="4" t="s">
        <v>14</v>
      </c>
      <c r="D7" s="2" t="s">
        <v>15</v>
      </c>
      <c r="E7" s="2" t="s">
        <v>20</v>
      </c>
      <c r="F7" s="2" t="s">
        <v>1</v>
      </c>
      <c r="G7" s="2" t="s">
        <v>0</v>
      </c>
    </row>
    <row r="9" spans="1:7" x14ac:dyDescent="0.2">
      <c r="A9" s="2" t="s">
        <v>25</v>
      </c>
    </row>
    <row r="10" spans="1:7" x14ac:dyDescent="0.2">
      <c r="B10" s="5" t="s">
        <v>26</v>
      </c>
      <c r="C10" s="3" t="s">
        <v>27</v>
      </c>
      <c r="D10" s="3" t="s">
        <v>28</v>
      </c>
      <c r="F10" s="5" t="s">
        <v>29</v>
      </c>
    </row>
    <row r="11" spans="1:7" x14ac:dyDescent="0.2">
      <c r="B11" s="5" t="s">
        <v>26</v>
      </c>
      <c r="C11" s="3" t="s">
        <v>30</v>
      </c>
      <c r="D11" s="3" t="s">
        <v>31</v>
      </c>
      <c r="F11" s="5" t="s">
        <v>29</v>
      </c>
    </row>
    <row r="12" spans="1:7" x14ac:dyDescent="0.2">
      <c r="B12" s="5" t="s">
        <v>26</v>
      </c>
      <c r="C12" s="3" t="s">
        <v>32</v>
      </c>
      <c r="D12" s="3" t="s">
        <v>33</v>
      </c>
      <c r="F12" s="5" t="s">
        <v>29</v>
      </c>
    </row>
    <row r="13" spans="1:7" x14ac:dyDescent="0.2">
      <c r="B13" s="5" t="s">
        <v>26</v>
      </c>
      <c r="C13" s="3" t="s">
        <v>34</v>
      </c>
      <c r="D13" s="3" t="s">
        <v>35</v>
      </c>
      <c r="F13" s="5" t="s">
        <v>29</v>
      </c>
    </row>
    <row r="14" spans="1:7" x14ac:dyDescent="0.2">
      <c r="B14" s="5" t="s">
        <v>26</v>
      </c>
      <c r="C14" s="3" t="s">
        <v>36</v>
      </c>
      <c r="D14" s="3" t="s">
        <v>37</v>
      </c>
      <c r="F14" s="5" t="s">
        <v>29</v>
      </c>
    </row>
    <row r="15" spans="1:7" x14ac:dyDescent="0.2">
      <c r="B15" s="5" t="s">
        <v>26</v>
      </c>
      <c r="C15" s="3" t="s">
        <v>38</v>
      </c>
      <c r="D15" s="3" t="s">
        <v>39</v>
      </c>
      <c r="F15" s="5" t="s">
        <v>29</v>
      </c>
    </row>
  </sheetData>
  <phoneticPr fontId="22" type="noConversion"/>
  <pageMargins left="0.75" right="0.75" top="1" bottom="1" header="0.5" footer="0.5"/>
  <pageSetup paperSize="9" orientation="portrait"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pane ySplit="7" topLeftCell="A8" activePane="bottomLeft" state="frozen"/>
      <selection pane="bottomLeft"/>
    </sheetView>
  </sheetViews>
  <sheetFormatPr defaultColWidth="9.140625" defaultRowHeight="11.25" x14ac:dyDescent="0.2"/>
  <cols>
    <col min="1" max="1" width="14.42578125" style="3" customWidth="1"/>
    <col min="2" max="2" width="12.140625" style="3" customWidth="1"/>
    <col min="3" max="8" width="9.140625" style="3"/>
    <col min="9" max="9" width="6.7109375" style="3" customWidth="1"/>
    <col min="10" max="16384" width="9.140625" style="3"/>
  </cols>
  <sheetData>
    <row r="1" spans="1:18" x14ac:dyDescent="0.2">
      <c r="A1" s="2" t="s">
        <v>10</v>
      </c>
    </row>
    <row r="3" spans="1:18" ht="17.25" customHeight="1" x14ac:dyDescent="0.2"/>
    <row r="7" spans="1:18" x14ac:dyDescent="0.2">
      <c r="B7" s="2" t="s">
        <v>2</v>
      </c>
      <c r="C7" s="2" t="s">
        <v>3</v>
      </c>
      <c r="D7" s="2" t="s">
        <v>4</v>
      </c>
      <c r="E7" s="2" t="s">
        <v>5</v>
      </c>
      <c r="F7" s="2" t="s">
        <v>6</v>
      </c>
      <c r="G7" s="2" t="s">
        <v>7</v>
      </c>
      <c r="H7" s="2" t="s">
        <v>8</v>
      </c>
      <c r="I7" s="2" t="s">
        <v>9</v>
      </c>
      <c r="J7" s="2"/>
      <c r="K7" s="2"/>
      <c r="L7" s="2"/>
      <c r="M7" s="2"/>
      <c r="N7" s="2"/>
      <c r="O7" s="2"/>
      <c r="P7" s="2"/>
      <c r="Q7" s="2"/>
      <c r="R7" s="2"/>
    </row>
  </sheetData>
  <phoneticPr fontId="22" type="noConversion"/>
  <pageMargins left="0.75" right="0.75" top="1" bottom="1" header="0.5" footer="0.5"/>
  <pageSetup paperSize="9" orientation="portrait" horizontalDpi="1200" verticalDpi="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pane ySplit="7" topLeftCell="A8" activePane="bottomLeft" state="frozen"/>
      <selection pane="bottomLeft"/>
    </sheetView>
  </sheetViews>
  <sheetFormatPr defaultColWidth="9.140625" defaultRowHeight="11.25" x14ac:dyDescent="0.2"/>
  <cols>
    <col min="1" max="1" width="15.42578125" style="3" customWidth="1"/>
    <col min="2" max="2" width="12" style="3" customWidth="1"/>
    <col min="3" max="16384" width="9.140625" style="3"/>
  </cols>
  <sheetData>
    <row r="1" spans="1:9" x14ac:dyDescent="0.2">
      <c r="A1" s="2" t="s">
        <v>23</v>
      </c>
    </row>
    <row r="3" spans="1:9" ht="15.75" customHeight="1" x14ac:dyDescent="0.2"/>
    <row r="4" spans="1:9" ht="12.75" customHeight="1" x14ac:dyDescent="0.2"/>
    <row r="7" spans="1:9" x14ac:dyDescent="0.2">
      <c r="B7" s="2" t="s">
        <v>2</v>
      </c>
      <c r="C7" s="2" t="s">
        <v>3</v>
      </c>
      <c r="D7" s="2" t="s">
        <v>4</v>
      </c>
      <c r="E7" s="2" t="s">
        <v>5</v>
      </c>
      <c r="F7" s="2" t="s">
        <v>6</v>
      </c>
      <c r="G7" s="2" t="s">
        <v>7</v>
      </c>
      <c r="H7" s="2" t="s">
        <v>8</v>
      </c>
      <c r="I7" s="2" t="s">
        <v>21</v>
      </c>
    </row>
  </sheetData>
  <phoneticPr fontId="22" type="noConversion"/>
  <pageMargins left="0.75" right="0.75" top="1" bottom="1" header="0.5" footer="0.5"/>
  <pageSetup paperSize="9" orientation="portrait" verticalDpi="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pane ySplit="7" topLeftCell="A8" activePane="bottomLeft" state="frozen"/>
      <selection pane="bottomLeft"/>
    </sheetView>
  </sheetViews>
  <sheetFormatPr defaultColWidth="9.140625" defaultRowHeight="11.25" x14ac:dyDescent="0.2"/>
  <cols>
    <col min="1" max="1" width="14.85546875" style="3" customWidth="1"/>
    <col min="2" max="2" width="12" style="3" customWidth="1"/>
    <col min="3" max="3" width="9.140625" style="3"/>
    <col min="4" max="4" width="9.28515625" style="3" customWidth="1"/>
    <col min="5" max="8" width="9.140625" style="3"/>
    <col min="9" max="9" width="7.42578125" style="3" customWidth="1"/>
    <col min="10" max="16384" width="9.140625" style="3"/>
  </cols>
  <sheetData>
    <row r="1" spans="1:18" x14ac:dyDescent="0.2">
      <c r="A1" s="2" t="s">
        <v>108</v>
      </c>
    </row>
    <row r="3" spans="1:18" ht="15" customHeight="1" x14ac:dyDescent="0.2"/>
    <row r="7" spans="1:18" ht="22.5" customHeight="1" x14ac:dyDescent="0.2">
      <c r="B7" s="2" t="s">
        <v>2</v>
      </c>
      <c r="C7" s="2" t="s">
        <v>3</v>
      </c>
      <c r="D7" s="2" t="s">
        <v>4</v>
      </c>
      <c r="E7" s="2" t="s">
        <v>5</v>
      </c>
      <c r="F7" s="2" t="s">
        <v>6</v>
      </c>
      <c r="G7" s="2" t="s">
        <v>7</v>
      </c>
      <c r="H7" s="2" t="s">
        <v>8</v>
      </c>
      <c r="I7" s="6" t="s">
        <v>22</v>
      </c>
      <c r="J7" s="2"/>
      <c r="K7" s="2"/>
      <c r="L7" s="2"/>
      <c r="M7" s="2"/>
      <c r="N7" s="2"/>
      <c r="O7" s="2"/>
      <c r="P7" s="2"/>
      <c r="Q7" s="2"/>
      <c r="R7" s="2"/>
    </row>
  </sheetData>
  <phoneticPr fontId="22" type="noConversion"/>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pane ySplit="7" topLeftCell="A8" activePane="bottomLeft" state="frozen"/>
      <selection pane="bottomLeft"/>
    </sheetView>
  </sheetViews>
  <sheetFormatPr defaultColWidth="9.140625" defaultRowHeight="11.25" x14ac:dyDescent="0.2"/>
  <cols>
    <col min="1" max="1" width="12.7109375" style="3" customWidth="1"/>
    <col min="2" max="2" width="11.5703125" style="3" customWidth="1"/>
    <col min="3" max="3" width="11.85546875" style="3" customWidth="1"/>
    <col min="4" max="4" width="9.42578125" style="3" customWidth="1"/>
    <col min="5" max="5" width="9.28515625" style="3" customWidth="1"/>
    <col min="6" max="9" width="9.140625" style="3"/>
    <col min="10" max="10" width="7.140625" style="3" customWidth="1"/>
    <col min="11" max="16384" width="9.140625" style="3"/>
  </cols>
  <sheetData>
    <row r="1" spans="1:19" x14ac:dyDescent="0.2">
      <c r="A1" s="2" t="s">
        <v>11</v>
      </c>
    </row>
    <row r="3" spans="1:19" ht="18.75" customHeight="1" x14ac:dyDescent="0.2"/>
    <row r="7" spans="1:19" x14ac:dyDescent="0.2">
      <c r="A7" s="2" t="s">
        <v>16</v>
      </c>
      <c r="B7" s="2" t="s">
        <v>24</v>
      </c>
      <c r="C7" s="2" t="s">
        <v>2</v>
      </c>
      <c r="D7" s="2" t="s">
        <v>3</v>
      </c>
      <c r="E7" s="2" t="s">
        <v>4</v>
      </c>
      <c r="F7" s="2" t="s">
        <v>5</v>
      </c>
      <c r="G7" s="2" t="s">
        <v>6</v>
      </c>
      <c r="H7" s="2" t="s">
        <v>7</v>
      </c>
      <c r="I7" s="2" t="s">
        <v>8</v>
      </c>
      <c r="J7" s="2" t="s">
        <v>9</v>
      </c>
      <c r="K7" s="2"/>
      <c r="L7" s="2"/>
      <c r="M7" s="2"/>
      <c r="N7" s="2"/>
      <c r="O7" s="2"/>
      <c r="P7" s="2"/>
      <c r="Q7" s="2"/>
      <c r="R7" s="2"/>
      <c r="S7" s="2"/>
    </row>
    <row r="9" spans="1:19" x14ac:dyDescent="0.2">
      <c r="A9" s="2" t="s">
        <v>113</v>
      </c>
    </row>
  </sheetData>
  <phoneticPr fontId="22" type="noConversion"/>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pane ySplit="7" topLeftCell="A8" activePane="bottomLeft" state="frozen"/>
      <selection pane="bottomLeft" activeCell="A9" sqref="A9"/>
    </sheetView>
  </sheetViews>
  <sheetFormatPr defaultColWidth="9.140625" defaultRowHeight="11.25" x14ac:dyDescent="0.2"/>
  <cols>
    <col min="1" max="1" width="13.140625" style="3" customWidth="1"/>
    <col min="2" max="2" width="10.7109375" style="3" customWidth="1"/>
    <col min="3" max="3" width="11.85546875" style="3" customWidth="1"/>
    <col min="4" max="4" width="9.42578125" style="3" customWidth="1"/>
    <col min="5" max="5" width="9.28515625" style="3" customWidth="1"/>
    <col min="6" max="16384" width="9.140625" style="3"/>
  </cols>
  <sheetData>
    <row r="1" spans="1:10" x14ac:dyDescent="0.2">
      <c r="A1" s="2" t="s">
        <v>12</v>
      </c>
    </row>
    <row r="3" spans="1:10" ht="15.75" customHeight="1" x14ac:dyDescent="0.2"/>
    <row r="7" spans="1:10" x14ac:dyDescent="0.2">
      <c r="A7" s="2" t="s">
        <v>16</v>
      </c>
      <c r="B7" s="2" t="s">
        <v>24</v>
      </c>
      <c r="C7" s="2" t="s">
        <v>2</v>
      </c>
      <c r="D7" s="2" t="s">
        <v>3</v>
      </c>
      <c r="E7" s="2" t="s">
        <v>4</v>
      </c>
      <c r="F7" s="2" t="s">
        <v>5</v>
      </c>
      <c r="G7" s="2" t="s">
        <v>6</v>
      </c>
      <c r="H7" s="2" t="s">
        <v>7</v>
      </c>
      <c r="I7" s="2" t="s">
        <v>8</v>
      </c>
      <c r="J7" s="2" t="s">
        <v>21</v>
      </c>
    </row>
    <row r="9" spans="1:10" x14ac:dyDescent="0.2">
      <c r="A9" s="2" t="s">
        <v>112</v>
      </c>
    </row>
  </sheetData>
  <phoneticPr fontId="22" type="noConversion"/>
  <pageMargins left="0.75" right="0.75" top="1" bottom="1" header="0.5" footer="0.5"/>
  <pageSetup paperSize="9" orientation="portrait" verticalDpi="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pane ySplit="7" topLeftCell="A8" activePane="bottomLeft" state="frozen"/>
      <selection pane="bottomLeft"/>
    </sheetView>
  </sheetViews>
  <sheetFormatPr defaultColWidth="9.140625" defaultRowHeight="13.5" customHeight="1" x14ac:dyDescent="0.2"/>
  <cols>
    <col min="1" max="1" width="12.5703125" style="3" customWidth="1"/>
    <col min="2" max="2" width="9.140625" style="3"/>
    <col min="3" max="3" width="12.28515625" style="3" customWidth="1"/>
    <col min="4" max="9" width="9.140625" style="3"/>
    <col min="10" max="10" width="7.42578125" style="3" customWidth="1"/>
    <col min="11" max="16384" width="9.140625" style="3"/>
  </cols>
  <sheetData>
    <row r="1" spans="1:19" ht="13.5" customHeight="1" x14ac:dyDescent="0.2">
      <c r="A1" s="2" t="s">
        <v>109</v>
      </c>
    </row>
    <row r="3" spans="1:19" ht="20.25" customHeight="1" x14ac:dyDescent="0.2"/>
    <row r="7" spans="1:19" ht="23.25" customHeight="1" x14ac:dyDescent="0.2">
      <c r="A7" s="2" t="s">
        <v>16</v>
      </c>
      <c r="B7" s="2" t="s">
        <v>24</v>
      </c>
      <c r="C7" s="2" t="s">
        <v>2</v>
      </c>
      <c r="D7" s="2" t="s">
        <v>3</v>
      </c>
      <c r="E7" s="2" t="s">
        <v>4</v>
      </c>
      <c r="F7" s="2" t="s">
        <v>5</v>
      </c>
      <c r="G7" s="2" t="s">
        <v>6</v>
      </c>
      <c r="H7" s="2" t="s">
        <v>7</v>
      </c>
      <c r="I7" s="2" t="s">
        <v>8</v>
      </c>
      <c r="J7" s="6" t="s">
        <v>22</v>
      </c>
      <c r="K7" s="2"/>
      <c r="L7" s="2"/>
      <c r="M7" s="2"/>
      <c r="N7" s="2"/>
      <c r="O7" s="2"/>
      <c r="P7" s="2"/>
      <c r="Q7" s="2"/>
      <c r="R7" s="2"/>
      <c r="S7" s="2"/>
    </row>
    <row r="9" spans="1:19" ht="13.5" customHeight="1" x14ac:dyDescent="0.2">
      <c r="A9" s="2" t="s">
        <v>111</v>
      </c>
    </row>
  </sheetData>
  <phoneticPr fontId="22" type="noConversion"/>
  <pageMargins left="0.75" right="0.75" top="1" bottom="1" header="0.5" footer="0.5"/>
  <pageSetup paperSize="9"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021F-8424-4EF9-99FD-ED191968A350}">
  <sheetPr>
    <tabColor rgb="FF0000FF"/>
  </sheetPr>
  <dimension ref="A1:J16"/>
  <sheetViews>
    <sheetView zoomScale="160" zoomScaleNormal="160" workbookViewId="0">
      <selection activeCell="E16" sqref="E16"/>
    </sheetView>
  </sheetViews>
  <sheetFormatPr defaultRowHeight="12.75" x14ac:dyDescent="0.2"/>
  <cols>
    <col min="1" max="1" width="3.140625" style="272" customWidth="1"/>
    <col min="2" max="2" width="15.85546875" style="272" customWidth="1"/>
    <col min="3" max="3" width="13.5703125" style="272" customWidth="1"/>
    <col min="4" max="4" width="13" style="272" customWidth="1"/>
    <col min="5" max="5" width="51.28515625" style="272" customWidth="1"/>
    <col min="6" max="7" width="9.140625" style="272"/>
    <col min="8" max="8" width="14.5703125" style="272" customWidth="1"/>
    <col min="9" max="9" width="12.28515625" style="272" customWidth="1"/>
    <col min="10" max="16384" width="9.140625" style="272"/>
  </cols>
  <sheetData>
    <row r="1" spans="1:10" ht="26.25" x14ac:dyDescent="0.4">
      <c r="B1" s="261" t="s">
        <v>482</v>
      </c>
    </row>
    <row r="2" spans="1:10" ht="18" x14ac:dyDescent="0.25">
      <c r="A2" s="273"/>
    </row>
    <row r="3" spans="1:10" ht="18" x14ac:dyDescent="0.25">
      <c r="A3" s="273"/>
      <c r="B3" s="263" t="s">
        <v>499</v>
      </c>
    </row>
    <row r="5" spans="1:10" ht="22.5" customHeight="1" x14ac:dyDescent="0.25">
      <c r="A5" s="274"/>
      <c r="B5" s="275" t="s">
        <v>500</v>
      </c>
    </row>
    <row r="6" spans="1:10" ht="18" customHeight="1" x14ac:dyDescent="0.2">
      <c r="B6" s="276" t="s">
        <v>501</v>
      </c>
      <c r="C6" s="276"/>
    </row>
    <row r="7" spans="1:10" ht="18" customHeight="1" x14ac:dyDescent="0.2">
      <c r="B7" s="277" t="s">
        <v>502</v>
      </c>
      <c r="C7" s="277" t="s">
        <v>16</v>
      </c>
      <c r="D7" s="277" t="s">
        <v>503</v>
      </c>
      <c r="E7" s="277" t="s">
        <v>504</v>
      </c>
      <c r="F7" s="277" t="s">
        <v>505</v>
      </c>
      <c r="G7" s="277" t="s">
        <v>506</v>
      </c>
      <c r="H7" s="277" t="s">
        <v>507</v>
      </c>
      <c r="I7" s="277" t="s">
        <v>508</v>
      </c>
      <c r="J7" s="277" t="s">
        <v>509</v>
      </c>
    </row>
    <row r="8" spans="1:10" ht="39" thickBot="1" x14ac:dyDescent="0.25">
      <c r="B8" s="271" t="s">
        <v>510</v>
      </c>
      <c r="C8" s="271" t="s">
        <v>492</v>
      </c>
      <c r="D8" s="271" t="s">
        <v>511</v>
      </c>
      <c r="E8" s="271" t="s">
        <v>512</v>
      </c>
      <c r="F8" s="271" t="s">
        <v>513</v>
      </c>
      <c r="G8" s="271" t="s">
        <v>514</v>
      </c>
      <c r="H8" s="271" t="s">
        <v>515</v>
      </c>
      <c r="I8" s="271" t="s">
        <v>516</v>
      </c>
      <c r="J8" s="271" t="s">
        <v>517</v>
      </c>
    </row>
    <row r="9" spans="1:10" x14ac:dyDescent="0.2">
      <c r="B9" s="278" t="s">
        <v>525</v>
      </c>
      <c r="C9" s="278" t="s">
        <v>127</v>
      </c>
      <c r="D9" s="272" t="s">
        <v>204</v>
      </c>
      <c r="E9" s="272" t="s">
        <v>605</v>
      </c>
      <c r="F9" s="278" t="s">
        <v>116</v>
      </c>
      <c r="G9" s="278" t="s">
        <v>526</v>
      </c>
      <c r="H9" s="278" t="s">
        <v>123</v>
      </c>
      <c r="I9" s="278"/>
      <c r="J9" s="278"/>
    </row>
    <row r="10" spans="1:10" x14ac:dyDescent="0.2">
      <c r="B10" s="278" t="s">
        <v>525</v>
      </c>
      <c r="C10" s="278" t="s">
        <v>127</v>
      </c>
      <c r="D10" s="272" t="s">
        <v>203</v>
      </c>
      <c r="E10" s="272" t="s">
        <v>606</v>
      </c>
      <c r="F10" s="278" t="s">
        <v>116</v>
      </c>
      <c r="G10" s="278" t="s">
        <v>526</v>
      </c>
      <c r="H10" s="278" t="s">
        <v>123</v>
      </c>
      <c r="I10" s="278"/>
      <c r="J10" s="278"/>
    </row>
    <row r="11" spans="1:10" x14ac:dyDescent="0.2">
      <c r="B11" s="278" t="s">
        <v>525</v>
      </c>
      <c r="C11" s="278" t="s">
        <v>127</v>
      </c>
      <c r="D11" s="272" t="s">
        <v>591</v>
      </c>
      <c r="E11" s="272" t="s">
        <v>607</v>
      </c>
      <c r="F11" s="278" t="s">
        <v>116</v>
      </c>
      <c r="G11" s="278" t="s">
        <v>526</v>
      </c>
      <c r="H11" s="278" t="s">
        <v>123</v>
      </c>
      <c r="I11" s="278"/>
      <c r="J11" s="278"/>
    </row>
    <row r="12" spans="1:10" x14ac:dyDescent="0.2">
      <c r="B12" s="278" t="s">
        <v>525</v>
      </c>
      <c r="C12" s="278" t="s">
        <v>127</v>
      </c>
      <c r="D12" s="272" t="s">
        <v>592</v>
      </c>
      <c r="E12" s="272" t="s">
        <v>608</v>
      </c>
      <c r="F12" s="278" t="s">
        <v>116</v>
      </c>
      <c r="G12" s="278" t="s">
        <v>526</v>
      </c>
      <c r="H12" s="278" t="s">
        <v>123</v>
      </c>
      <c r="I12" s="278"/>
      <c r="J12" s="278"/>
    </row>
    <row r="13" spans="1:10" x14ac:dyDescent="0.2">
      <c r="B13" s="278" t="s">
        <v>525</v>
      </c>
      <c r="C13" s="278" t="s">
        <v>127</v>
      </c>
      <c r="D13" s="272" t="s">
        <v>420</v>
      </c>
      <c r="E13" s="272" t="s">
        <v>609</v>
      </c>
      <c r="F13" s="278" t="s">
        <v>116</v>
      </c>
      <c r="G13" s="278" t="s">
        <v>526</v>
      </c>
      <c r="H13" s="278" t="s">
        <v>123</v>
      </c>
      <c r="I13" s="278"/>
      <c r="J13" s="278"/>
    </row>
    <row r="14" spans="1:10" x14ac:dyDescent="0.2">
      <c r="B14" s="278" t="s">
        <v>525</v>
      </c>
      <c r="C14" s="278" t="s">
        <v>127</v>
      </c>
      <c r="D14" s="272" t="s">
        <v>422</v>
      </c>
      <c r="E14" s="272" t="s">
        <v>610</v>
      </c>
      <c r="F14" s="272" t="s">
        <v>116</v>
      </c>
      <c r="G14" s="272" t="s">
        <v>526</v>
      </c>
      <c r="H14" s="278" t="s">
        <v>123</v>
      </c>
      <c r="I14" s="278"/>
      <c r="J14" s="278"/>
    </row>
    <row r="15" spans="1:10" x14ac:dyDescent="0.2">
      <c r="B15" s="278" t="s">
        <v>525</v>
      </c>
      <c r="C15" s="278" t="s">
        <v>127</v>
      </c>
      <c r="D15" s="272" t="s">
        <v>424</v>
      </c>
      <c r="E15" s="272" t="s">
        <v>611</v>
      </c>
      <c r="F15" s="272" t="s">
        <v>116</v>
      </c>
      <c r="G15" s="272" t="s">
        <v>526</v>
      </c>
      <c r="H15" s="278" t="s">
        <v>123</v>
      </c>
    </row>
    <row r="16" spans="1:10" x14ac:dyDescent="0.2">
      <c r="B16" s="278" t="s">
        <v>525</v>
      </c>
      <c r="C16" s="278" t="s">
        <v>127</v>
      </c>
      <c r="D16" s="272" t="s">
        <v>603</v>
      </c>
      <c r="E16" s="272" t="s">
        <v>604</v>
      </c>
      <c r="F16" s="272" t="s">
        <v>116</v>
      </c>
      <c r="G16" s="272" t="s">
        <v>526</v>
      </c>
      <c r="H16" s="278" t="s">
        <v>123</v>
      </c>
    </row>
  </sheetData>
  <phoneticPr fontId="20"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rgb="FF0000FF"/>
  </sheetPr>
  <dimension ref="A1:Z21"/>
  <sheetViews>
    <sheetView zoomScale="145" zoomScaleNormal="145" workbookViewId="0">
      <pane xSplit="6" ySplit="7" topLeftCell="G8" activePane="bottomRight" state="frozen"/>
      <selection pane="topRight" activeCell="J1" sqref="J1"/>
      <selection pane="bottomLeft" activeCell="A8" sqref="A8"/>
      <selection pane="bottomRight" activeCell="C7" sqref="C7"/>
    </sheetView>
  </sheetViews>
  <sheetFormatPr defaultColWidth="9.140625" defaultRowHeight="11.25" customHeight="1" x14ac:dyDescent="0.2"/>
  <cols>
    <col min="1" max="1" width="12.28515625" style="3" customWidth="1"/>
    <col min="2" max="2" width="15.28515625" style="3" customWidth="1"/>
    <col min="3" max="3" width="36.140625" style="3" customWidth="1"/>
    <col min="4" max="4" width="8.5703125" style="3" customWidth="1"/>
    <col min="5" max="5" width="12.28515625" style="3" customWidth="1"/>
    <col min="6" max="6" width="10.140625" style="3" customWidth="1"/>
    <col min="7" max="9" width="9.140625" style="3"/>
    <col min="10" max="10" width="24.85546875" style="3" customWidth="1"/>
    <col min="11" max="17" width="9.140625" style="3"/>
    <col min="18" max="18" width="7.85546875" style="3" customWidth="1"/>
    <col min="19" max="16384" width="9.140625" style="3"/>
  </cols>
  <sheetData>
    <row r="1" spans="1:26" ht="11.25" customHeight="1" x14ac:dyDescent="0.2">
      <c r="A1" s="2"/>
      <c r="B1" s="9"/>
      <c r="G1" s="30"/>
    </row>
    <row r="2" spans="1:26" ht="11.25" customHeight="1" x14ac:dyDescent="0.2">
      <c r="A2"/>
      <c r="B2" s="321" t="s">
        <v>613</v>
      </c>
      <c r="G2" s="30"/>
      <c r="H2" s="30"/>
      <c r="I2" s="30"/>
      <c r="J2" s="30"/>
      <c r="K2" s="30"/>
      <c r="L2" s="30"/>
    </row>
    <row r="3" spans="1:26" ht="34.5" customHeight="1" x14ac:dyDescent="0.2">
      <c r="G3" s="86" t="s">
        <v>144</v>
      </c>
      <c r="H3" s="86" t="s">
        <v>142</v>
      </c>
      <c r="I3" s="86" t="s">
        <v>142</v>
      </c>
      <c r="J3" s="86" t="s">
        <v>142</v>
      </c>
      <c r="K3" s="86" t="s">
        <v>142</v>
      </c>
      <c r="L3" s="86" t="s">
        <v>142</v>
      </c>
      <c r="M3" s="86" t="s">
        <v>146</v>
      </c>
      <c r="N3" s="86" t="s">
        <v>182</v>
      </c>
      <c r="O3" s="86"/>
      <c r="P3" s="86" t="s">
        <v>184</v>
      </c>
      <c r="Q3" s="86" t="s">
        <v>184</v>
      </c>
      <c r="R3" s="3" t="s">
        <v>143</v>
      </c>
    </row>
    <row r="4" spans="1:26" ht="21.75" customHeight="1" x14ac:dyDescent="0.2">
      <c r="E4" s="27"/>
      <c r="F4" s="27"/>
      <c r="G4" s="34" t="s">
        <v>122</v>
      </c>
      <c r="H4" s="34" t="s">
        <v>145</v>
      </c>
      <c r="I4" s="34" t="s">
        <v>145</v>
      </c>
      <c r="J4" s="34" t="s">
        <v>145</v>
      </c>
      <c r="K4" s="34" t="s">
        <v>145</v>
      </c>
      <c r="L4" s="34" t="s">
        <v>145</v>
      </c>
      <c r="M4" s="34" t="s">
        <v>147</v>
      </c>
      <c r="N4" s="34" t="s">
        <v>183</v>
      </c>
      <c r="O4" s="34"/>
      <c r="P4" s="34" t="s">
        <v>185</v>
      </c>
      <c r="Q4" s="34" t="s">
        <v>185</v>
      </c>
      <c r="R4" s="84" t="s">
        <v>141</v>
      </c>
    </row>
    <row r="5" spans="1:26" ht="16.5" customHeight="1" x14ac:dyDescent="0.2">
      <c r="G5" s="34" t="s">
        <v>27</v>
      </c>
      <c r="H5" s="34">
        <v>2017</v>
      </c>
      <c r="I5" s="34"/>
      <c r="J5" s="34"/>
      <c r="K5" s="34"/>
      <c r="L5" s="34"/>
      <c r="P5" s="3" t="s">
        <v>216</v>
      </c>
      <c r="Q5" s="3" t="s">
        <v>467</v>
      </c>
    </row>
    <row r="6" spans="1:26" ht="17.25" customHeight="1" x14ac:dyDescent="0.2">
      <c r="F6" s="281" t="s">
        <v>535</v>
      </c>
      <c r="G6" s="34" t="s">
        <v>123</v>
      </c>
      <c r="H6" s="34"/>
      <c r="I6" s="34"/>
      <c r="J6" s="34"/>
      <c r="K6" s="34"/>
      <c r="L6" s="34"/>
      <c r="P6" s="30" t="s">
        <v>123</v>
      </c>
      <c r="Q6" s="30" t="s">
        <v>123</v>
      </c>
    </row>
    <row r="7" spans="1:26" ht="21.75" customHeight="1" x14ac:dyDescent="0.2">
      <c r="B7" s="2" t="s">
        <v>503</v>
      </c>
      <c r="C7" s="2" t="s">
        <v>536</v>
      </c>
      <c r="D7" s="6" t="s">
        <v>527</v>
      </c>
      <c r="E7" s="280" t="s">
        <v>518</v>
      </c>
      <c r="F7" s="280" t="s">
        <v>519</v>
      </c>
      <c r="G7" s="34" t="s">
        <v>122</v>
      </c>
      <c r="H7" s="279" t="s">
        <v>528</v>
      </c>
      <c r="I7" s="279" t="s">
        <v>529</v>
      </c>
      <c r="J7" s="279" t="s">
        <v>530</v>
      </c>
      <c r="K7" s="279" t="s">
        <v>531</v>
      </c>
      <c r="L7" s="279" t="s">
        <v>532</v>
      </c>
      <c r="M7" s="30" t="str">
        <f t="shared" ref="M7" si="0">IFERROR(REPLACE(M4,SEARCH("-",M4),1,"~"),M4)</f>
        <v>NCAP_FOM</v>
      </c>
      <c r="N7" s="34" t="s">
        <v>183</v>
      </c>
      <c r="O7" s="34" t="s">
        <v>559</v>
      </c>
      <c r="P7" s="86" t="str">
        <f>"ENV_ACT~"&amp;P5</f>
        <v>ENV_ACT~CO2SPIFC</v>
      </c>
      <c r="Q7" s="86" t="str">
        <f>"ENV_ACT~"&amp;Q5</f>
        <v>ENV_ACT~CO2SPIFM</v>
      </c>
      <c r="R7" s="30" t="s">
        <v>141</v>
      </c>
      <c r="S7" s="3" t="s">
        <v>207</v>
      </c>
      <c r="T7" s="3" t="s">
        <v>543</v>
      </c>
    </row>
    <row r="8" spans="1:26" ht="11.25" customHeight="1" x14ac:dyDescent="0.2">
      <c r="B8" s="30" t="str">
        <f>RES_Mn!M9</f>
        <v>IFMEAF-E</v>
      </c>
      <c r="C8" s="30" t="str">
        <f>RES_Mn!M5</f>
        <v>FerroMn existing</v>
      </c>
      <c r="D8" s="30"/>
      <c r="E8" s="90" t="str">
        <f>RES_Mn!D2</f>
        <v>IISCKE</v>
      </c>
      <c r="F8" s="90"/>
      <c r="G8" s="87"/>
      <c r="H8" s="26"/>
      <c r="I8" s="26"/>
      <c r="J8" s="26"/>
      <c r="K8" s="26"/>
      <c r="L8" s="26"/>
      <c r="M8" s="83"/>
      <c r="N8" s="83"/>
      <c r="O8" s="83"/>
      <c r="P8" s="26"/>
      <c r="Q8" s="26"/>
      <c r="R8" s="88">
        <f>EB_Exist!K23/EB_Exist!F22</f>
        <v>9.8455813953488391</v>
      </c>
      <c r="S8" s="26"/>
      <c r="T8" s="26"/>
      <c r="U8" s="26"/>
      <c r="V8" s="26"/>
      <c r="W8" s="26"/>
      <c r="X8" s="26"/>
      <c r="Y8" s="26"/>
      <c r="Z8" s="26"/>
    </row>
    <row r="9" spans="1:26" ht="11.25" customHeight="1" x14ac:dyDescent="0.2">
      <c r="B9" s="26"/>
      <c r="C9" s="26"/>
      <c r="D9" s="26"/>
      <c r="E9" s="90" t="str">
        <f>RES_Mn!E2</f>
        <v>INDCMU</v>
      </c>
      <c r="F9" s="90"/>
      <c r="G9" s="87"/>
      <c r="H9" s="87"/>
      <c r="I9" s="87"/>
      <c r="J9" s="87"/>
      <c r="K9" s="87"/>
      <c r="L9" s="87"/>
      <c r="R9" s="119">
        <f>EB_Exist!K24/EB_Exist!F22</f>
        <v>3.2818604651162797</v>
      </c>
      <c r="S9" s="26"/>
      <c r="T9" s="26"/>
      <c r="U9" s="26"/>
      <c r="V9" s="26"/>
      <c r="W9" s="26"/>
      <c r="X9" s="26"/>
      <c r="Y9" s="26"/>
      <c r="Z9" s="26"/>
    </row>
    <row r="10" spans="1:26" ht="11.25" customHeight="1" x14ac:dyDescent="0.2">
      <c r="B10" s="26"/>
      <c r="C10" s="26"/>
      <c r="D10" s="26"/>
      <c r="E10" s="89" t="str">
        <f>RES_Mn!F2</f>
        <v>IFAELC</v>
      </c>
      <c r="F10" s="26"/>
      <c r="G10" s="87"/>
      <c r="H10" s="87"/>
      <c r="I10" s="87"/>
      <c r="J10" s="87"/>
      <c r="K10" s="87"/>
      <c r="L10" s="87"/>
      <c r="R10" s="119">
        <f>EB_Exist!K25/EB_Exist!F22</f>
        <v>12.96</v>
      </c>
      <c r="S10" s="26"/>
      <c r="T10" s="26"/>
      <c r="U10" s="26"/>
      <c r="V10" s="26"/>
      <c r="W10" s="26"/>
      <c r="X10" s="26"/>
      <c r="Y10" s="26"/>
      <c r="Z10" s="26"/>
    </row>
    <row r="11" spans="1:26" ht="11.25" customHeight="1" x14ac:dyDescent="0.2">
      <c r="E11" s="90"/>
      <c r="F11" s="89" t="str">
        <f>RES_Mn!O2</f>
        <v>IFAMN</v>
      </c>
      <c r="G11" s="87"/>
      <c r="H11" s="87">
        <f>EB_Exist!K22*0.9</f>
        <v>0.68490000000000006</v>
      </c>
      <c r="I11" s="87">
        <f>H11</f>
        <v>0.68490000000000006</v>
      </c>
      <c r="J11" s="87">
        <v>0.3</v>
      </c>
      <c r="K11" s="87">
        <v>0.1</v>
      </c>
      <c r="L11" s="87">
        <v>0</v>
      </c>
      <c r="Q11" s="83">
        <f>EB_Exist!F26</f>
        <v>3225</v>
      </c>
      <c r="R11" s="26"/>
      <c r="T11" s="26">
        <v>1</v>
      </c>
      <c r="U11" s="26"/>
      <c r="V11" s="26"/>
      <c r="W11" s="26"/>
      <c r="X11" s="26"/>
      <c r="Y11" s="26"/>
      <c r="Z11" s="26"/>
    </row>
    <row r="12" spans="1:26" ht="11.25" customHeight="1" x14ac:dyDescent="0.25">
      <c r="B12" s="30" t="str">
        <f>RES_Mn!M15</f>
        <v>IFMEAF-N</v>
      </c>
      <c r="C12" s="30" t="str">
        <f>RES_Mn!M12</f>
        <v>FerroMn New</v>
      </c>
      <c r="D12" s="30"/>
      <c r="E12" s="90" t="str">
        <f>RES_Mn!D2</f>
        <v>IISCKE</v>
      </c>
      <c r="F12" s="89"/>
      <c r="G12" s="87"/>
      <c r="H12" s="87"/>
      <c r="I12" s="87"/>
      <c r="J12" s="87"/>
      <c r="K12" s="87"/>
      <c r="L12" s="87"/>
      <c r="R12" s="116">
        <f>R8/2</f>
        <v>4.9227906976744196</v>
      </c>
      <c r="T12" s="26"/>
      <c r="U12" s="26"/>
      <c r="V12" s="26"/>
      <c r="W12" s="26"/>
      <c r="X12" s="26"/>
      <c r="Y12" s="26"/>
      <c r="Z12" s="26"/>
    </row>
    <row r="13" spans="1:26" ht="11.25" customHeight="1" x14ac:dyDescent="0.25">
      <c r="E13" s="90" t="str">
        <f>RES_Mn!E2</f>
        <v>INDCMU</v>
      </c>
      <c r="F13" s="89"/>
      <c r="R13" s="229">
        <f>R9</f>
        <v>3.2818604651162797</v>
      </c>
      <c r="S13" s="26"/>
      <c r="T13" s="26"/>
      <c r="U13" s="26"/>
      <c r="V13" s="26"/>
      <c r="W13" s="26"/>
      <c r="X13" s="26"/>
      <c r="Y13" s="26"/>
      <c r="Z13" s="26"/>
    </row>
    <row r="14" spans="1:26" ht="11.25" customHeight="1" x14ac:dyDescent="0.25">
      <c r="E14" s="90" t="str">
        <f>RES_Mn!F2</f>
        <v>IFAELC</v>
      </c>
      <c r="F14" s="26"/>
      <c r="R14" s="116">
        <f>EB_Exist!U55</f>
        <v>10.08</v>
      </c>
      <c r="S14" s="26"/>
      <c r="T14" s="26"/>
      <c r="U14" s="26"/>
      <c r="V14" s="26"/>
      <c r="W14" s="26"/>
      <c r="X14" s="26"/>
      <c r="Y14" s="26"/>
      <c r="Z14" s="26"/>
    </row>
    <row r="15" spans="1:26" ht="11.25" customHeight="1" x14ac:dyDescent="0.25">
      <c r="E15" s="90" t="str">
        <f>RES_Mn!G2</f>
        <v>IFACHA</v>
      </c>
      <c r="F15" s="33"/>
      <c r="R15" s="116">
        <f>R12*1.1</f>
        <v>5.415069767441862</v>
      </c>
      <c r="S15" s="26"/>
      <c r="T15" s="26"/>
      <c r="U15" s="26"/>
      <c r="V15" s="26"/>
      <c r="W15" s="26"/>
      <c r="X15" s="26"/>
      <c r="Y15" s="26"/>
      <c r="Z15" s="26"/>
    </row>
    <row r="16" spans="1:26" ht="11.25" customHeight="1" x14ac:dyDescent="0.25">
      <c r="F16" s="90" t="str">
        <f>RES_Mn!O2</f>
        <v>IFAMN</v>
      </c>
      <c r="M16" s="117">
        <f>2%*N16</f>
        <v>201.44</v>
      </c>
      <c r="N16" s="117">
        <v>10072</v>
      </c>
      <c r="O16" s="117">
        <v>20</v>
      </c>
      <c r="P16" s="117"/>
      <c r="Q16" s="117">
        <v>2102</v>
      </c>
      <c r="S16" s="26">
        <v>2025</v>
      </c>
      <c r="T16" s="3">
        <v>1</v>
      </c>
    </row>
    <row r="17" spans="2:20" ht="11.25" customHeight="1" x14ac:dyDescent="0.25">
      <c r="B17" s="30" t="str">
        <f>RES_Mn!M22</f>
        <v>IFMEAFB-N</v>
      </c>
      <c r="C17" s="30" t="str">
        <f>RES_Mn!M18</f>
        <v>FerroMn with biomass</v>
      </c>
      <c r="D17" s="30"/>
      <c r="E17" s="90" t="str">
        <f>E12</f>
        <v>IISCKE</v>
      </c>
      <c r="F17" s="89"/>
      <c r="G17" s="87"/>
      <c r="H17" s="87"/>
      <c r="I17" s="87"/>
      <c r="J17" s="87"/>
      <c r="K17" s="87"/>
      <c r="L17" s="87"/>
      <c r="R17" s="116">
        <f>R8*0.25</f>
        <v>2.4613953488372098</v>
      </c>
    </row>
    <row r="18" spans="2:20" ht="11.25" customHeight="1" x14ac:dyDescent="0.25">
      <c r="E18" s="90" t="str">
        <f>E13</f>
        <v>INDCMU</v>
      </c>
      <c r="F18" s="89"/>
      <c r="R18" s="229">
        <f>R9</f>
        <v>3.2818604651162797</v>
      </c>
    </row>
    <row r="19" spans="2:20" ht="11.25" customHeight="1" x14ac:dyDescent="0.25">
      <c r="E19" s="90" t="str">
        <f>E14</f>
        <v>IFAELC</v>
      </c>
      <c r="F19" s="26"/>
      <c r="R19" s="116">
        <f>R14</f>
        <v>10.08</v>
      </c>
    </row>
    <row r="20" spans="2:20" ht="11.25" customHeight="1" x14ac:dyDescent="0.25">
      <c r="E20" s="90" t="str">
        <f>E15</f>
        <v>IFACHA</v>
      </c>
      <c r="F20" s="33"/>
      <c r="R20" s="116">
        <f>R8*0.75*1.1</f>
        <v>8.1226046511627938</v>
      </c>
    </row>
    <row r="21" spans="2:20" ht="11.25" customHeight="1" x14ac:dyDescent="0.25">
      <c r="F21" s="90" t="str">
        <f>F16</f>
        <v>IFAMN</v>
      </c>
      <c r="M21" s="117">
        <f>2%*N21</f>
        <v>221.58</v>
      </c>
      <c r="N21" s="117">
        <v>11079</v>
      </c>
      <c r="O21" s="117">
        <v>20</v>
      </c>
      <c r="P21" s="117"/>
      <c r="Q21" s="117">
        <v>933</v>
      </c>
      <c r="S21" s="26">
        <v>2025</v>
      </c>
      <c r="T21" s="3">
        <v>1</v>
      </c>
    </row>
  </sheetData>
  <pageMargins left="0.75" right="0.75" top="1" bottom="1" header="0.5" footer="0.5"/>
  <pageSetup paperSize="9" orientation="landscape" horizontalDpi="1200"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O83"/>
  <sheetViews>
    <sheetView zoomScaleNormal="100" workbookViewId="0">
      <selection activeCell="C13" sqref="C13"/>
    </sheetView>
  </sheetViews>
  <sheetFormatPr defaultColWidth="9.140625" defaultRowHeight="15" x14ac:dyDescent="0.25"/>
  <cols>
    <col min="1" max="1" width="9.140625" style="35"/>
    <col min="2" max="2" width="9.140625" style="35" customWidth="1"/>
    <col min="3" max="3" width="20.7109375" style="35" customWidth="1"/>
    <col min="4" max="15" width="3.5703125" style="35" customWidth="1"/>
    <col min="16" max="16" width="4" style="35" customWidth="1"/>
    <col min="17" max="17" width="4.5703125" style="35" customWidth="1"/>
    <col min="18" max="18" width="29.85546875" style="35" customWidth="1"/>
    <col min="19" max="19" width="4" style="35" customWidth="1"/>
    <col min="20" max="23" width="3.5703125" style="35" customWidth="1"/>
    <col min="24" max="24" width="3.7109375" style="35" customWidth="1"/>
    <col min="25" max="25" width="3.85546875" style="35" customWidth="1"/>
    <col min="26" max="26" width="4" style="35" customWidth="1"/>
    <col min="27" max="27" width="25.5703125" style="35" customWidth="1"/>
    <col min="28" max="37" width="3.5703125" style="35" customWidth="1"/>
    <col min="38" max="16384" width="9.140625" style="35"/>
  </cols>
  <sheetData>
    <row r="1" spans="3:41" x14ac:dyDescent="0.25">
      <c r="S1" s="35" t="s">
        <v>126</v>
      </c>
      <c r="AB1" s="101" t="s">
        <v>152</v>
      </c>
    </row>
    <row r="2" spans="3:41" ht="84" customHeight="1" x14ac:dyDescent="0.25">
      <c r="C2" s="38"/>
      <c r="D2" s="111" t="s">
        <v>194</v>
      </c>
      <c r="E2" s="317" t="s">
        <v>556</v>
      </c>
      <c r="F2" s="111" t="s">
        <v>192</v>
      </c>
      <c r="G2" s="215" t="s">
        <v>533</v>
      </c>
      <c r="H2" s="102"/>
      <c r="I2" s="215" t="s">
        <v>194</v>
      </c>
      <c r="J2" s="283" t="str">
        <f>E2</f>
        <v>INDCMU</v>
      </c>
      <c r="K2" s="215" t="s">
        <v>192</v>
      </c>
      <c r="L2" s="215" t="s">
        <v>533</v>
      </c>
      <c r="M2" s="102"/>
      <c r="N2" s="231" t="s">
        <v>201</v>
      </c>
      <c r="O2" s="59"/>
      <c r="P2" s="60"/>
      <c r="Q2" s="61"/>
      <c r="R2" s="38"/>
      <c r="T2" s="120" t="s">
        <v>208</v>
      </c>
      <c r="U2" s="120"/>
      <c r="V2" s="215" t="s">
        <v>425</v>
      </c>
      <c r="W2" s="102"/>
      <c r="AB2" s="102"/>
      <c r="AC2" s="102"/>
      <c r="AD2" s="102"/>
      <c r="AE2" s="63"/>
      <c r="AF2" s="63"/>
      <c r="AG2" s="63"/>
      <c r="AH2" s="63"/>
      <c r="AI2" s="59"/>
      <c r="AJ2" s="91"/>
      <c r="AK2" s="93"/>
    </row>
    <row r="3" spans="3:41" ht="204.75" customHeight="1" x14ac:dyDescent="0.25">
      <c r="C3" s="38" t="s">
        <v>125</v>
      </c>
      <c r="D3" s="111" t="s">
        <v>195</v>
      </c>
      <c r="E3" s="317" t="s">
        <v>557</v>
      </c>
      <c r="F3" s="111" t="s">
        <v>193</v>
      </c>
      <c r="G3" s="112" t="s">
        <v>198</v>
      </c>
      <c r="H3" s="102"/>
      <c r="I3" s="215" t="s">
        <v>195</v>
      </c>
      <c r="J3" s="215" t="str">
        <f>E3</f>
        <v>Feedstock coal (no emissions associated)</v>
      </c>
      <c r="K3" s="215" t="s">
        <v>193</v>
      </c>
      <c r="L3" s="215" t="s">
        <v>198</v>
      </c>
      <c r="M3" s="102"/>
      <c r="N3" s="102"/>
      <c r="O3" s="59"/>
      <c r="P3" s="60"/>
      <c r="Q3" s="61"/>
      <c r="R3" s="38" t="s">
        <v>124</v>
      </c>
      <c r="T3" s="112" t="s">
        <v>200</v>
      </c>
      <c r="U3" s="112"/>
      <c r="V3" s="215" t="s">
        <v>200</v>
      </c>
      <c r="W3" s="102"/>
      <c r="AB3" s="102"/>
      <c r="AC3" s="102"/>
      <c r="AD3" s="102"/>
      <c r="AE3" s="102"/>
      <c r="AF3" s="102"/>
      <c r="AG3" s="102"/>
      <c r="AH3" s="102"/>
      <c r="AI3" s="59"/>
      <c r="AJ3" s="93"/>
      <c r="AK3" s="99"/>
    </row>
    <row r="4" spans="3:41" x14ac:dyDescent="0.25">
      <c r="D4" s="37"/>
      <c r="E4" s="37"/>
      <c r="F4" s="37"/>
      <c r="G4" s="37"/>
      <c r="H4" s="37"/>
      <c r="I4" s="37"/>
      <c r="J4" s="37"/>
      <c r="K4" s="37"/>
      <c r="L4" s="37"/>
      <c r="M4" s="37"/>
      <c r="N4" s="37"/>
      <c r="O4" s="37"/>
      <c r="P4" s="40"/>
      <c r="Q4" s="38"/>
      <c r="T4" s="37"/>
      <c r="U4" s="37"/>
      <c r="V4" s="37"/>
      <c r="W4" s="37"/>
      <c r="AB4" s="37"/>
      <c r="AC4" s="37"/>
      <c r="AD4" s="37"/>
      <c r="AE4" s="37"/>
      <c r="AF4" s="37"/>
      <c r="AG4" s="37"/>
      <c r="AH4" s="37"/>
      <c r="AI4" s="37"/>
      <c r="AJ4" s="37"/>
      <c r="AK4" s="37"/>
    </row>
    <row r="5" spans="3:41" x14ac:dyDescent="0.25">
      <c r="D5" s="37"/>
      <c r="E5" s="41"/>
      <c r="F5" s="44"/>
      <c r="G5" s="41"/>
      <c r="H5" s="41"/>
      <c r="I5" s="41"/>
      <c r="J5" s="41"/>
      <c r="K5" s="41"/>
      <c r="L5" s="41"/>
      <c r="M5" s="41"/>
      <c r="N5" s="41"/>
      <c r="O5" s="44"/>
      <c r="P5" s="48"/>
      <c r="Q5" s="44"/>
      <c r="R5" s="49" t="s">
        <v>202</v>
      </c>
      <c r="S5" s="48"/>
      <c r="T5" s="44"/>
      <c r="U5" s="37"/>
      <c r="V5" s="37"/>
      <c r="W5" s="50"/>
      <c r="AB5" s="37"/>
      <c r="AC5" s="37"/>
      <c r="AD5" s="37"/>
      <c r="AE5" s="37"/>
      <c r="AF5" s="37"/>
      <c r="AG5" s="37"/>
      <c r="AH5" s="37"/>
      <c r="AI5" s="37"/>
      <c r="AJ5" s="37"/>
      <c r="AK5" s="37"/>
      <c r="AN5" s="101"/>
      <c r="AO5" s="58"/>
    </row>
    <row r="6" spans="3:41" x14ac:dyDescent="0.25">
      <c r="C6" s="38"/>
      <c r="D6" s="37"/>
      <c r="E6" s="37"/>
      <c r="F6" s="45"/>
      <c r="G6" s="45"/>
      <c r="H6" s="52"/>
      <c r="I6" s="52"/>
      <c r="J6" s="52"/>
      <c r="K6" s="52"/>
      <c r="L6" s="52"/>
      <c r="M6" s="52"/>
      <c r="N6" s="45"/>
      <c r="O6" s="52"/>
      <c r="P6" s="94"/>
      <c r="Q6" s="52"/>
      <c r="R6" s="57"/>
      <c r="S6" s="47"/>
      <c r="T6" s="46"/>
      <c r="U6" s="37"/>
      <c r="V6" s="37"/>
      <c r="W6" s="39"/>
      <c r="AB6" s="37"/>
      <c r="AC6" s="37"/>
      <c r="AD6" s="37"/>
      <c r="AE6" s="37"/>
      <c r="AF6" s="37"/>
      <c r="AG6" s="37"/>
      <c r="AH6" s="37"/>
      <c r="AI6" s="37"/>
      <c r="AJ6" s="37"/>
      <c r="AK6" s="37"/>
      <c r="AN6" s="101"/>
      <c r="AO6" s="54"/>
    </row>
    <row r="7" spans="3:41" x14ac:dyDescent="0.25">
      <c r="C7" s="38"/>
      <c r="D7" s="37"/>
      <c r="E7" s="37"/>
      <c r="F7" s="37"/>
      <c r="G7" s="45"/>
      <c r="H7" s="52"/>
      <c r="I7" s="52"/>
      <c r="J7" s="52"/>
      <c r="K7" s="52"/>
      <c r="L7" s="52"/>
      <c r="M7" s="52"/>
      <c r="N7" s="45"/>
      <c r="O7" s="52"/>
      <c r="P7" s="94"/>
      <c r="Q7" s="52"/>
      <c r="R7" s="113" t="s">
        <v>199</v>
      </c>
      <c r="T7" s="50"/>
      <c r="U7" s="37"/>
      <c r="W7" s="39"/>
      <c r="AB7" s="37"/>
      <c r="AC7" s="37"/>
      <c r="AD7" s="37"/>
      <c r="AE7" s="37"/>
      <c r="AF7" s="37"/>
      <c r="AG7" s="37"/>
      <c r="AH7" s="37"/>
      <c r="AI7" s="37"/>
      <c r="AJ7" s="37"/>
      <c r="AK7" s="37"/>
      <c r="AN7" s="101"/>
      <c r="AO7" s="56"/>
    </row>
    <row r="8" spans="3:41" x14ac:dyDescent="0.25">
      <c r="C8" s="38"/>
      <c r="D8" s="37"/>
      <c r="E8" s="37"/>
      <c r="F8" s="37"/>
      <c r="G8" s="37"/>
      <c r="H8" s="37"/>
      <c r="I8" s="37"/>
      <c r="J8" s="37"/>
      <c r="K8" s="37"/>
      <c r="L8" s="37"/>
      <c r="M8" s="37"/>
      <c r="N8" s="37"/>
      <c r="O8" s="51"/>
      <c r="P8" s="47"/>
      <c r="Q8" s="46"/>
      <c r="R8" s="43"/>
      <c r="S8" s="38"/>
      <c r="T8" s="37"/>
      <c r="U8" s="37"/>
      <c r="V8" s="38"/>
      <c r="W8" s="39"/>
      <c r="AB8" s="37"/>
      <c r="AC8" s="37"/>
      <c r="AD8" s="37"/>
      <c r="AE8" s="39"/>
      <c r="AF8" s="37"/>
      <c r="AG8" s="37"/>
      <c r="AH8" s="37"/>
      <c r="AI8" s="37"/>
      <c r="AJ8" s="37"/>
      <c r="AK8" s="37"/>
      <c r="AN8" s="101"/>
      <c r="AO8" s="53"/>
    </row>
    <row r="9" spans="3:41" x14ac:dyDescent="0.25">
      <c r="C9" s="38"/>
      <c r="D9" s="37"/>
      <c r="E9" s="37"/>
      <c r="F9" s="37"/>
      <c r="G9" s="37"/>
      <c r="H9" s="37"/>
      <c r="I9" s="37"/>
      <c r="J9" s="37"/>
      <c r="K9" s="37"/>
      <c r="L9" s="37"/>
      <c r="M9" s="37"/>
      <c r="N9" s="37"/>
      <c r="O9" s="37"/>
      <c r="P9" s="40"/>
      <c r="Q9" s="38"/>
      <c r="R9" s="118" t="s">
        <v>204</v>
      </c>
      <c r="S9" s="38"/>
      <c r="T9" s="37"/>
      <c r="U9" s="37"/>
      <c r="V9" s="37"/>
      <c r="W9" s="39"/>
      <c r="AB9" s="37"/>
      <c r="AC9" s="37"/>
      <c r="AD9" s="37"/>
      <c r="AE9" s="37"/>
      <c r="AF9" s="37"/>
      <c r="AG9" s="37"/>
      <c r="AH9" s="37"/>
      <c r="AI9" s="37"/>
      <c r="AJ9" s="37"/>
      <c r="AK9" s="37"/>
      <c r="AL9" s="42"/>
      <c r="AN9" s="101"/>
      <c r="AO9" s="55"/>
    </row>
    <row r="10" spans="3:41" x14ac:dyDescent="0.25">
      <c r="C10" s="38"/>
      <c r="D10" s="37"/>
      <c r="E10" s="37"/>
      <c r="F10" s="37"/>
      <c r="G10" s="37"/>
      <c r="H10" s="37"/>
      <c r="I10" s="37"/>
      <c r="J10" s="37"/>
      <c r="K10" s="37"/>
      <c r="L10" s="37"/>
      <c r="M10" s="37"/>
      <c r="N10" s="37"/>
      <c r="O10" s="37"/>
      <c r="P10" s="40"/>
      <c r="Q10" s="38"/>
      <c r="S10" s="38"/>
      <c r="T10" s="37"/>
      <c r="U10" s="37"/>
      <c r="V10" s="37"/>
      <c r="W10" s="39"/>
      <c r="AB10" s="37"/>
      <c r="AC10" s="37"/>
      <c r="AD10" s="37"/>
      <c r="AE10" s="37"/>
      <c r="AF10" s="37"/>
      <c r="AG10" s="37"/>
      <c r="AH10" s="37"/>
      <c r="AI10" s="37"/>
      <c r="AJ10" s="37"/>
      <c r="AK10" s="37"/>
    </row>
    <row r="11" spans="3:41" x14ac:dyDescent="0.25">
      <c r="C11" s="38"/>
      <c r="D11" s="37"/>
      <c r="E11" s="37"/>
      <c r="F11" s="37"/>
      <c r="G11" s="37"/>
      <c r="H11" s="37"/>
      <c r="I11" s="37"/>
      <c r="J11" s="37"/>
      <c r="K11" s="37"/>
      <c r="L11" s="37"/>
      <c r="M11" s="37"/>
      <c r="N11" s="37"/>
      <c r="O11" s="37"/>
      <c r="P11" s="40"/>
      <c r="Q11" s="38"/>
      <c r="S11" s="38"/>
      <c r="T11" s="37"/>
      <c r="U11" s="37"/>
      <c r="V11" s="37"/>
      <c r="W11" s="39"/>
      <c r="AB11" s="37"/>
      <c r="AC11" s="37"/>
      <c r="AD11" s="37"/>
      <c r="AE11" s="37"/>
      <c r="AF11" s="37"/>
      <c r="AG11" s="37"/>
      <c r="AH11" s="37"/>
      <c r="AI11" s="37"/>
      <c r="AJ11" s="37"/>
      <c r="AK11" s="37"/>
    </row>
    <row r="12" spans="3:41" x14ac:dyDescent="0.25">
      <c r="C12" s="38"/>
      <c r="D12" s="37"/>
      <c r="E12" s="41"/>
      <c r="F12" s="44"/>
      <c r="G12" s="41"/>
      <c r="H12" s="41"/>
      <c r="I12" s="41"/>
      <c r="J12" s="41"/>
      <c r="K12" s="41"/>
      <c r="L12" s="41"/>
      <c r="M12" s="41"/>
      <c r="N12" s="41"/>
      <c r="O12" s="44"/>
      <c r="P12" s="48"/>
      <c r="Q12" s="44"/>
      <c r="R12" s="49" t="s">
        <v>602</v>
      </c>
      <c r="S12" s="48"/>
      <c r="T12" s="44"/>
      <c r="U12" s="37"/>
      <c r="V12" s="37"/>
      <c r="W12" s="39"/>
      <c r="AB12" s="37"/>
      <c r="AC12" s="37"/>
      <c r="AD12" s="37"/>
      <c r="AE12" s="37"/>
      <c r="AF12" s="37"/>
      <c r="AG12" s="37"/>
      <c r="AH12" s="37"/>
      <c r="AI12" s="37"/>
      <c r="AJ12" s="37"/>
      <c r="AK12" s="37"/>
    </row>
    <row r="13" spans="3:41" x14ac:dyDescent="0.25">
      <c r="C13" s="38"/>
      <c r="D13" s="37"/>
      <c r="E13" s="37"/>
      <c r="F13" s="45"/>
      <c r="G13" s="45"/>
      <c r="H13" s="52"/>
      <c r="I13" s="52"/>
      <c r="J13" s="52"/>
      <c r="K13" s="52"/>
      <c r="L13" s="52"/>
      <c r="M13" s="52"/>
      <c r="N13" s="45"/>
      <c r="O13" s="52"/>
      <c r="P13" s="94"/>
      <c r="Q13" s="52"/>
      <c r="R13" s="57"/>
      <c r="S13" s="47"/>
      <c r="T13" s="46"/>
      <c r="U13" s="37"/>
      <c r="V13" s="37"/>
      <c r="W13" s="39"/>
      <c r="AB13" s="37"/>
      <c r="AC13" s="37"/>
      <c r="AD13" s="37"/>
      <c r="AE13" s="37"/>
      <c r="AF13" s="37"/>
      <c r="AG13" s="37"/>
      <c r="AH13" s="37"/>
      <c r="AI13" s="37"/>
      <c r="AJ13" s="37"/>
      <c r="AK13" s="37"/>
      <c r="AN13" s="36"/>
    </row>
    <row r="14" spans="3:41" x14ac:dyDescent="0.25">
      <c r="C14" s="38"/>
      <c r="D14" s="37"/>
      <c r="E14" s="37"/>
      <c r="F14" s="37"/>
      <c r="G14" s="45"/>
      <c r="H14" s="52"/>
      <c r="I14" s="52"/>
      <c r="J14" s="52"/>
      <c r="K14" s="52"/>
      <c r="L14" s="52"/>
      <c r="M14" s="52"/>
      <c r="N14" s="45"/>
      <c r="O14" s="52"/>
      <c r="P14" s="94"/>
      <c r="Q14" s="52"/>
      <c r="R14" s="43"/>
      <c r="T14" s="50"/>
      <c r="U14" s="37"/>
      <c r="W14" s="39"/>
      <c r="AB14" s="37"/>
      <c r="AC14" s="37"/>
      <c r="AD14" s="37"/>
      <c r="AE14" s="37"/>
      <c r="AF14" s="37"/>
      <c r="AG14" s="37"/>
      <c r="AH14" s="37"/>
      <c r="AI14" s="37"/>
      <c r="AJ14" s="37"/>
      <c r="AK14" s="37"/>
    </row>
    <row r="15" spans="3:41" x14ac:dyDescent="0.25">
      <c r="C15" s="38"/>
      <c r="D15" s="37"/>
      <c r="E15" s="37"/>
      <c r="F15" s="37"/>
      <c r="G15" s="37"/>
      <c r="H15" s="37"/>
      <c r="I15" s="37"/>
      <c r="J15" s="37"/>
      <c r="K15" s="37"/>
      <c r="L15" s="37"/>
      <c r="M15" s="37"/>
      <c r="N15" s="37"/>
      <c r="O15" s="37"/>
      <c r="P15" s="40"/>
      <c r="Q15" s="38"/>
      <c r="R15" s="118" t="s">
        <v>203</v>
      </c>
      <c r="S15" s="38"/>
      <c r="T15" s="37"/>
      <c r="U15" s="37"/>
      <c r="V15" s="38"/>
      <c r="W15" s="39"/>
      <c r="AB15" s="37"/>
      <c r="AC15" s="37"/>
      <c r="AD15" s="37"/>
      <c r="AE15" s="37"/>
      <c r="AF15" s="37"/>
      <c r="AG15" s="37"/>
      <c r="AH15" s="37"/>
      <c r="AI15" s="37"/>
      <c r="AJ15" s="37"/>
      <c r="AK15" s="37"/>
    </row>
    <row r="16" spans="3:41" x14ac:dyDescent="0.25">
      <c r="C16" s="38"/>
      <c r="D16" s="37"/>
      <c r="E16" s="37"/>
      <c r="F16" s="37"/>
      <c r="G16" s="37"/>
      <c r="H16" s="37"/>
      <c r="I16" s="37"/>
      <c r="J16" s="37"/>
      <c r="K16" s="37"/>
      <c r="L16" s="37"/>
      <c r="M16" s="37"/>
      <c r="N16" s="37"/>
      <c r="O16" s="37"/>
      <c r="P16" s="40"/>
      <c r="Q16" s="38"/>
      <c r="S16" s="38"/>
      <c r="T16" s="37"/>
      <c r="U16" s="37"/>
      <c r="V16" s="37"/>
      <c r="W16" s="39"/>
      <c r="AB16" s="37"/>
      <c r="AC16" s="37"/>
      <c r="AD16" s="37"/>
      <c r="AE16" s="37"/>
      <c r="AF16" s="37"/>
      <c r="AG16" s="37"/>
      <c r="AH16" s="37"/>
      <c r="AI16" s="37"/>
      <c r="AJ16" s="37"/>
      <c r="AK16" s="37"/>
    </row>
    <row r="17" spans="3:40" x14ac:dyDescent="0.25">
      <c r="C17" s="38"/>
      <c r="D17" s="37"/>
      <c r="E17" s="37"/>
      <c r="F17" s="37"/>
      <c r="G17" s="37"/>
      <c r="H17" s="37"/>
      <c r="I17" s="37"/>
      <c r="J17" s="37"/>
      <c r="K17" s="37"/>
      <c r="L17" s="37"/>
      <c r="M17" s="37"/>
      <c r="N17" s="37"/>
      <c r="O17" s="37"/>
      <c r="P17" s="40"/>
      <c r="Q17" s="38"/>
      <c r="S17" s="38"/>
      <c r="T17" s="37"/>
      <c r="U17" s="37"/>
      <c r="V17" s="37"/>
      <c r="W17" s="39"/>
      <c r="AB17" s="37"/>
      <c r="AC17" s="37"/>
      <c r="AD17" s="37"/>
      <c r="AE17" s="37"/>
      <c r="AF17" s="37"/>
      <c r="AG17" s="37"/>
      <c r="AH17" s="37"/>
      <c r="AI17" s="37"/>
      <c r="AJ17" s="37"/>
      <c r="AK17" s="37"/>
      <c r="AN17" s="36"/>
    </row>
    <row r="18" spans="3:40" x14ac:dyDescent="0.25">
      <c r="C18" s="38"/>
      <c r="D18" s="37"/>
      <c r="E18" s="41"/>
      <c r="F18" s="44"/>
      <c r="G18" s="41"/>
      <c r="H18" s="41"/>
      <c r="I18" s="41"/>
      <c r="J18" s="41"/>
      <c r="K18" s="41"/>
      <c r="L18" s="41"/>
      <c r="M18" s="41"/>
      <c r="N18" s="41"/>
      <c r="O18" s="44"/>
      <c r="P18" s="48"/>
      <c r="Q18" s="44"/>
      <c r="R18" s="49" t="s">
        <v>206</v>
      </c>
      <c r="S18" s="48"/>
      <c r="T18" s="44"/>
      <c r="U18" s="37"/>
      <c r="V18" s="37"/>
      <c r="W18" s="39"/>
      <c r="AB18" s="37"/>
      <c r="AC18" s="37"/>
      <c r="AD18" s="37"/>
      <c r="AE18" s="37"/>
      <c r="AF18" s="37"/>
      <c r="AG18" s="37"/>
      <c r="AH18" s="37"/>
      <c r="AI18" s="37"/>
      <c r="AJ18" s="37"/>
      <c r="AK18" s="37"/>
      <c r="AN18" s="54"/>
    </row>
    <row r="19" spans="3:40" x14ac:dyDescent="0.25">
      <c r="C19" s="38"/>
      <c r="D19" s="37"/>
      <c r="E19" s="37"/>
      <c r="F19" s="45"/>
      <c r="G19" s="45"/>
      <c r="H19" s="52"/>
      <c r="I19" s="52"/>
      <c r="J19" s="52"/>
      <c r="K19" s="52"/>
      <c r="L19" s="52"/>
      <c r="M19" s="52"/>
      <c r="N19" s="45"/>
      <c r="O19" s="52"/>
      <c r="P19" s="94"/>
      <c r="Q19" s="52"/>
      <c r="R19" s="57"/>
      <c r="S19" s="47"/>
      <c r="T19" s="46"/>
      <c r="U19" s="37"/>
      <c r="V19" s="37"/>
      <c r="W19" s="39"/>
      <c r="AB19" s="37"/>
      <c r="AC19" s="37"/>
      <c r="AD19" s="37"/>
      <c r="AE19" s="37"/>
      <c r="AF19" s="37"/>
      <c r="AG19" s="37"/>
      <c r="AH19" s="37"/>
      <c r="AI19" s="37"/>
      <c r="AJ19" s="37"/>
      <c r="AK19" s="37"/>
      <c r="AN19" s="54"/>
    </row>
    <row r="20" spans="3:40" x14ac:dyDescent="0.25">
      <c r="C20" s="38"/>
      <c r="D20" s="37"/>
      <c r="E20" s="37"/>
      <c r="F20" s="37"/>
      <c r="G20" s="45"/>
      <c r="H20" s="52"/>
      <c r="I20" s="52"/>
      <c r="J20" s="52"/>
      <c r="K20" s="52"/>
      <c r="L20" s="52"/>
      <c r="M20" s="52"/>
      <c r="N20" s="45"/>
      <c r="O20" s="52"/>
      <c r="P20" s="94"/>
      <c r="Q20" s="52"/>
      <c r="R20" s="43"/>
      <c r="T20" s="50"/>
      <c r="U20" s="37"/>
      <c r="W20" s="39"/>
      <c r="AB20" s="37"/>
      <c r="AC20" s="37"/>
      <c r="AD20" s="37"/>
      <c r="AE20" s="37"/>
      <c r="AF20" s="37"/>
      <c r="AG20" s="37"/>
      <c r="AH20" s="37"/>
      <c r="AI20" s="37"/>
      <c r="AJ20" s="37"/>
      <c r="AK20" s="37"/>
      <c r="AN20" s="54"/>
    </row>
    <row r="21" spans="3:40" x14ac:dyDescent="0.25">
      <c r="C21" s="38"/>
      <c r="D21" s="37"/>
      <c r="E21" s="37"/>
      <c r="F21" s="37"/>
      <c r="G21" s="37"/>
      <c r="H21" s="45"/>
      <c r="I21" s="52"/>
      <c r="J21" s="52"/>
      <c r="K21" s="52"/>
      <c r="L21" s="52"/>
      <c r="M21" s="52"/>
      <c r="N21" s="52"/>
      <c r="O21" s="52"/>
      <c r="P21" s="94"/>
      <c r="Q21" s="52"/>
      <c r="R21" s="43"/>
      <c r="S21" s="38"/>
      <c r="T21" s="37"/>
      <c r="U21" s="37"/>
      <c r="V21" s="38"/>
      <c r="W21" s="39"/>
      <c r="AB21" s="37"/>
      <c r="AC21" s="37"/>
      <c r="AD21" s="37"/>
      <c r="AE21" s="37"/>
      <c r="AF21" s="37"/>
      <c r="AG21" s="37"/>
      <c r="AH21" s="37"/>
      <c r="AI21" s="37"/>
      <c r="AJ21" s="37"/>
      <c r="AK21" s="37"/>
      <c r="AN21" s="53"/>
    </row>
    <row r="22" spans="3:40" x14ac:dyDescent="0.25">
      <c r="C22" s="38"/>
      <c r="D22" s="37"/>
      <c r="E22" s="37"/>
      <c r="F22" s="37"/>
      <c r="G22" s="37"/>
      <c r="H22" s="37"/>
      <c r="I22" s="37"/>
      <c r="J22" s="37"/>
      <c r="K22" s="37"/>
      <c r="L22" s="37"/>
      <c r="M22" s="37"/>
      <c r="N22" s="37"/>
      <c r="O22" s="37"/>
      <c r="P22" s="40"/>
      <c r="Q22" s="38"/>
      <c r="R22" s="118" t="s">
        <v>205</v>
      </c>
      <c r="S22" s="38"/>
      <c r="T22" s="37"/>
      <c r="U22" s="37"/>
      <c r="V22" s="37"/>
      <c r="W22" s="39"/>
      <c r="AB22" s="37"/>
      <c r="AC22" s="37"/>
      <c r="AD22" s="37"/>
      <c r="AE22" s="37"/>
      <c r="AF22" s="37"/>
      <c r="AG22" s="37"/>
      <c r="AH22" s="37"/>
      <c r="AI22" s="37"/>
      <c r="AJ22" s="37"/>
      <c r="AK22" s="37"/>
    </row>
    <row r="23" spans="3:40" x14ac:dyDescent="0.25">
      <c r="C23" s="38"/>
      <c r="D23" s="37"/>
      <c r="E23" s="37"/>
      <c r="F23" s="37"/>
      <c r="G23" s="37"/>
      <c r="H23" s="37"/>
      <c r="I23" s="37"/>
      <c r="J23" s="37"/>
      <c r="K23" s="37"/>
      <c r="L23" s="37"/>
      <c r="M23" s="37"/>
      <c r="N23" s="37"/>
      <c r="O23" s="37"/>
      <c r="P23" s="40"/>
      <c r="Q23" s="38"/>
      <c r="S23" s="38"/>
      <c r="T23" s="37"/>
      <c r="U23" s="37"/>
      <c r="V23" s="37"/>
      <c r="W23" s="39"/>
      <c r="AB23" s="37"/>
      <c r="AC23" s="37"/>
      <c r="AD23" s="37"/>
      <c r="AE23" s="37"/>
      <c r="AF23" s="37"/>
      <c r="AG23" s="37"/>
      <c r="AH23" s="37"/>
      <c r="AI23" s="37"/>
      <c r="AJ23" s="37"/>
      <c r="AK23" s="37"/>
    </row>
    <row r="24" spans="3:40" x14ac:dyDescent="0.25">
      <c r="C24" s="38"/>
      <c r="D24" s="37"/>
      <c r="E24" s="37"/>
      <c r="F24" s="37"/>
      <c r="G24" s="37"/>
      <c r="H24" s="37"/>
      <c r="I24" s="37"/>
      <c r="J24" s="37"/>
      <c r="K24" s="37"/>
      <c r="L24" s="37"/>
      <c r="M24" s="37"/>
      <c r="N24" s="37"/>
      <c r="O24" s="37"/>
      <c r="P24" s="40"/>
      <c r="Q24" s="38"/>
      <c r="T24" s="37"/>
      <c r="U24" s="37"/>
      <c r="V24" s="37"/>
      <c r="W24" s="39"/>
      <c r="AB24" s="37"/>
      <c r="AC24" s="37"/>
      <c r="AD24" s="37"/>
      <c r="AE24" s="37"/>
      <c r="AF24" s="37"/>
      <c r="AG24" s="37"/>
      <c r="AH24" s="37"/>
      <c r="AI24" s="37"/>
      <c r="AJ24" s="37"/>
      <c r="AK24" s="37"/>
      <c r="AN24" s="53"/>
    </row>
    <row r="25" spans="3:40" x14ac:dyDescent="0.25">
      <c r="D25" s="37"/>
      <c r="E25" s="37"/>
      <c r="F25" s="37"/>
      <c r="G25" s="37"/>
      <c r="H25" s="37"/>
      <c r="I25" s="37"/>
      <c r="J25" s="37"/>
      <c r="K25" s="37"/>
      <c r="L25" s="37"/>
      <c r="M25" s="37"/>
      <c r="N25" s="37"/>
      <c r="O25" s="37"/>
      <c r="P25" s="40"/>
      <c r="Q25" s="38"/>
      <c r="S25" s="38"/>
      <c r="T25" s="37"/>
      <c r="U25" s="37"/>
      <c r="V25" s="37"/>
      <c r="W25" s="39"/>
      <c r="AB25" s="37"/>
      <c r="AC25" s="37"/>
      <c r="AD25" s="37"/>
      <c r="AE25" s="37"/>
      <c r="AF25" s="37"/>
      <c r="AG25" s="37"/>
      <c r="AH25" s="37"/>
      <c r="AI25" s="37"/>
      <c r="AJ25" s="37"/>
      <c r="AK25" s="37"/>
    </row>
    <row r="26" spans="3:40" x14ac:dyDescent="0.25">
      <c r="D26" s="37"/>
      <c r="E26" s="37"/>
      <c r="F26" s="37"/>
      <c r="G26" s="37"/>
      <c r="H26" s="37"/>
      <c r="I26" s="37"/>
      <c r="J26" s="37"/>
      <c r="K26" s="37"/>
      <c r="L26" s="37"/>
      <c r="M26" s="37"/>
      <c r="N26" s="37"/>
      <c r="O26" s="37"/>
      <c r="P26" s="40"/>
      <c r="Q26" s="38"/>
      <c r="S26" s="38"/>
      <c r="T26" s="37"/>
      <c r="U26" s="37"/>
      <c r="V26" s="37"/>
      <c r="W26" s="39"/>
      <c r="AB26" s="37"/>
      <c r="AC26" s="37"/>
      <c r="AD26" s="37"/>
      <c r="AE26" s="37"/>
      <c r="AF26" s="37"/>
      <c r="AG26" s="37"/>
      <c r="AH26" s="37"/>
      <c r="AI26" s="37"/>
      <c r="AJ26" s="37"/>
      <c r="AK26" s="37"/>
    </row>
    <row r="27" spans="3:40" x14ac:dyDescent="0.25">
      <c r="D27" s="37"/>
      <c r="E27" s="37"/>
      <c r="F27" s="37"/>
      <c r="G27" s="37"/>
      <c r="H27" s="37"/>
      <c r="I27" s="37"/>
      <c r="J27" s="37"/>
      <c r="K27" s="37"/>
      <c r="L27" s="37"/>
      <c r="M27" s="37"/>
      <c r="N27" s="37"/>
      <c r="O27" s="37"/>
      <c r="P27" s="40"/>
      <c r="Q27" s="38"/>
      <c r="S27" s="38"/>
      <c r="T27" s="37"/>
      <c r="U27" s="37"/>
      <c r="V27" s="37"/>
      <c r="W27" s="39"/>
      <c r="AB27" s="37"/>
      <c r="AC27" s="37"/>
      <c r="AD27" s="37"/>
      <c r="AE27" s="37"/>
      <c r="AF27" s="37"/>
      <c r="AG27" s="37"/>
      <c r="AH27" s="37"/>
      <c r="AI27" s="37"/>
      <c r="AJ27" s="37"/>
      <c r="AK27" s="37"/>
    </row>
    <row r="28" spans="3:40" x14ac:dyDescent="0.25">
      <c r="D28" s="37"/>
      <c r="E28" s="37"/>
      <c r="F28" s="37"/>
      <c r="G28" s="37"/>
      <c r="H28" s="37"/>
      <c r="I28" s="37"/>
      <c r="J28" s="37"/>
      <c r="K28" s="37"/>
      <c r="L28" s="37"/>
      <c r="M28" s="37"/>
      <c r="N28" s="37"/>
      <c r="O28" s="37"/>
      <c r="P28" s="40"/>
      <c r="Q28" s="38"/>
      <c r="S28" s="38"/>
      <c r="T28" s="37"/>
      <c r="U28" s="37"/>
      <c r="V28" s="37"/>
      <c r="W28" s="39"/>
      <c r="AB28" s="37"/>
      <c r="AC28" s="37"/>
      <c r="AD28" s="37"/>
      <c r="AE28" s="37"/>
      <c r="AF28" s="37"/>
      <c r="AG28" s="37"/>
      <c r="AH28" s="37"/>
      <c r="AI28" s="37"/>
      <c r="AJ28" s="37"/>
      <c r="AK28" s="37"/>
    </row>
    <row r="29" spans="3:40" x14ac:dyDescent="0.25">
      <c r="D29" s="37"/>
      <c r="E29" s="37"/>
      <c r="F29" s="37"/>
      <c r="G29" s="37"/>
      <c r="H29" s="37"/>
      <c r="I29" s="37"/>
      <c r="J29" s="37"/>
      <c r="K29" s="37"/>
      <c r="L29" s="37"/>
      <c r="M29" s="37"/>
      <c r="N29" s="37"/>
      <c r="O29" s="37"/>
      <c r="P29" s="40"/>
      <c r="Q29" s="38"/>
      <c r="S29" s="38"/>
      <c r="T29" s="37"/>
      <c r="U29" s="37"/>
      <c r="V29" s="37"/>
      <c r="W29" s="39"/>
      <c r="AB29" s="37"/>
      <c r="AC29" s="37"/>
      <c r="AD29" s="37"/>
      <c r="AE29" s="37"/>
      <c r="AF29" s="37"/>
      <c r="AG29" s="37"/>
      <c r="AH29" s="37"/>
      <c r="AI29" s="37"/>
      <c r="AJ29" s="37"/>
      <c r="AK29" s="37"/>
    </row>
    <row r="30" spans="3:40" x14ac:dyDescent="0.25">
      <c r="D30" s="37"/>
      <c r="E30" s="37"/>
      <c r="F30" s="37"/>
      <c r="G30" s="37"/>
      <c r="H30" s="37"/>
      <c r="I30" s="37"/>
      <c r="J30" s="37"/>
      <c r="K30" s="37"/>
      <c r="L30" s="37"/>
      <c r="M30" s="37"/>
      <c r="N30" s="37"/>
      <c r="O30" s="37"/>
      <c r="P30" s="40"/>
      <c r="Q30" s="38"/>
      <c r="S30" s="38"/>
      <c r="T30" s="37"/>
      <c r="U30" s="37"/>
      <c r="V30" s="37"/>
      <c r="W30" s="39"/>
      <c r="AB30" s="37"/>
      <c r="AC30" s="37"/>
      <c r="AD30" s="37"/>
      <c r="AE30" s="37"/>
      <c r="AF30" s="37"/>
      <c r="AG30" s="37"/>
      <c r="AH30" s="37"/>
      <c r="AI30" s="37"/>
      <c r="AJ30" s="37"/>
      <c r="AK30" s="37"/>
    </row>
    <row r="31" spans="3:40" x14ac:dyDescent="0.25">
      <c r="D31" s="37"/>
      <c r="E31" s="37"/>
      <c r="F31" s="37"/>
      <c r="G31" s="37"/>
      <c r="H31" s="37"/>
      <c r="I31" s="37"/>
      <c r="J31" s="37"/>
      <c r="K31" s="37"/>
      <c r="L31" s="37"/>
      <c r="M31" s="37"/>
      <c r="N31" s="37"/>
      <c r="O31" s="37"/>
      <c r="P31" s="40"/>
      <c r="Q31" s="38"/>
      <c r="S31" s="38"/>
      <c r="T31" s="37"/>
      <c r="U31" s="37"/>
      <c r="V31" s="37"/>
      <c r="W31" s="39"/>
      <c r="AB31" s="37"/>
      <c r="AC31" s="37"/>
      <c r="AD31" s="37"/>
      <c r="AE31" s="37"/>
      <c r="AF31" s="37"/>
      <c r="AG31" s="37"/>
      <c r="AH31" s="37"/>
      <c r="AI31" s="37"/>
      <c r="AJ31" s="37"/>
      <c r="AK31" s="37"/>
    </row>
    <row r="32" spans="3:40" x14ac:dyDescent="0.25">
      <c r="D32" s="37"/>
      <c r="E32" s="37"/>
      <c r="F32" s="37"/>
      <c r="G32" s="37"/>
      <c r="H32" s="37"/>
      <c r="I32" s="37"/>
      <c r="J32" s="37"/>
      <c r="K32" s="37"/>
      <c r="L32" s="37"/>
      <c r="M32" s="37"/>
      <c r="N32" s="37"/>
      <c r="O32" s="37"/>
      <c r="P32" s="40"/>
      <c r="Q32" s="38"/>
      <c r="S32" s="38"/>
      <c r="T32" s="37"/>
      <c r="U32" s="37"/>
      <c r="V32" s="37"/>
      <c r="W32" s="39"/>
      <c r="AB32" s="37"/>
      <c r="AC32" s="37"/>
      <c r="AD32" s="37"/>
      <c r="AE32" s="37"/>
      <c r="AF32" s="37"/>
      <c r="AG32" s="37"/>
      <c r="AH32" s="37"/>
      <c r="AI32" s="37"/>
      <c r="AJ32" s="37"/>
      <c r="AK32" s="37"/>
    </row>
    <row r="33" spans="4:37" x14ac:dyDescent="0.25">
      <c r="D33" s="37"/>
      <c r="E33" s="37"/>
      <c r="F33" s="37"/>
      <c r="G33" s="37"/>
      <c r="H33" s="37"/>
      <c r="I33" s="37"/>
      <c r="J33" s="37"/>
      <c r="K33" s="37"/>
      <c r="L33" s="37"/>
      <c r="M33" s="37"/>
      <c r="N33" s="37"/>
      <c r="O33" s="37"/>
      <c r="P33" s="40"/>
      <c r="Q33" s="38"/>
      <c r="S33" s="38"/>
      <c r="T33" s="37"/>
      <c r="U33" s="37"/>
      <c r="V33" s="37"/>
      <c r="W33" s="39"/>
      <c r="AB33" s="37"/>
      <c r="AC33" s="37"/>
      <c r="AD33" s="37"/>
      <c r="AE33" s="37"/>
      <c r="AF33" s="37"/>
      <c r="AG33" s="37"/>
      <c r="AH33" s="37"/>
      <c r="AI33" s="37"/>
      <c r="AJ33" s="37"/>
      <c r="AK33" s="37"/>
    </row>
    <row r="34" spans="4:37" x14ac:dyDescent="0.25">
      <c r="D34" s="37"/>
      <c r="E34" s="37"/>
      <c r="F34" s="37"/>
      <c r="G34" s="37"/>
      <c r="H34" s="37"/>
      <c r="I34" s="37"/>
      <c r="J34" s="37"/>
      <c r="K34" s="37"/>
      <c r="L34" s="37"/>
      <c r="M34" s="37"/>
      <c r="N34" s="37"/>
      <c r="O34" s="37"/>
      <c r="P34" s="40"/>
      <c r="Q34" s="38"/>
      <c r="S34" s="38"/>
      <c r="T34" s="37"/>
      <c r="U34" s="37"/>
      <c r="V34" s="37"/>
      <c r="W34" s="39"/>
      <c r="AB34" s="37"/>
      <c r="AC34" s="37"/>
      <c r="AD34" s="37"/>
      <c r="AE34" s="37"/>
      <c r="AF34" s="37"/>
      <c r="AG34" s="37"/>
      <c r="AH34" s="37"/>
      <c r="AI34" s="37"/>
      <c r="AJ34" s="37"/>
      <c r="AK34" s="37"/>
    </row>
    <row r="35" spans="4:37" x14ac:dyDescent="0.25">
      <c r="D35" s="37"/>
      <c r="E35" s="37"/>
      <c r="F35" s="37"/>
      <c r="G35" s="37"/>
      <c r="H35" s="37"/>
      <c r="I35" s="37"/>
      <c r="J35" s="37"/>
      <c r="K35" s="37"/>
      <c r="L35" s="37"/>
      <c r="M35" s="37"/>
      <c r="N35" s="37"/>
      <c r="O35" s="37"/>
      <c r="P35" s="40"/>
      <c r="Q35" s="38"/>
      <c r="S35" s="38"/>
      <c r="T35" s="37"/>
      <c r="U35" s="37"/>
      <c r="V35" s="37"/>
      <c r="W35" s="39"/>
      <c r="AB35" s="37"/>
      <c r="AC35" s="37"/>
      <c r="AD35" s="37"/>
      <c r="AE35" s="37"/>
      <c r="AF35" s="37"/>
      <c r="AG35" s="37"/>
      <c r="AH35" s="37"/>
      <c r="AI35" s="37"/>
      <c r="AJ35" s="37"/>
      <c r="AK35" s="37"/>
    </row>
    <row r="36" spans="4:37" x14ac:dyDescent="0.25">
      <c r="D36" s="37"/>
      <c r="E36" s="37"/>
      <c r="F36" s="37"/>
      <c r="G36" s="37"/>
      <c r="H36" s="37"/>
      <c r="I36" s="37"/>
      <c r="J36" s="37"/>
      <c r="K36" s="37"/>
      <c r="L36" s="37"/>
      <c r="M36" s="37"/>
      <c r="N36" s="37"/>
      <c r="O36" s="37"/>
      <c r="P36" s="40"/>
      <c r="Q36" s="38"/>
      <c r="S36" s="38"/>
      <c r="T36" s="37"/>
      <c r="U36" s="37"/>
      <c r="V36" s="37"/>
      <c r="W36" s="39"/>
      <c r="AB36" s="37"/>
      <c r="AC36" s="37"/>
      <c r="AD36" s="37"/>
      <c r="AE36" s="37"/>
      <c r="AF36" s="37"/>
      <c r="AG36" s="37"/>
      <c r="AH36" s="37"/>
      <c r="AI36" s="37"/>
      <c r="AJ36" s="37"/>
      <c r="AK36" s="37"/>
    </row>
    <row r="37" spans="4:37" x14ac:dyDescent="0.25">
      <c r="D37" s="37"/>
      <c r="E37" s="37"/>
      <c r="F37" s="37"/>
      <c r="G37" s="37"/>
      <c r="H37" s="37"/>
      <c r="I37" s="37"/>
      <c r="J37" s="37"/>
      <c r="K37" s="37"/>
      <c r="L37" s="37"/>
      <c r="M37" s="37"/>
      <c r="N37" s="37"/>
      <c r="O37" s="37"/>
      <c r="P37" s="40"/>
      <c r="Q37" s="38"/>
      <c r="S37" s="38"/>
      <c r="T37" s="37"/>
      <c r="U37" s="37"/>
      <c r="V37" s="37"/>
      <c r="W37" s="39"/>
      <c r="AB37" s="37"/>
      <c r="AC37" s="37"/>
      <c r="AD37" s="37"/>
      <c r="AE37" s="37"/>
      <c r="AF37" s="37"/>
      <c r="AG37" s="37"/>
      <c r="AH37" s="37"/>
      <c r="AI37" s="37"/>
      <c r="AJ37" s="37"/>
      <c r="AK37" s="37"/>
    </row>
    <row r="38" spans="4:37" x14ac:dyDescent="0.25">
      <c r="D38" s="37"/>
      <c r="E38" s="37"/>
      <c r="F38" s="37"/>
      <c r="G38" s="37"/>
      <c r="H38" s="37"/>
      <c r="I38" s="37"/>
      <c r="J38" s="37"/>
      <c r="K38" s="37"/>
      <c r="L38" s="37"/>
      <c r="M38" s="37"/>
      <c r="N38" s="37"/>
      <c r="O38" s="37"/>
      <c r="P38" s="40"/>
      <c r="Q38" s="38"/>
      <c r="S38" s="38"/>
      <c r="T38" s="37"/>
      <c r="U38" s="37"/>
      <c r="V38" s="37"/>
      <c r="W38" s="39"/>
      <c r="AB38" s="37"/>
      <c r="AC38" s="37"/>
      <c r="AD38" s="37"/>
      <c r="AE38" s="37"/>
      <c r="AF38" s="37"/>
      <c r="AG38" s="37"/>
      <c r="AH38" s="37"/>
      <c r="AI38" s="37"/>
      <c r="AJ38" s="37"/>
      <c r="AK38" s="37"/>
    </row>
    <row r="39" spans="4:37" x14ac:dyDescent="0.25">
      <c r="D39" s="37"/>
      <c r="E39" s="37"/>
      <c r="F39" s="37"/>
      <c r="G39" s="37"/>
      <c r="H39" s="37"/>
      <c r="I39" s="37"/>
      <c r="J39" s="37"/>
      <c r="K39" s="37"/>
      <c r="L39" s="37"/>
      <c r="M39" s="37"/>
      <c r="N39" s="37"/>
      <c r="O39" s="37"/>
      <c r="P39" s="40"/>
      <c r="Q39" s="38"/>
      <c r="S39" s="38"/>
      <c r="T39" s="37"/>
      <c r="U39" s="37"/>
      <c r="V39" s="37"/>
      <c r="W39" s="39"/>
      <c r="AB39" s="37"/>
      <c r="AC39" s="37"/>
      <c r="AD39" s="37"/>
      <c r="AE39" s="37"/>
      <c r="AF39" s="37"/>
      <c r="AG39" s="37"/>
      <c r="AH39" s="37"/>
      <c r="AI39" s="37"/>
      <c r="AJ39" s="37"/>
      <c r="AK39" s="37"/>
    </row>
    <row r="40" spans="4:37" x14ac:dyDescent="0.25">
      <c r="D40" s="37"/>
      <c r="E40" s="37"/>
      <c r="F40" s="37"/>
      <c r="G40" s="37"/>
      <c r="H40" s="37"/>
      <c r="I40" s="37"/>
      <c r="J40" s="37"/>
      <c r="K40" s="37"/>
      <c r="L40" s="37"/>
      <c r="M40" s="37"/>
      <c r="N40" s="37"/>
      <c r="O40" s="37"/>
      <c r="P40" s="40"/>
      <c r="Q40" s="38"/>
      <c r="S40" s="38"/>
      <c r="T40" s="37"/>
      <c r="U40" s="37"/>
      <c r="V40" s="37"/>
      <c r="W40" s="39"/>
      <c r="AB40" s="37"/>
      <c r="AC40" s="37"/>
      <c r="AD40" s="37"/>
      <c r="AE40" s="37"/>
      <c r="AF40" s="37"/>
      <c r="AG40" s="37"/>
      <c r="AH40" s="37"/>
      <c r="AI40" s="37"/>
      <c r="AJ40" s="37"/>
      <c r="AK40" s="37"/>
    </row>
    <row r="41" spans="4:37" x14ac:dyDescent="0.25">
      <c r="D41" s="37"/>
      <c r="E41" s="37"/>
      <c r="F41" s="37"/>
      <c r="G41" s="37"/>
      <c r="H41" s="37"/>
      <c r="I41" s="37"/>
      <c r="J41" s="37"/>
      <c r="K41" s="37"/>
      <c r="L41" s="37"/>
      <c r="M41" s="37"/>
      <c r="N41" s="37"/>
      <c r="O41" s="37"/>
      <c r="P41" s="40"/>
      <c r="Q41" s="38"/>
      <c r="S41" s="38"/>
      <c r="T41" s="37"/>
      <c r="U41" s="37"/>
      <c r="V41" s="37"/>
      <c r="W41" s="39"/>
      <c r="AB41" s="37"/>
      <c r="AC41" s="37"/>
      <c r="AD41" s="37"/>
      <c r="AE41" s="37"/>
      <c r="AF41" s="37"/>
      <c r="AG41" s="37"/>
      <c r="AH41" s="37"/>
      <c r="AI41" s="37"/>
      <c r="AJ41" s="37"/>
      <c r="AK41" s="37"/>
    </row>
    <row r="42" spans="4:37" x14ac:dyDescent="0.25">
      <c r="D42" s="37"/>
      <c r="E42" s="37"/>
      <c r="F42" s="37"/>
      <c r="G42" s="37"/>
      <c r="H42" s="37"/>
      <c r="I42" s="37"/>
      <c r="J42" s="37"/>
      <c r="K42" s="37"/>
      <c r="L42" s="37"/>
      <c r="M42" s="37"/>
      <c r="N42" s="37"/>
      <c r="O42" s="37"/>
      <c r="P42" s="40"/>
      <c r="Q42" s="38"/>
      <c r="S42" s="38"/>
      <c r="T42" s="37"/>
      <c r="U42" s="37"/>
      <c r="V42" s="37"/>
      <c r="W42" s="39"/>
      <c r="AB42" s="37"/>
      <c r="AC42" s="37"/>
      <c r="AD42" s="37"/>
      <c r="AE42" s="37"/>
      <c r="AF42" s="37"/>
      <c r="AG42" s="37"/>
      <c r="AH42" s="37"/>
      <c r="AI42" s="37"/>
      <c r="AJ42" s="37"/>
      <c r="AK42" s="37"/>
    </row>
    <row r="43" spans="4:37" x14ac:dyDescent="0.25">
      <c r="D43" s="37"/>
      <c r="E43" s="37"/>
      <c r="F43" s="37"/>
      <c r="G43" s="37"/>
      <c r="H43" s="37"/>
      <c r="I43" s="37"/>
      <c r="J43" s="37"/>
      <c r="K43" s="37"/>
      <c r="L43" s="37"/>
      <c r="M43" s="37"/>
      <c r="N43" s="37"/>
      <c r="O43" s="37"/>
      <c r="P43" s="40"/>
      <c r="Q43" s="38"/>
      <c r="S43" s="38"/>
      <c r="T43" s="37"/>
      <c r="U43" s="37"/>
      <c r="V43" s="37"/>
      <c r="W43" s="39"/>
      <c r="AB43" s="37"/>
      <c r="AC43" s="37"/>
      <c r="AD43" s="37"/>
      <c r="AE43" s="37"/>
      <c r="AF43" s="37"/>
      <c r="AG43" s="37"/>
      <c r="AH43" s="37"/>
      <c r="AI43" s="37"/>
      <c r="AJ43" s="37"/>
      <c r="AK43" s="37"/>
    </row>
    <row r="44" spans="4:37" x14ac:dyDescent="0.25">
      <c r="D44" s="37"/>
      <c r="E44" s="37"/>
      <c r="F44" s="37"/>
      <c r="G44" s="37"/>
      <c r="H44" s="37"/>
      <c r="I44" s="37"/>
      <c r="J44" s="37"/>
      <c r="K44" s="37"/>
      <c r="L44" s="37"/>
      <c r="M44" s="37"/>
      <c r="N44" s="37"/>
      <c r="O44" s="37"/>
      <c r="P44" s="40"/>
      <c r="Q44" s="38"/>
      <c r="S44" s="38"/>
      <c r="T44" s="37"/>
      <c r="U44" s="37"/>
      <c r="V44" s="37"/>
      <c r="W44" s="39"/>
      <c r="AB44" s="37"/>
      <c r="AC44" s="37"/>
      <c r="AD44" s="37"/>
      <c r="AE44" s="37"/>
      <c r="AF44" s="37"/>
      <c r="AG44" s="37"/>
      <c r="AH44" s="37"/>
      <c r="AI44" s="37"/>
      <c r="AJ44" s="37"/>
      <c r="AK44" s="37"/>
    </row>
    <row r="45" spans="4:37" x14ac:dyDescent="0.25">
      <c r="D45" s="37"/>
      <c r="E45" s="37"/>
      <c r="F45" s="37"/>
      <c r="G45" s="37"/>
      <c r="H45" s="37"/>
      <c r="I45" s="37"/>
      <c r="J45" s="37"/>
      <c r="K45" s="37"/>
      <c r="L45" s="37"/>
      <c r="M45" s="37"/>
      <c r="N45" s="37"/>
      <c r="O45" s="37"/>
      <c r="P45" s="40"/>
      <c r="Q45" s="38"/>
      <c r="S45" s="38"/>
      <c r="T45" s="37"/>
      <c r="U45" s="37"/>
      <c r="V45" s="37"/>
      <c r="W45" s="39"/>
      <c r="AB45" s="37"/>
      <c r="AC45" s="37"/>
      <c r="AD45" s="37"/>
      <c r="AE45" s="37"/>
      <c r="AF45" s="37"/>
      <c r="AG45" s="37"/>
      <c r="AH45" s="37"/>
      <c r="AI45" s="37"/>
      <c r="AJ45" s="37"/>
      <c r="AK45" s="37"/>
    </row>
    <row r="46" spans="4:37" x14ac:dyDescent="0.25">
      <c r="D46" s="37"/>
      <c r="E46" s="37"/>
      <c r="F46" s="37"/>
      <c r="G46" s="37"/>
      <c r="H46" s="37"/>
      <c r="I46" s="37"/>
      <c r="J46" s="37"/>
      <c r="K46" s="37"/>
      <c r="L46" s="37"/>
      <c r="M46" s="37"/>
      <c r="N46" s="37"/>
      <c r="O46" s="37"/>
      <c r="P46" s="40"/>
      <c r="Q46" s="38"/>
      <c r="S46" s="38"/>
      <c r="T46" s="37"/>
      <c r="U46" s="37"/>
      <c r="V46" s="37"/>
      <c r="W46" s="39"/>
      <c r="AB46" s="37"/>
      <c r="AC46" s="37"/>
      <c r="AD46" s="37"/>
      <c r="AE46" s="37"/>
      <c r="AF46" s="37"/>
      <c r="AG46" s="37"/>
      <c r="AH46" s="37"/>
      <c r="AI46" s="37"/>
      <c r="AJ46" s="37"/>
      <c r="AK46" s="37"/>
    </row>
    <row r="47" spans="4:37" x14ac:dyDescent="0.25">
      <c r="D47" s="37"/>
      <c r="E47" s="37"/>
      <c r="F47" s="37"/>
      <c r="G47" s="37"/>
      <c r="H47" s="37"/>
      <c r="I47" s="37"/>
      <c r="J47" s="37"/>
      <c r="K47" s="37"/>
      <c r="L47" s="37"/>
      <c r="M47" s="37"/>
      <c r="N47" s="37"/>
      <c r="O47" s="37"/>
      <c r="P47" s="40"/>
      <c r="Q47" s="38"/>
      <c r="S47" s="38"/>
      <c r="T47" s="37"/>
      <c r="U47" s="37"/>
      <c r="V47" s="37"/>
      <c r="W47" s="39"/>
      <c r="AB47" s="37"/>
      <c r="AC47" s="37"/>
      <c r="AD47" s="37"/>
      <c r="AE47" s="37"/>
      <c r="AF47" s="37"/>
      <c r="AG47" s="37"/>
      <c r="AH47" s="37"/>
      <c r="AI47" s="37"/>
      <c r="AJ47" s="37"/>
      <c r="AK47" s="37"/>
    </row>
    <row r="48" spans="4:37" x14ac:dyDescent="0.25">
      <c r="D48" s="37"/>
      <c r="E48" s="37"/>
      <c r="F48" s="37"/>
      <c r="G48" s="37"/>
      <c r="H48" s="37"/>
      <c r="I48" s="37"/>
      <c r="J48" s="37"/>
      <c r="K48" s="37"/>
      <c r="L48" s="37"/>
      <c r="M48" s="37"/>
      <c r="N48" s="37"/>
      <c r="O48" s="37"/>
      <c r="P48" s="40"/>
      <c r="Q48" s="38"/>
      <c r="S48" s="38"/>
      <c r="T48" s="37"/>
      <c r="U48" s="37"/>
      <c r="V48" s="37"/>
      <c r="W48" s="39"/>
      <c r="AB48" s="37"/>
      <c r="AC48" s="37"/>
      <c r="AD48" s="37"/>
      <c r="AE48" s="37"/>
      <c r="AF48" s="37"/>
      <c r="AG48" s="37"/>
      <c r="AH48" s="37"/>
      <c r="AI48" s="37"/>
      <c r="AJ48" s="37"/>
      <c r="AK48" s="37"/>
    </row>
    <row r="49" spans="4:37" x14ac:dyDescent="0.25">
      <c r="D49" s="37"/>
      <c r="E49" s="37"/>
      <c r="F49" s="37"/>
      <c r="G49" s="37"/>
      <c r="H49" s="37"/>
      <c r="I49" s="37"/>
      <c r="J49" s="37"/>
      <c r="K49" s="37"/>
      <c r="L49" s="37"/>
      <c r="M49" s="37"/>
      <c r="N49" s="37"/>
      <c r="O49" s="37"/>
      <c r="P49" s="40"/>
      <c r="Q49" s="38"/>
      <c r="S49" s="38"/>
      <c r="T49" s="37"/>
      <c r="U49" s="37"/>
      <c r="V49" s="37"/>
      <c r="W49" s="39"/>
      <c r="AB49" s="37"/>
      <c r="AC49" s="37"/>
      <c r="AD49" s="37"/>
      <c r="AE49" s="37"/>
      <c r="AF49" s="37"/>
      <c r="AG49" s="37"/>
      <c r="AH49" s="37"/>
      <c r="AI49" s="37"/>
      <c r="AJ49" s="37"/>
      <c r="AK49" s="37"/>
    </row>
    <row r="50" spans="4:37" x14ac:dyDescent="0.25">
      <c r="D50" s="37"/>
      <c r="E50" s="37"/>
      <c r="F50" s="37"/>
      <c r="G50" s="37"/>
      <c r="H50" s="37"/>
      <c r="I50" s="37"/>
      <c r="J50" s="37"/>
      <c r="K50" s="37"/>
      <c r="L50" s="37"/>
      <c r="M50" s="37"/>
      <c r="N50" s="37"/>
      <c r="O50" s="37"/>
      <c r="P50" s="40"/>
      <c r="Q50" s="38"/>
      <c r="S50" s="38"/>
      <c r="T50" s="37"/>
      <c r="U50" s="37"/>
      <c r="V50" s="37"/>
      <c r="W50" s="39"/>
      <c r="AB50" s="37"/>
      <c r="AC50" s="37"/>
      <c r="AD50" s="37"/>
      <c r="AE50" s="37"/>
      <c r="AF50" s="37"/>
      <c r="AG50" s="37"/>
      <c r="AH50" s="37"/>
      <c r="AI50" s="37"/>
      <c r="AJ50" s="37"/>
      <c r="AK50" s="37"/>
    </row>
    <row r="51" spans="4:37" x14ac:dyDescent="0.25">
      <c r="D51" s="37"/>
      <c r="E51" s="37"/>
      <c r="F51" s="37"/>
      <c r="G51" s="37"/>
      <c r="H51" s="37"/>
      <c r="I51" s="37"/>
      <c r="J51" s="37"/>
      <c r="K51" s="37"/>
      <c r="L51" s="37"/>
      <c r="M51" s="37"/>
      <c r="N51" s="37"/>
      <c r="O51" s="37"/>
      <c r="P51" s="40"/>
      <c r="Q51" s="38"/>
      <c r="S51" s="38"/>
      <c r="T51" s="37"/>
      <c r="U51" s="37"/>
      <c r="V51" s="37"/>
      <c r="W51" s="39"/>
      <c r="AB51" s="37"/>
      <c r="AC51" s="37"/>
      <c r="AD51" s="37"/>
      <c r="AE51" s="37"/>
      <c r="AF51" s="37"/>
      <c r="AG51" s="37"/>
      <c r="AH51" s="37"/>
      <c r="AI51" s="37"/>
      <c r="AJ51" s="37"/>
      <c r="AK51" s="37"/>
    </row>
    <row r="52" spans="4:37" x14ac:dyDescent="0.25">
      <c r="D52" s="37"/>
      <c r="E52" s="37"/>
      <c r="F52" s="37"/>
      <c r="G52" s="37"/>
      <c r="H52" s="37"/>
      <c r="I52" s="37"/>
      <c r="J52" s="37"/>
      <c r="K52" s="37"/>
      <c r="L52" s="37"/>
      <c r="M52" s="37"/>
      <c r="N52" s="37"/>
      <c r="O52" s="37"/>
      <c r="P52" s="40"/>
      <c r="Q52" s="38"/>
      <c r="S52" s="38"/>
      <c r="T52" s="37"/>
      <c r="U52" s="37"/>
      <c r="V52" s="37"/>
      <c r="W52" s="39"/>
      <c r="AB52" s="37"/>
      <c r="AC52" s="37"/>
      <c r="AD52" s="37"/>
      <c r="AE52" s="37"/>
      <c r="AF52" s="37"/>
      <c r="AG52" s="37"/>
      <c r="AH52" s="37"/>
      <c r="AI52" s="37"/>
      <c r="AJ52" s="37"/>
      <c r="AK52" s="37"/>
    </row>
    <row r="53" spans="4:37" x14ac:dyDescent="0.25">
      <c r="D53" s="37"/>
      <c r="E53" s="37"/>
      <c r="F53" s="37"/>
      <c r="G53" s="37"/>
      <c r="H53" s="37"/>
      <c r="I53" s="37"/>
      <c r="J53" s="37"/>
      <c r="K53" s="37"/>
      <c r="L53" s="37"/>
      <c r="M53" s="37"/>
      <c r="N53" s="37"/>
      <c r="O53" s="37"/>
      <c r="P53" s="40"/>
      <c r="Q53" s="38"/>
      <c r="S53" s="38"/>
      <c r="T53" s="37"/>
      <c r="U53" s="37"/>
      <c r="V53" s="37"/>
      <c r="W53" s="39"/>
      <c r="AB53" s="37"/>
      <c r="AC53" s="37"/>
      <c r="AD53" s="37"/>
      <c r="AE53" s="37"/>
      <c r="AF53" s="37"/>
      <c r="AG53" s="37"/>
      <c r="AH53" s="37"/>
      <c r="AI53" s="37"/>
      <c r="AJ53" s="37"/>
      <c r="AK53" s="37"/>
    </row>
    <row r="54" spans="4:37" x14ac:dyDescent="0.25">
      <c r="D54" s="37"/>
      <c r="E54" s="37"/>
      <c r="F54" s="37"/>
      <c r="G54" s="37"/>
      <c r="H54" s="37"/>
      <c r="I54" s="37"/>
      <c r="J54" s="37"/>
      <c r="K54" s="37"/>
      <c r="L54" s="37"/>
      <c r="M54" s="37"/>
      <c r="N54" s="37"/>
      <c r="O54" s="37"/>
      <c r="P54" s="40"/>
      <c r="Q54" s="38"/>
      <c r="S54" s="38"/>
      <c r="T54" s="37"/>
      <c r="U54" s="37"/>
      <c r="V54" s="37"/>
      <c r="W54" s="39"/>
      <c r="AB54" s="37"/>
      <c r="AC54" s="37"/>
      <c r="AD54" s="37"/>
      <c r="AE54" s="37"/>
      <c r="AF54" s="37"/>
      <c r="AG54" s="37"/>
      <c r="AH54" s="37"/>
      <c r="AI54" s="37"/>
      <c r="AJ54" s="37"/>
      <c r="AK54" s="37"/>
    </row>
    <row r="55" spans="4:37" x14ac:dyDescent="0.25">
      <c r="D55" s="37"/>
      <c r="E55" s="37"/>
      <c r="F55" s="37"/>
      <c r="G55" s="37"/>
      <c r="H55" s="37"/>
      <c r="I55" s="37"/>
      <c r="J55" s="37"/>
      <c r="K55" s="37"/>
      <c r="L55" s="37"/>
      <c r="M55" s="37"/>
      <c r="N55" s="37"/>
      <c r="O55" s="37"/>
      <c r="P55" s="40"/>
      <c r="Q55" s="38"/>
      <c r="S55" s="38"/>
      <c r="T55" s="37"/>
      <c r="U55" s="37"/>
      <c r="V55" s="37"/>
      <c r="W55" s="39"/>
      <c r="AB55" s="37"/>
      <c r="AC55" s="37"/>
      <c r="AD55" s="37"/>
      <c r="AE55" s="37"/>
      <c r="AF55" s="37"/>
      <c r="AG55" s="37"/>
      <c r="AH55" s="37"/>
      <c r="AI55" s="37"/>
      <c r="AJ55" s="37"/>
      <c r="AK55" s="37"/>
    </row>
    <row r="56" spans="4:37" x14ac:dyDescent="0.25">
      <c r="D56" s="37"/>
      <c r="E56" s="37"/>
      <c r="F56" s="37"/>
      <c r="G56" s="37"/>
      <c r="H56" s="37"/>
      <c r="I56" s="37"/>
      <c r="J56" s="37"/>
      <c r="K56" s="37"/>
      <c r="L56" s="37"/>
      <c r="M56" s="37"/>
      <c r="N56" s="37"/>
      <c r="O56" s="37"/>
      <c r="P56" s="40"/>
      <c r="Q56" s="38"/>
      <c r="S56" s="38"/>
      <c r="T56" s="37"/>
      <c r="U56" s="37"/>
      <c r="V56" s="37"/>
      <c r="W56" s="39"/>
      <c r="AB56" s="37"/>
      <c r="AC56" s="37"/>
      <c r="AD56" s="37"/>
      <c r="AE56" s="37"/>
      <c r="AF56" s="37"/>
      <c r="AG56" s="37"/>
      <c r="AH56" s="37"/>
      <c r="AI56" s="37"/>
      <c r="AJ56" s="37"/>
      <c r="AK56" s="37"/>
    </row>
    <row r="57" spans="4:37" x14ac:dyDescent="0.25">
      <c r="D57" s="37"/>
      <c r="E57" s="37"/>
      <c r="F57" s="37"/>
      <c r="G57" s="37"/>
      <c r="H57" s="37"/>
      <c r="I57" s="37"/>
      <c r="J57" s="37"/>
      <c r="K57" s="37"/>
      <c r="L57" s="37"/>
      <c r="M57" s="37"/>
      <c r="N57" s="37"/>
      <c r="O57" s="37"/>
      <c r="P57" s="40"/>
      <c r="Q57" s="38"/>
      <c r="S57" s="38"/>
      <c r="T57" s="37"/>
      <c r="U57" s="37"/>
      <c r="V57" s="37"/>
      <c r="W57" s="39"/>
      <c r="AB57" s="37"/>
      <c r="AC57" s="37"/>
      <c r="AD57" s="37"/>
      <c r="AE57" s="37"/>
      <c r="AF57" s="37"/>
      <c r="AG57" s="37"/>
      <c r="AH57" s="37"/>
      <c r="AI57" s="37"/>
      <c r="AJ57" s="37"/>
      <c r="AK57" s="37"/>
    </row>
    <row r="58" spans="4:37" x14ac:dyDescent="0.25">
      <c r="D58" s="37"/>
      <c r="E58" s="37"/>
      <c r="F58" s="37"/>
      <c r="G58" s="37"/>
      <c r="H58" s="37"/>
      <c r="I58" s="37"/>
      <c r="J58" s="37"/>
      <c r="K58" s="37"/>
      <c r="L58" s="37"/>
      <c r="M58" s="37"/>
      <c r="N58" s="37"/>
      <c r="O58" s="37"/>
      <c r="P58" s="40"/>
      <c r="Q58" s="38"/>
      <c r="S58" s="38"/>
      <c r="T58" s="37"/>
      <c r="U58" s="37"/>
      <c r="V58" s="37"/>
      <c r="W58" s="39"/>
      <c r="AB58" s="37"/>
      <c r="AC58" s="37"/>
      <c r="AD58" s="37"/>
      <c r="AE58" s="37"/>
      <c r="AF58" s="37"/>
      <c r="AG58" s="37"/>
      <c r="AH58" s="37"/>
      <c r="AI58" s="37"/>
      <c r="AJ58" s="37"/>
      <c r="AK58" s="37"/>
    </row>
    <row r="59" spans="4:37" x14ac:dyDescent="0.25">
      <c r="D59" s="37"/>
      <c r="E59" s="37"/>
      <c r="F59" s="37"/>
      <c r="G59" s="37"/>
      <c r="H59" s="37"/>
      <c r="I59" s="37"/>
      <c r="J59" s="37"/>
      <c r="K59" s="37"/>
      <c r="L59" s="37"/>
      <c r="M59" s="37"/>
      <c r="N59" s="37"/>
      <c r="O59" s="37"/>
      <c r="P59" s="40"/>
      <c r="Q59" s="38"/>
      <c r="S59" s="38"/>
      <c r="T59" s="37"/>
      <c r="U59" s="37"/>
      <c r="V59" s="37"/>
      <c r="W59" s="39"/>
      <c r="AB59" s="37"/>
      <c r="AC59" s="37"/>
      <c r="AD59" s="37"/>
      <c r="AE59" s="37"/>
      <c r="AF59" s="37"/>
      <c r="AG59" s="37"/>
      <c r="AH59" s="37"/>
      <c r="AI59" s="37"/>
      <c r="AJ59" s="37"/>
      <c r="AK59" s="37"/>
    </row>
    <row r="60" spans="4:37" x14ac:dyDescent="0.25">
      <c r="D60" s="37"/>
      <c r="E60" s="37"/>
      <c r="F60" s="37"/>
      <c r="G60" s="37"/>
      <c r="H60" s="37"/>
      <c r="I60" s="37"/>
      <c r="J60" s="37"/>
      <c r="K60" s="37"/>
      <c r="L60" s="37"/>
      <c r="M60" s="37"/>
      <c r="N60" s="37"/>
      <c r="O60" s="37"/>
      <c r="P60" s="40"/>
      <c r="Q60" s="38"/>
      <c r="S60" s="38"/>
      <c r="T60" s="37"/>
      <c r="U60" s="37"/>
      <c r="V60" s="37"/>
      <c r="W60" s="39"/>
      <c r="AB60" s="37"/>
      <c r="AC60" s="37"/>
      <c r="AD60" s="37"/>
      <c r="AE60" s="37"/>
      <c r="AF60" s="37"/>
      <c r="AG60" s="37"/>
      <c r="AH60" s="37"/>
      <c r="AI60" s="37"/>
      <c r="AJ60" s="37"/>
      <c r="AK60" s="37"/>
    </row>
    <row r="61" spans="4:37" x14ac:dyDescent="0.25">
      <c r="D61" s="37"/>
      <c r="E61" s="37"/>
      <c r="F61" s="37"/>
      <c r="G61" s="37"/>
      <c r="H61" s="37"/>
      <c r="I61" s="37"/>
      <c r="J61" s="37"/>
      <c r="K61" s="37"/>
      <c r="L61" s="37"/>
      <c r="M61" s="37"/>
      <c r="N61" s="37"/>
      <c r="O61" s="37"/>
      <c r="P61" s="40"/>
      <c r="Q61" s="38"/>
      <c r="S61" s="38"/>
      <c r="T61" s="37"/>
      <c r="U61" s="37"/>
      <c r="V61" s="37"/>
      <c r="W61" s="39"/>
      <c r="AB61" s="37"/>
      <c r="AC61" s="37"/>
      <c r="AD61" s="37"/>
      <c r="AE61" s="37"/>
      <c r="AF61" s="37"/>
      <c r="AG61" s="37"/>
      <c r="AH61" s="37"/>
      <c r="AI61" s="37"/>
      <c r="AJ61" s="37"/>
      <c r="AK61" s="37"/>
    </row>
    <row r="62" spans="4:37" x14ac:dyDescent="0.25">
      <c r="D62" s="37"/>
      <c r="E62" s="37"/>
      <c r="F62" s="37"/>
      <c r="G62" s="37"/>
      <c r="H62" s="37"/>
      <c r="I62" s="37"/>
      <c r="J62" s="37"/>
      <c r="K62" s="37"/>
      <c r="L62" s="37"/>
      <c r="M62" s="37"/>
      <c r="N62" s="37"/>
      <c r="O62" s="37"/>
      <c r="P62" s="40"/>
      <c r="Q62" s="38"/>
      <c r="S62" s="38"/>
      <c r="T62" s="37"/>
      <c r="U62" s="37"/>
      <c r="V62" s="37"/>
      <c r="W62" s="39"/>
      <c r="AB62" s="37"/>
      <c r="AC62" s="37"/>
      <c r="AD62" s="37"/>
      <c r="AE62" s="37"/>
      <c r="AF62" s="37"/>
      <c r="AG62" s="37"/>
      <c r="AH62" s="37"/>
      <c r="AI62" s="37"/>
      <c r="AJ62" s="37"/>
      <c r="AK62" s="37"/>
    </row>
    <row r="63" spans="4:37" x14ac:dyDescent="0.25">
      <c r="D63" s="37"/>
      <c r="E63" s="37"/>
      <c r="F63" s="37"/>
      <c r="G63" s="37"/>
      <c r="H63" s="37"/>
      <c r="I63" s="37"/>
      <c r="J63" s="37"/>
      <c r="K63" s="37"/>
      <c r="L63" s="37"/>
      <c r="M63" s="37"/>
      <c r="N63" s="37"/>
      <c r="O63" s="37"/>
      <c r="P63" s="40"/>
      <c r="Q63" s="38"/>
      <c r="S63" s="38"/>
      <c r="T63" s="37"/>
      <c r="U63" s="37"/>
      <c r="V63" s="37"/>
      <c r="W63" s="39"/>
      <c r="AB63" s="37"/>
      <c r="AC63" s="37"/>
      <c r="AD63" s="37"/>
      <c r="AE63" s="37"/>
      <c r="AF63" s="37"/>
      <c r="AG63" s="37"/>
      <c r="AH63" s="37"/>
      <c r="AI63" s="37"/>
      <c r="AJ63" s="37"/>
      <c r="AK63" s="37"/>
    </row>
    <row r="64" spans="4:37" x14ac:dyDescent="0.25">
      <c r="D64" s="37"/>
      <c r="E64" s="37"/>
      <c r="F64" s="37"/>
      <c r="G64" s="37"/>
      <c r="H64" s="37"/>
      <c r="I64" s="37"/>
      <c r="J64" s="37"/>
      <c r="K64" s="37"/>
      <c r="L64" s="37"/>
      <c r="M64" s="37"/>
      <c r="N64" s="37"/>
      <c r="O64" s="37"/>
      <c r="P64" s="40"/>
      <c r="Q64" s="38"/>
      <c r="S64" s="38"/>
      <c r="T64" s="37"/>
      <c r="U64" s="37"/>
      <c r="V64" s="37"/>
      <c r="W64" s="39"/>
      <c r="AB64" s="37"/>
      <c r="AC64" s="37"/>
      <c r="AD64" s="37"/>
      <c r="AE64" s="37"/>
      <c r="AF64" s="37"/>
      <c r="AG64" s="37"/>
      <c r="AH64" s="37"/>
      <c r="AI64" s="37"/>
      <c r="AJ64" s="37"/>
      <c r="AK64" s="37"/>
    </row>
    <row r="65" spans="4:37" x14ac:dyDescent="0.25">
      <c r="D65" s="37"/>
      <c r="E65" s="37"/>
      <c r="F65" s="37"/>
      <c r="G65" s="37"/>
      <c r="H65" s="37"/>
      <c r="I65" s="37"/>
      <c r="J65" s="37"/>
      <c r="K65" s="37"/>
      <c r="L65" s="37"/>
      <c r="M65" s="37"/>
      <c r="N65" s="37"/>
      <c r="O65" s="37"/>
      <c r="P65" s="40"/>
      <c r="Q65" s="38"/>
      <c r="S65" s="38"/>
      <c r="T65" s="37"/>
      <c r="U65" s="37"/>
      <c r="V65" s="37"/>
      <c r="W65" s="39"/>
      <c r="AB65" s="37"/>
      <c r="AC65" s="37"/>
      <c r="AD65" s="37"/>
      <c r="AE65" s="37"/>
      <c r="AF65" s="37"/>
      <c r="AG65" s="37"/>
      <c r="AH65" s="37"/>
      <c r="AI65" s="37"/>
      <c r="AJ65" s="37"/>
      <c r="AK65" s="37"/>
    </row>
    <row r="66" spans="4:37" x14ac:dyDescent="0.25">
      <c r="D66" s="37"/>
      <c r="E66" s="37"/>
      <c r="F66" s="37"/>
      <c r="G66" s="37"/>
      <c r="H66" s="37"/>
      <c r="I66" s="37"/>
      <c r="J66" s="37"/>
      <c r="K66" s="37"/>
      <c r="L66" s="37"/>
      <c r="M66" s="37"/>
      <c r="N66" s="37"/>
      <c r="O66" s="37"/>
      <c r="P66" s="40"/>
      <c r="Q66" s="38"/>
      <c r="S66" s="38"/>
      <c r="T66" s="37"/>
      <c r="U66" s="37"/>
      <c r="V66" s="37"/>
      <c r="W66" s="39"/>
      <c r="AB66" s="37"/>
      <c r="AC66" s="37"/>
      <c r="AD66" s="37"/>
      <c r="AE66" s="37"/>
      <c r="AF66" s="37"/>
      <c r="AG66" s="37"/>
      <c r="AH66" s="37"/>
      <c r="AI66" s="37"/>
      <c r="AJ66" s="37"/>
      <c r="AK66" s="37"/>
    </row>
    <row r="67" spans="4:37" x14ac:dyDescent="0.25">
      <c r="D67" s="37"/>
      <c r="E67" s="37"/>
      <c r="F67" s="37"/>
      <c r="G67" s="37"/>
      <c r="H67" s="37"/>
      <c r="I67" s="37"/>
      <c r="J67" s="37"/>
      <c r="K67" s="37"/>
      <c r="L67" s="37"/>
      <c r="M67" s="37"/>
      <c r="N67" s="37"/>
      <c r="O67" s="37"/>
      <c r="P67" s="40"/>
      <c r="Q67" s="38"/>
      <c r="S67" s="38"/>
      <c r="T67" s="37"/>
      <c r="U67" s="37"/>
      <c r="V67" s="37"/>
      <c r="W67" s="39"/>
      <c r="AB67" s="37"/>
      <c r="AC67" s="37"/>
      <c r="AD67" s="37"/>
      <c r="AE67" s="37"/>
      <c r="AF67" s="37"/>
      <c r="AG67" s="37"/>
      <c r="AH67" s="37"/>
      <c r="AI67" s="37"/>
      <c r="AJ67" s="37"/>
      <c r="AK67" s="37"/>
    </row>
    <row r="68" spans="4:37" x14ac:dyDescent="0.25">
      <c r="D68" s="37"/>
      <c r="E68" s="37"/>
      <c r="F68" s="37"/>
      <c r="G68" s="37"/>
      <c r="H68" s="37"/>
      <c r="I68" s="37"/>
      <c r="J68" s="37"/>
      <c r="K68" s="37"/>
      <c r="L68" s="37"/>
      <c r="M68" s="37"/>
      <c r="N68" s="37"/>
      <c r="O68" s="37"/>
      <c r="P68" s="40"/>
      <c r="Q68" s="38"/>
      <c r="S68" s="38"/>
      <c r="T68" s="37"/>
      <c r="U68" s="37"/>
      <c r="V68" s="37"/>
      <c r="W68" s="39"/>
      <c r="AB68" s="37"/>
      <c r="AC68" s="37"/>
      <c r="AD68" s="37"/>
      <c r="AE68" s="37"/>
      <c r="AF68" s="37"/>
      <c r="AG68" s="37"/>
      <c r="AH68" s="37"/>
      <c r="AI68" s="37"/>
      <c r="AJ68" s="37"/>
      <c r="AK68" s="37"/>
    </row>
    <row r="69" spans="4:37" x14ac:dyDescent="0.25">
      <c r="D69" s="37"/>
      <c r="E69" s="37"/>
      <c r="F69" s="37"/>
      <c r="G69" s="37"/>
      <c r="H69" s="37"/>
      <c r="I69" s="37"/>
      <c r="J69" s="37"/>
      <c r="K69" s="37"/>
      <c r="L69" s="37"/>
      <c r="M69" s="37"/>
      <c r="N69" s="37"/>
      <c r="O69" s="37"/>
      <c r="P69" s="40"/>
      <c r="Q69" s="38"/>
      <c r="S69" s="38"/>
      <c r="T69" s="37"/>
      <c r="U69" s="37"/>
      <c r="V69" s="37"/>
      <c r="W69" s="39"/>
      <c r="AB69" s="37"/>
      <c r="AC69" s="37"/>
      <c r="AD69" s="37"/>
      <c r="AE69" s="37"/>
      <c r="AF69" s="37"/>
      <c r="AG69" s="37"/>
      <c r="AH69" s="37"/>
      <c r="AI69" s="37"/>
      <c r="AJ69" s="37"/>
      <c r="AK69" s="37"/>
    </row>
    <row r="70" spans="4:37" x14ac:dyDescent="0.25">
      <c r="D70" s="37"/>
      <c r="E70" s="37"/>
      <c r="F70" s="37"/>
      <c r="G70" s="37"/>
      <c r="H70" s="37"/>
      <c r="I70" s="37"/>
      <c r="J70" s="37"/>
      <c r="K70" s="37"/>
      <c r="L70" s="37"/>
      <c r="M70" s="37"/>
      <c r="N70" s="37"/>
      <c r="O70" s="37"/>
      <c r="P70" s="40"/>
      <c r="Q70" s="38"/>
      <c r="S70" s="38"/>
      <c r="T70" s="37"/>
      <c r="U70" s="37"/>
      <c r="V70" s="37"/>
      <c r="W70" s="39"/>
      <c r="AB70" s="37"/>
      <c r="AC70" s="37"/>
      <c r="AD70" s="37"/>
      <c r="AE70" s="37"/>
      <c r="AF70" s="37"/>
      <c r="AG70" s="37"/>
      <c r="AH70" s="37"/>
      <c r="AI70" s="37"/>
      <c r="AJ70" s="37"/>
      <c r="AK70" s="37"/>
    </row>
    <row r="71" spans="4:37" x14ac:dyDescent="0.25">
      <c r="D71" s="37"/>
      <c r="E71" s="37"/>
      <c r="F71" s="37"/>
      <c r="G71" s="37"/>
      <c r="H71" s="37"/>
      <c r="I71" s="37"/>
      <c r="J71" s="37"/>
      <c r="K71" s="37"/>
      <c r="L71" s="37"/>
      <c r="M71" s="37"/>
      <c r="N71" s="37"/>
      <c r="O71" s="37"/>
      <c r="P71" s="40"/>
      <c r="Q71" s="38"/>
      <c r="S71" s="38"/>
      <c r="T71" s="37"/>
      <c r="U71" s="37"/>
      <c r="V71" s="37"/>
      <c r="W71" s="39"/>
      <c r="AB71" s="37"/>
      <c r="AC71" s="37"/>
      <c r="AD71" s="37"/>
      <c r="AE71" s="37"/>
      <c r="AF71" s="37"/>
      <c r="AG71" s="37"/>
      <c r="AH71" s="37"/>
      <c r="AI71" s="37"/>
      <c r="AJ71" s="37"/>
      <c r="AK71" s="37"/>
    </row>
    <row r="72" spans="4:37" x14ac:dyDescent="0.25">
      <c r="D72" s="37"/>
      <c r="E72" s="37"/>
      <c r="F72" s="37"/>
      <c r="G72" s="37"/>
      <c r="H72" s="37"/>
      <c r="I72" s="37"/>
      <c r="J72" s="37"/>
      <c r="K72" s="37"/>
      <c r="L72" s="37"/>
      <c r="M72" s="37"/>
      <c r="N72" s="37"/>
      <c r="O72" s="37"/>
      <c r="P72" s="40"/>
      <c r="Q72" s="38"/>
      <c r="S72" s="38"/>
      <c r="T72" s="37"/>
      <c r="U72" s="37"/>
      <c r="V72" s="37"/>
      <c r="W72" s="39"/>
      <c r="AB72" s="37"/>
      <c r="AC72" s="37"/>
      <c r="AD72" s="37"/>
      <c r="AE72" s="37"/>
      <c r="AF72" s="37"/>
      <c r="AG72" s="37"/>
      <c r="AH72" s="37"/>
      <c r="AI72" s="37"/>
      <c r="AJ72" s="37"/>
      <c r="AK72" s="37"/>
    </row>
    <row r="73" spans="4:37" x14ac:dyDescent="0.25">
      <c r="D73" s="37"/>
      <c r="E73" s="37"/>
      <c r="F73" s="37"/>
      <c r="G73" s="37"/>
      <c r="H73" s="37"/>
      <c r="I73" s="37"/>
      <c r="J73" s="37"/>
      <c r="K73" s="37"/>
      <c r="L73" s="37"/>
      <c r="M73" s="37"/>
      <c r="N73" s="37"/>
      <c r="O73" s="37"/>
      <c r="P73" s="40"/>
      <c r="Q73" s="38"/>
      <c r="S73" s="38"/>
      <c r="T73" s="37"/>
      <c r="U73" s="37"/>
      <c r="V73" s="37"/>
      <c r="W73" s="39"/>
      <c r="AB73" s="37"/>
      <c r="AC73" s="37"/>
      <c r="AD73" s="37"/>
      <c r="AE73" s="37"/>
      <c r="AF73" s="37"/>
      <c r="AG73" s="37"/>
      <c r="AH73" s="37"/>
      <c r="AI73" s="37"/>
      <c r="AJ73" s="37"/>
      <c r="AK73" s="37"/>
    </row>
    <row r="74" spans="4:37" x14ac:dyDescent="0.25">
      <c r="D74" s="37"/>
      <c r="E74" s="37"/>
      <c r="F74" s="37"/>
      <c r="G74" s="37"/>
      <c r="H74" s="37"/>
      <c r="I74" s="37"/>
      <c r="J74" s="37"/>
      <c r="K74" s="37"/>
      <c r="L74" s="37"/>
      <c r="M74" s="37"/>
      <c r="N74" s="37"/>
      <c r="O74" s="37"/>
      <c r="P74" s="40"/>
      <c r="Q74" s="38"/>
      <c r="S74" s="38"/>
      <c r="T74" s="37"/>
      <c r="U74" s="37"/>
      <c r="V74" s="37"/>
      <c r="W74" s="39"/>
      <c r="AB74" s="37"/>
      <c r="AC74" s="37"/>
      <c r="AD74" s="37"/>
      <c r="AE74" s="37"/>
      <c r="AF74" s="37"/>
      <c r="AG74" s="37"/>
      <c r="AH74" s="37"/>
      <c r="AI74" s="37"/>
      <c r="AJ74" s="37"/>
      <c r="AK74" s="37"/>
    </row>
    <row r="75" spans="4:37" x14ac:dyDescent="0.25">
      <c r="D75" s="37"/>
      <c r="E75" s="37"/>
      <c r="F75" s="37"/>
      <c r="G75" s="37"/>
      <c r="H75" s="37"/>
      <c r="I75" s="37"/>
      <c r="J75" s="37"/>
      <c r="K75" s="37"/>
      <c r="L75" s="37"/>
      <c r="M75" s="37"/>
      <c r="N75" s="37"/>
      <c r="O75" s="37"/>
      <c r="P75" s="40"/>
      <c r="Q75" s="38"/>
      <c r="S75" s="38"/>
      <c r="T75" s="37"/>
      <c r="U75" s="37"/>
      <c r="V75" s="37"/>
      <c r="W75" s="39"/>
      <c r="AB75" s="37"/>
      <c r="AC75" s="37"/>
      <c r="AD75" s="37"/>
      <c r="AE75" s="37"/>
      <c r="AF75" s="37"/>
      <c r="AG75" s="37"/>
      <c r="AH75" s="37"/>
      <c r="AI75" s="37"/>
      <c r="AJ75" s="37"/>
      <c r="AK75" s="37"/>
    </row>
    <row r="76" spans="4:37" x14ac:dyDescent="0.25">
      <c r="D76" s="37"/>
      <c r="E76" s="37"/>
      <c r="F76" s="37"/>
      <c r="G76" s="37"/>
      <c r="H76" s="37"/>
      <c r="I76" s="37"/>
      <c r="J76" s="37"/>
      <c r="K76" s="37"/>
      <c r="L76" s="37"/>
      <c r="M76" s="37"/>
      <c r="N76" s="37"/>
      <c r="O76" s="37"/>
      <c r="P76" s="40"/>
      <c r="Q76" s="38"/>
      <c r="S76" s="38"/>
      <c r="T76" s="37"/>
      <c r="U76" s="37"/>
      <c r="V76" s="37"/>
      <c r="W76" s="39"/>
      <c r="AB76" s="37"/>
      <c r="AC76" s="37"/>
      <c r="AD76" s="37"/>
      <c r="AE76" s="37"/>
      <c r="AF76" s="37"/>
      <c r="AG76" s="37"/>
      <c r="AH76" s="37"/>
      <c r="AI76" s="37"/>
      <c r="AJ76" s="37"/>
      <c r="AK76" s="37"/>
    </row>
    <row r="77" spans="4:37" x14ac:dyDescent="0.25">
      <c r="D77" s="37"/>
      <c r="E77" s="37"/>
      <c r="F77" s="37"/>
      <c r="G77" s="37"/>
      <c r="H77" s="37"/>
      <c r="I77" s="37"/>
      <c r="J77" s="37"/>
      <c r="K77" s="37"/>
      <c r="L77" s="37"/>
      <c r="M77" s="37"/>
      <c r="N77" s="37"/>
      <c r="O77" s="37"/>
      <c r="P77" s="40"/>
      <c r="Q77" s="38"/>
      <c r="S77" s="38"/>
      <c r="T77" s="37"/>
      <c r="U77" s="37"/>
      <c r="V77" s="37"/>
      <c r="W77" s="39"/>
      <c r="AB77" s="37"/>
      <c r="AC77" s="37"/>
      <c r="AD77" s="37"/>
      <c r="AE77" s="37"/>
      <c r="AF77" s="37"/>
      <c r="AG77" s="37"/>
      <c r="AH77" s="37"/>
      <c r="AI77" s="37"/>
      <c r="AJ77" s="37"/>
      <c r="AK77" s="37"/>
    </row>
    <row r="78" spans="4:37" x14ac:dyDescent="0.25">
      <c r="D78" s="37"/>
      <c r="E78" s="37"/>
      <c r="F78" s="37"/>
      <c r="G78" s="37"/>
      <c r="H78" s="37"/>
      <c r="I78" s="37"/>
      <c r="J78" s="37"/>
      <c r="K78" s="37"/>
      <c r="L78" s="37"/>
      <c r="M78" s="37"/>
      <c r="N78" s="37"/>
      <c r="O78" s="37"/>
      <c r="P78" s="40"/>
      <c r="Q78" s="38"/>
      <c r="S78" s="38"/>
      <c r="T78" s="37"/>
      <c r="U78" s="37"/>
      <c r="V78" s="37"/>
      <c r="W78" s="39"/>
      <c r="AB78" s="37"/>
      <c r="AC78" s="37"/>
      <c r="AD78" s="37"/>
      <c r="AE78" s="37"/>
      <c r="AF78" s="37"/>
      <c r="AG78" s="37"/>
      <c r="AH78" s="37"/>
      <c r="AI78" s="37"/>
      <c r="AJ78" s="37"/>
      <c r="AK78" s="37"/>
    </row>
    <row r="79" spans="4:37" x14ac:dyDescent="0.25">
      <c r="D79" s="37"/>
      <c r="E79" s="37"/>
      <c r="F79" s="37"/>
      <c r="G79" s="37"/>
      <c r="H79" s="37"/>
      <c r="I79" s="37"/>
      <c r="J79" s="37"/>
      <c r="K79" s="37"/>
      <c r="L79" s="37"/>
      <c r="M79" s="37"/>
      <c r="N79" s="37"/>
      <c r="O79" s="37"/>
      <c r="P79" s="40"/>
      <c r="Q79" s="38"/>
      <c r="S79" s="38"/>
      <c r="T79" s="37"/>
      <c r="U79" s="37"/>
      <c r="V79" s="37"/>
      <c r="W79" s="39"/>
      <c r="AB79" s="37"/>
      <c r="AC79" s="37"/>
      <c r="AD79" s="37"/>
      <c r="AE79" s="37"/>
      <c r="AF79" s="37"/>
      <c r="AG79" s="37"/>
      <c r="AH79" s="37"/>
      <c r="AI79" s="37"/>
      <c r="AJ79" s="37"/>
      <c r="AK79" s="37"/>
    </row>
    <row r="80" spans="4:37" x14ac:dyDescent="0.25">
      <c r="D80" s="37"/>
      <c r="E80" s="37"/>
      <c r="F80" s="37"/>
      <c r="G80" s="37"/>
      <c r="H80" s="37"/>
      <c r="I80" s="37"/>
      <c r="J80" s="37"/>
      <c r="K80" s="37"/>
      <c r="L80" s="37"/>
      <c r="M80" s="37"/>
      <c r="N80" s="37"/>
      <c r="O80" s="37"/>
      <c r="P80" s="40"/>
      <c r="Q80" s="38"/>
      <c r="S80" s="38"/>
      <c r="T80" s="37"/>
      <c r="U80" s="37"/>
      <c r="V80" s="37"/>
      <c r="W80" s="39"/>
      <c r="AB80" s="37"/>
      <c r="AC80" s="37"/>
      <c r="AD80" s="37"/>
      <c r="AE80" s="37"/>
      <c r="AF80" s="37"/>
      <c r="AG80" s="37"/>
      <c r="AH80" s="37"/>
      <c r="AI80" s="37"/>
      <c r="AJ80" s="37"/>
      <c r="AK80" s="37"/>
    </row>
    <row r="81" spans="4:37" x14ac:dyDescent="0.25">
      <c r="D81" s="37"/>
      <c r="E81" s="37"/>
      <c r="F81" s="37"/>
      <c r="G81" s="37"/>
      <c r="H81" s="37"/>
      <c r="I81" s="37"/>
      <c r="J81" s="37"/>
      <c r="K81" s="37"/>
      <c r="L81" s="37"/>
      <c r="M81" s="37"/>
      <c r="N81" s="37"/>
      <c r="O81" s="37"/>
      <c r="P81" s="40"/>
      <c r="Q81" s="38"/>
      <c r="S81" s="38"/>
      <c r="T81" s="37"/>
      <c r="U81" s="37"/>
      <c r="V81" s="37"/>
      <c r="W81" s="39"/>
      <c r="AB81" s="37"/>
      <c r="AC81" s="37"/>
      <c r="AD81" s="37"/>
      <c r="AE81" s="37"/>
      <c r="AF81" s="37"/>
      <c r="AG81" s="37"/>
      <c r="AH81" s="37"/>
      <c r="AI81" s="37"/>
      <c r="AJ81" s="37"/>
      <c r="AK81" s="37"/>
    </row>
    <row r="82" spans="4:37" x14ac:dyDescent="0.25">
      <c r="D82" s="37"/>
      <c r="E82" s="37"/>
      <c r="F82" s="37"/>
      <c r="G82" s="37"/>
      <c r="H82" s="37"/>
      <c r="I82" s="37"/>
      <c r="J82" s="37"/>
      <c r="K82" s="37"/>
      <c r="L82" s="37"/>
      <c r="M82" s="37"/>
      <c r="N82" s="37"/>
      <c r="O82" s="37"/>
      <c r="P82" s="40"/>
      <c r="Q82" s="38"/>
      <c r="S82" s="38"/>
      <c r="T82" s="37"/>
      <c r="U82" s="37"/>
      <c r="V82" s="37"/>
      <c r="W82" s="39"/>
      <c r="AB82" s="37"/>
      <c r="AC82" s="37"/>
      <c r="AD82" s="37"/>
      <c r="AE82" s="37"/>
      <c r="AF82" s="37"/>
      <c r="AG82" s="37"/>
      <c r="AH82" s="37"/>
      <c r="AI82" s="37"/>
      <c r="AJ82" s="37"/>
      <c r="AK82" s="37"/>
    </row>
    <row r="83" spans="4:37" x14ac:dyDescent="0.25">
      <c r="D83" s="37"/>
      <c r="E83" s="37"/>
      <c r="F83" s="37"/>
      <c r="G83" s="37"/>
      <c r="H83" s="37"/>
      <c r="I83" s="37"/>
      <c r="J83" s="37"/>
      <c r="K83" s="37"/>
      <c r="L83" s="37"/>
      <c r="M83" s="37"/>
      <c r="N83" s="37"/>
      <c r="O83" s="37"/>
      <c r="P83" s="40"/>
      <c r="Q83" s="38"/>
      <c r="S83" s="38"/>
      <c r="T83" s="37"/>
      <c r="U83" s="37"/>
      <c r="V83" s="37"/>
      <c r="W83" s="39"/>
      <c r="AB83" s="37"/>
      <c r="AC83" s="37"/>
      <c r="AD83" s="37"/>
      <c r="AE83" s="37"/>
      <c r="AF83" s="37"/>
      <c r="AG83" s="37"/>
      <c r="AH83" s="37"/>
      <c r="AI83" s="37"/>
      <c r="AJ83" s="37"/>
      <c r="AK83" s="3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7E5E-5DC1-46CC-BBDE-15661EBBEDFD}">
  <sheetPr>
    <tabColor theme="9"/>
  </sheetPr>
  <dimension ref="C1:AE105"/>
  <sheetViews>
    <sheetView zoomScaleNormal="100" workbookViewId="0">
      <selection activeCell="T37" sqref="T37"/>
    </sheetView>
  </sheetViews>
  <sheetFormatPr defaultColWidth="9.140625" defaultRowHeight="15" x14ac:dyDescent="0.25"/>
  <cols>
    <col min="1" max="1" width="9.140625" style="233"/>
    <col min="2" max="2" width="9.140625" style="233" customWidth="1"/>
    <col min="3" max="3" width="20.7109375" style="233" customWidth="1"/>
    <col min="4" max="10" width="3.42578125" style="233" customWidth="1"/>
    <col min="11" max="11" width="4" style="233" customWidth="1"/>
    <col min="12" max="12" width="4.42578125" style="233" customWidth="1"/>
    <col min="13" max="13" width="29.85546875" style="233" customWidth="1"/>
    <col min="14" max="14" width="4" style="233" customWidth="1"/>
    <col min="15" max="16" width="3.42578125" style="233" customWidth="1"/>
    <col min="17" max="17" width="3.7109375" style="233" customWidth="1"/>
    <col min="18" max="18" width="3.85546875" style="233" customWidth="1"/>
    <col min="19" max="19" width="4" style="233" customWidth="1"/>
    <col min="20" max="20" width="25.42578125" style="233" customWidth="1"/>
    <col min="21" max="27" width="3.42578125" style="233" customWidth="1"/>
    <col min="28" max="16384" width="9.140625" style="233"/>
  </cols>
  <sheetData>
    <row r="1" spans="3:31" x14ac:dyDescent="0.25">
      <c r="N1" s="233" t="s">
        <v>126</v>
      </c>
      <c r="U1" s="233" t="s">
        <v>152</v>
      </c>
    </row>
    <row r="2" spans="3:31" ht="84" customHeight="1" x14ac:dyDescent="0.25">
      <c r="C2" s="236"/>
      <c r="D2" s="258" t="s">
        <v>194</v>
      </c>
      <c r="E2" s="318" t="s">
        <v>556</v>
      </c>
      <c r="F2" s="258" t="s">
        <v>192</v>
      </c>
      <c r="G2" s="215" t="s">
        <v>533</v>
      </c>
      <c r="H2" s="258"/>
      <c r="I2" s="258"/>
      <c r="J2" s="258"/>
      <c r="K2" s="260"/>
      <c r="L2" s="259"/>
      <c r="M2" s="236"/>
      <c r="O2" s="258" t="s">
        <v>425</v>
      </c>
      <c r="P2" s="258"/>
      <c r="U2" s="258"/>
      <c r="V2" s="258"/>
      <c r="W2" s="258"/>
      <c r="X2" s="258"/>
      <c r="Y2" s="258"/>
      <c r="Z2" s="258"/>
      <c r="AA2" s="258"/>
    </row>
    <row r="3" spans="3:31" ht="141" customHeight="1" x14ac:dyDescent="0.25">
      <c r="C3" s="236" t="s">
        <v>125</v>
      </c>
      <c r="D3" s="258" t="s">
        <v>195</v>
      </c>
      <c r="E3" s="318" t="s">
        <v>558</v>
      </c>
      <c r="F3" s="258" t="s">
        <v>193</v>
      </c>
      <c r="G3" s="258" t="s">
        <v>198</v>
      </c>
      <c r="H3" s="258"/>
      <c r="I3" s="258"/>
      <c r="J3" s="258"/>
      <c r="K3" s="260"/>
      <c r="L3" s="259"/>
      <c r="M3" s="236" t="s">
        <v>124</v>
      </c>
      <c r="O3" s="258" t="s">
        <v>200</v>
      </c>
      <c r="P3" s="258"/>
      <c r="U3" s="258"/>
      <c r="V3" s="258"/>
      <c r="W3" s="258"/>
      <c r="X3" s="258"/>
      <c r="Y3" s="258"/>
      <c r="Z3" s="258"/>
      <c r="AA3" s="258"/>
    </row>
    <row r="4" spans="3:31" x14ac:dyDescent="0.25">
      <c r="D4" s="234"/>
      <c r="E4" s="234"/>
      <c r="F4" s="234"/>
      <c r="G4" s="234"/>
      <c r="H4" s="234"/>
      <c r="I4" s="234"/>
      <c r="J4" s="234"/>
      <c r="K4" s="237"/>
      <c r="L4" s="236"/>
      <c r="O4" s="234"/>
      <c r="P4" s="234"/>
      <c r="U4" s="234"/>
      <c r="V4" s="234"/>
      <c r="W4" s="234"/>
      <c r="X4" s="234"/>
      <c r="Y4" s="234"/>
      <c r="Z4" s="234"/>
      <c r="AA4" s="234"/>
    </row>
    <row r="5" spans="3:31" x14ac:dyDescent="0.25">
      <c r="D5" s="234"/>
      <c r="E5" s="239"/>
      <c r="F5" s="248"/>
      <c r="G5" s="239"/>
      <c r="H5" s="239"/>
      <c r="I5" s="239"/>
      <c r="J5" s="248"/>
      <c r="K5" s="249"/>
      <c r="L5" s="248"/>
      <c r="M5" s="250" t="s">
        <v>419</v>
      </c>
      <c r="N5" s="249"/>
      <c r="O5" s="248"/>
      <c r="P5" s="257"/>
      <c r="U5" s="234"/>
      <c r="V5" s="234"/>
      <c r="W5" s="234"/>
      <c r="X5" s="234"/>
      <c r="Y5" s="234"/>
      <c r="Z5" s="234"/>
      <c r="AA5" s="234"/>
      <c r="AE5" s="256"/>
    </row>
    <row r="6" spans="3:31" x14ac:dyDescent="0.25">
      <c r="C6" s="236"/>
      <c r="D6" s="234"/>
      <c r="E6" s="234"/>
      <c r="F6" s="243"/>
      <c r="G6" s="243"/>
      <c r="H6" s="241"/>
      <c r="I6" s="243"/>
      <c r="J6" s="241"/>
      <c r="K6" s="242"/>
      <c r="L6" s="241"/>
      <c r="M6" s="247"/>
      <c r="N6" s="246"/>
      <c r="O6" s="245"/>
      <c r="P6" s="235"/>
      <c r="U6" s="234"/>
      <c r="V6" s="234"/>
      <c r="W6" s="234"/>
      <c r="X6" s="234"/>
      <c r="Y6" s="234"/>
      <c r="Z6" s="234"/>
      <c r="AA6" s="234"/>
      <c r="AE6" s="244"/>
    </row>
    <row r="7" spans="3:31" x14ac:dyDescent="0.25">
      <c r="C7" s="236"/>
      <c r="D7" s="234"/>
      <c r="E7" s="234"/>
      <c r="F7" s="234"/>
      <c r="G7" s="243"/>
      <c r="H7" s="241"/>
      <c r="I7" s="243"/>
      <c r="J7" s="241"/>
      <c r="K7" s="242"/>
      <c r="L7" s="241"/>
      <c r="M7" s="235" t="s">
        <v>199</v>
      </c>
      <c r="P7" s="235"/>
      <c r="U7" s="234"/>
      <c r="V7" s="234"/>
      <c r="W7" s="234"/>
      <c r="X7" s="234"/>
      <c r="Y7" s="234"/>
      <c r="Z7" s="234"/>
      <c r="AA7" s="234"/>
      <c r="AE7" s="255"/>
    </row>
    <row r="8" spans="3:31" x14ac:dyDescent="0.25">
      <c r="C8" s="236"/>
      <c r="D8" s="234"/>
      <c r="E8" s="234"/>
      <c r="F8" s="234"/>
      <c r="G8" s="234"/>
      <c r="H8" s="234"/>
      <c r="I8" s="234"/>
      <c r="J8" s="254"/>
      <c r="K8" s="246"/>
      <c r="L8" s="245"/>
      <c r="M8" s="240"/>
      <c r="N8" s="236"/>
      <c r="O8" s="236"/>
      <c r="P8" s="235"/>
      <c r="U8" s="234"/>
      <c r="V8" s="234"/>
      <c r="W8" s="234"/>
      <c r="X8" s="235"/>
      <c r="Y8" s="234"/>
      <c r="Z8" s="234"/>
      <c r="AA8" s="234"/>
      <c r="AE8" s="238"/>
    </row>
    <row r="9" spans="3:31" x14ac:dyDescent="0.25">
      <c r="C9" s="236"/>
      <c r="D9" s="234"/>
      <c r="E9" s="234"/>
      <c r="F9" s="234"/>
      <c r="G9" s="234"/>
      <c r="H9" s="234"/>
      <c r="I9" s="234"/>
      <c r="J9" s="234"/>
      <c r="K9" s="237"/>
      <c r="L9" s="236"/>
      <c r="M9" s="239" t="s">
        <v>420</v>
      </c>
      <c r="N9" s="236"/>
      <c r="O9" s="234"/>
      <c r="P9" s="235"/>
      <c r="U9" s="234"/>
      <c r="V9" s="234"/>
      <c r="W9" s="234"/>
      <c r="X9" s="234"/>
      <c r="Y9" s="234"/>
      <c r="Z9" s="234"/>
      <c r="AA9" s="234"/>
      <c r="AB9" s="253"/>
      <c r="AE9" s="252"/>
    </row>
    <row r="10" spans="3:31" x14ac:dyDescent="0.25">
      <c r="C10" s="236"/>
      <c r="D10" s="234"/>
      <c r="E10" s="234"/>
      <c r="F10" s="234"/>
      <c r="G10" s="234"/>
      <c r="H10" s="234"/>
      <c r="I10" s="234"/>
      <c r="J10" s="234"/>
      <c r="K10" s="237"/>
      <c r="L10" s="236"/>
      <c r="N10" s="236"/>
      <c r="O10" s="234"/>
      <c r="P10" s="235"/>
      <c r="U10" s="234"/>
      <c r="V10" s="234"/>
      <c r="W10" s="234"/>
      <c r="X10" s="234"/>
      <c r="Y10" s="234"/>
      <c r="Z10" s="234"/>
      <c r="AA10" s="234"/>
    </row>
    <row r="11" spans="3:31" x14ac:dyDescent="0.25">
      <c r="C11" s="236"/>
      <c r="D11" s="234"/>
      <c r="E11" s="234"/>
      <c r="F11" s="234"/>
      <c r="G11" s="234"/>
      <c r="H11" s="234"/>
      <c r="I11" s="234"/>
      <c r="J11" s="234"/>
      <c r="K11" s="237"/>
      <c r="L11" s="236"/>
      <c r="N11" s="236"/>
      <c r="O11" s="234"/>
      <c r="P11" s="235"/>
      <c r="U11" s="234"/>
      <c r="V11" s="234"/>
      <c r="W11" s="234"/>
      <c r="X11" s="234"/>
      <c r="Y11" s="234"/>
      <c r="Z11" s="234"/>
      <c r="AA11" s="234"/>
    </row>
    <row r="12" spans="3:31" x14ac:dyDescent="0.25">
      <c r="C12" s="236"/>
      <c r="D12" s="234"/>
      <c r="E12" s="239"/>
      <c r="F12" s="248"/>
      <c r="G12" s="239"/>
      <c r="H12" s="239"/>
      <c r="I12" s="239"/>
      <c r="J12" s="248"/>
      <c r="K12" s="249"/>
      <c r="L12" s="248"/>
      <c r="M12" s="250" t="s">
        <v>421</v>
      </c>
      <c r="N12" s="249"/>
      <c r="O12" s="248"/>
      <c r="P12" s="235"/>
      <c r="U12" s="234"/>
      <c r="V12" s="234"/>
      <c r="W12" s="234"/>
      <c r="X12" s="234"/>
      <c r="Y12" s="234"/>
      <c r="Z12" s="234"/>
      <c r="AA12" s="234"/>
    </row>
    <row r="13" spans="3:31" x14ac:dyDescent="0.25">
      <c r="C13" s="236"/>
      <c r="D13" s="234"/>
      <c r="E13" s="234"/>
      <c r="F13" s="243"/>
      <c r="G13" s="243"/>
      <c r="H13" s="241"/>
      <c r="I13" s="243"/>
      <c r="J13" s="241"/>
      <c r="K13" s="242"/>
      <c r="L13" s="241"/>
      <c r="M13" s="247"/>
      <c r="N13" s="246"/>
      <c r="O13" s="245"/>
      <c r="P13" s="235"/>
      <c r="U13" s="234"/>
      <c r="V13" s="234"/>
      <c r="W13" s="234"/>
      <c r="X13" s="234"/>
      <c r="Y13" s="234"/>
      <c r="Z13" s="234"/>
      <c r="AA13" s="234"/>
      <c r="AD13" s="251"/>
    </row>
    <row r="14" spans="3:31" x14ac:dyDescent="0.25">
      <c r="C14" s="236"/>
      <c r="D14" s="234"/>
      <c r="E14" s="234"/>
      <c r="F14" s="234"/>
      <c r="G14" s="243"/>
      <c r="H14" s="241"/>
      <c r="I14" s="243"/>
      <c r="J14" s="241"/>
      <c r="K14" s="242"/>
      <c r="L14" s="241"/>
      <c r="M14" s="240"/>
      <c r="P14" s="235"/>
      <c r="U14" s="234"/>
      <c r="V14" s="234"/>
      <c r="W14" s="234"/>
      <c r="X14" s="234"/>
      <c r="Y14" s="234"/>
      <c r="Z14" s="234"/>
      <c r="AA14" s="234"/>
    </row>
    <row r="15" spans="3:31" x14ac:dyDescent="0.25">
      <c r="C15" s="236"/>
      <c r="D15" s="234"/>
      <c r="E15" s="234"/>
      <c r="F15" s="234"/>
      <c r="G15" s="234"/>
      <c r="H15" s="234"/>
      <c r="I15" s="234"/>
      <c r="J15" s="234"/>
      <c r="K15" s="237"/>
      <c r="L15" s="236"/>
      <c r="M15" s="239" t="s">
        <v>422</v>
      </c>
      <c r="N15" s="236"/>
      <c r="O15" s="236"/>
      <c r="P15" s="235"/>
      <c r="U15" s="234"/>
      <c r="V15" s="234"/>
      <c r="W15" s="234"/>
      <c r="X15" s="234"/>
      <c r="Y15" s="234"/>
      <c r="Z15" s="234"/>
      <c r="AA15" s="234"/>
    </row>
    <row r="16" spans="3:31" x14ac:dyDescent="0.25">
      <c r="C16" s="236"/>
      <c r="D16" s="234"/>
      <c r="E16" s="234"/>
      <c r="F16" s="234"/>
      <c r="G16" s="234"/>
      <c r="H16" s="234"/>
      <c r="I16" s="234"/>
      <c r="J16" s="234"/>
      <c r="K16" s="237"/>
      <c r="L16" s="236"/>
      <c r="N16" s="236"/>
      <c r="O16" s="234"/>
      <c r="P16" s="235"/>
      <c r="U16" s="234"/>
      <c r="V16" s="234"/>
      <c r="W16" s="234"/>
      <c r="X16" s="234"/>
      <c r="Y16" s="234"/>
      <c r="Z16" s="234"/>
      <c r="AA16" s="234"/>
    </row>
    <row r="17" spans="3:30" x14ac:dyDescent="0.25">
      <c r="C17" s="236"/>
      <c r="D17" s="234"/>
      <c r="E17" s="234"/>
      <c r="F17" s="234"/>
      <c r="G17" s="234"/>
      <c r="H17" s="234"/>
      <c r="I17" s="234"/>
      <c r="J17" s="234"/>
      <c r="K17" s="237"/>
      <c r="L17" s="236"/>
      <c r="N17" s="236"/>
      <c r="O17" s="234"/>
      <c r="P17" s="235"/>
      <c r="U17" s="234"/>
      <c r="V17" s="234"/>
      <c r="W17" s="234"/>
      <c r="X17" s="234"/>
      <c r="Y17" s="234"/>
      <c r="Z17" s="234"/>
      <c r="AA17" s="234"/>
      <c r="AD17" s="251"/>
    </row>
    <row r="18" spans="3:30" x14ac:dyDescent="0.25">
      <c r="C18" s="236"/>
      <c r="D18" s="234"/>
      <c r="E18" s="239"/>
      <c r="F18" s="248"/>
      <c r="G18" s="239"/>
      <c r="H18" s="239"/>
      <c r="I18" s="239"/>
      <c r="J18" s="248"/>
      <c r="K18" s="249"/>
      <c r="L18" s="248"/>
      <c r="M18" s="250" t="s">
        <v>423</v>
      </c>
      <c r="N18" s="249"/>
      <c r="O18" s="248"/>
      <c r="P18" s="235"/>
      <c r="U18" s="234"/>
      <c r="V18" s="234"/>
      <c r="W18" s="234"/>
      <c r="X18" s="234"/>
      <c r="Y18" s="234"/>
      <c r="Z18" s="234"/>
      <c r="AA18" s="234"/>
      <c r="AD18" s="244"/>
    </row>
    <row r="19" spans="3:30" x14ac:dyDescent="0.25">
      <c r="C19" s="236"/>
      <c r="D19" s="234"/>
      <c r="E19" s="234"/>
      <c r="F19" s="243"/>
      <c r="G19" s="243"/>
      <c r="H19" s="241"/>
      <c r="I19" s="243"/>
      <c r="J19" s="241"/>
      <c r="K19" s="242"/>
      <c r="L19" s="241"/>
      <c r="M19" s="247"/>
      <c r="N19" s="246"/>
      <c r="O19" s="245"/>
      <c r="P19" s="235"/>
      <c r="U19" s="234"/>
      <c r="V19" s="234"/>
      <c r="W19" s="234"/>
      <c r="X19" s="234"/>
      <c r="Y19" s="234"/>
      <c r="Z19" s="234"/>
      <c r="AA19" s="234"/>
      <c r="AD19" s="244"/>
    </row>
    <row r="20" spans="3:30" x14ac:dyDescent="0.25">
      <c r="C20" s="236"/>
      <c r="D20" s="234"/>
      <c r="E20" s="234"/>
      <c r="F20" s="234"/>
      <c r="G20" s="243"/>
      <c r="H20" s="241"/>
      <c r="I20" s="243"/>
      <c r="J20" s="241"/>
      <c r="K20" s="242"/>
      <c r="L20" s="241"/>
      <c r="M20" s="240"/>
      <c r="P20" s="235"/>
      <c r="U20" s="234"/>
      <c r="V20" s="234"/>
      <c r="W20" s="234"/>
      <c r="X20" s="234"/>
      <c r="Y20" s="234"/>
      <c r="Z20" s="234"/>
      <c r="AA20" s="234"/>
      <c r="AD20" s="244"/>
    </row>
    <row r="21" spans="3:30" x14ac:dyDescent="0.25">
      <c r="C21" s="236"/>
      <c r="D21" s="234"/>
      <c r="E21" s="234"/>
      <c r="F21" s="234"/>
      <c r="G21" s="234"/>
      <c r="H21" s="243"/>
      <c r="I21" s="241"/>
      <c r="J21" s="241"/>
      <c r="K21" s="242"/>
      <c r="L21" s="241"/>
      <c r="M21" s="240"/>
      <c r="N21" s="236"/>
      <c r="O21" s="236"/>
      <c r="P21" s="235"/>
      <c r="U21" s="234"/>
      <c r="V21" s="234"/>
      <c r="W21" s="234"/>
      <c r="X21" s="234"/>
      <c r="Y21" s="234"/>
      <c r="Z21" s="234"/>
      <c r="AA21" s="234"/>
      <c r="AD21" s="238"/>
    </row>
    <row r="22" spans="3:30" x14ac:dyDescent="0.25">
      <c r="C22" s="236"/>
      <c r="D22" s="234"/>
      <c r="E22" s="234"/>
      <c r="F22" s="234"/>
      <c r="G22" s="234"/>
      <c r="H22" s="234"/>
      <c r="I22" s="234"/>
      <c r="J22" s="234"/>
      <c r="K22" s="237"/>
      <c r="L22" s="236"/>
      <c r="M22" s="239" t="s">
        <v>424</v>
      </c>
      <c r="N22" s="236"/>
      <c r="O22" s="234"/>
      <c r="P22" s="235"/>
      <c r="U22" s="234"/>
      <c r="V22" s="234"/>
      <c r="W22" s="234"/>
      <c r="X22" s="234"/>
      <c r="Y22" s="234"/>
      <c r="Z22" s="234"/>
      <c r="AA22" s="234"/>
    </row>
    <row r="23" spans="3:30" x14ac:dyDescent="0.25">
      <c r="C23" s="236"/>
      <c r="D23" s="234"/>
      <c r="E23" s="234"/>
      <c r="F23" s="234"/>
      <c r="G23" s="234"/>
      <c r="H23" s="234"/>
      <c r="I23" s="234"/>
      <c r="J23" s="234"/>
      <c r="K23" s="237"/>
      <c r="L23" s="236"/>
      <c r="N23" s="236"/>
      <c r="O23" s="234"/>
      <c r="P23" s="235"/>
      <c r="U23" s="234"/>
      <c r="V23" s="234"/>
      <c r="W23" s="234"/>
      <c r="X23" s="234"/>
      <c r="Y23" s="234"/>
      <c r="Z23" s="234"/>
      <c r="AA23" s="234"/>
    </row>
    <row r="24" spans="3:30" x14ac:dyDescent="0.25">
      <c r="C24" s="236"/>
      <c r="D24" s="234"/>
      <c r="E24" s="234"/>
      <c r="F24" s="234"/>
      <c r="G24" s="234"/>
      <c r="H24" s="234"/>
      <c r="I24" s="234"/>
      <c r="J24" s="234"/>
      <c r="K24" s="237"/>
      <c r="L24" s="236"/>
      <c r="N24" s="236"/>
      <c r="O24" s="234"/>
      <c r="P24" s="235"/>
      <c r="U24" s="234"/>
      <c r="V24" s="234"/>
      <c r="W24" s="234"/>
      <c r="X24" s="234"/>
      <c r="Y24" s="234"/>
      <c r="Z24" s="234"/>
      <c r="AA24" s="234"/>
      <c r="AD24" s="238"/>
    </row>
    <row r="25" spans="3:30" x14ac:dyDescent="0.25">
      <c r="C25" s="236"/>
      <c r="D25" s="234"/>
      <c r="E25" s="234"/>
      <c r="F25" s="234"/>
      <c r="G25" s="234"/>
      <c r="H25" s="234"/>
      <c r="I25" s="234"/>
      <c r="J25" s="234"/>
      <c r="K25" s="237"/>
      <c r="L25" s="236"/>
      <c r="N25" s="236"/>
      <c r="O25" s="234"/>
      <c r="P25" s="235"/>
      <c r="U25" s="234"/>
      <c r="V25" s="234"/>
      <c r="W25" s="234"/>
      <c r="X25" s="234"/>
      <c r="Y25" s="234"/>
      <c r="Z25" s="234"/>
      <c r="AA25" s="234"/>
    </row>
    <row r="26" spans="3:30" x14ac:dyDescent="0.25">
      <c r="C26" s="236"/>
      <c r="D26" s="234"/>
      <c r="E26" s="234"/>
      <c r="F26" s="234"/>
      <c r="G26" s="234"/>
      <c r="H26" s="234"/>
      <c r="I26" s="234"/>
      <c r="J26" s="234"/>
      <c r="K26" s="237"/>
      <c r="L26" s="236"/>
      <c r="N26" s="236"/>
      <c r="O26" s="234"/>
      <c r="P26" s="235"/>
      <c r="U26" s="234"/>
      <c r="V26" s="234"/>
      <c r="W26" s="234"/>
      <c r="X26" s="234"/>
      <c r="Y26" s="234"/>
      <c r="Z26" s="234"/>
      <c r="AA26" s="234"/>
    </row>
    <row r="27" spans="3:30" x14ac:dyDescent="0.25">
      <c r="C27" s="236"/>
      <c r="D27" s="234"/>
      <c r="E27" s="234"/>
      <c r="F27" s="234"/>
      <c r="G27" s="234"/>
      <c r="H27" s="234"/>
      <c r="I27" s="234"/>
      <c r="J27" s="234"/>
      <c r="K27" s="237"/>
      <c r="L27" s="236"/>
      <c r="N27" s="236"/>
      <c r="O27" s="234"/>
      <c r="P27" s="235"/>
      <c r="U27" s="234"/>
      <c r="V27" s="234"/>
      <c r="W27" s="234"/>
      <c r="X27" s="234"/>
      <c r="Y27" s="234"/>
      <c r="Z27" s="234"/>
      <c r="AA27" s="234"/>
    </row>
    <row r="28" spans="3:30" x14ac:dyDescent="0.25">
      <c r="C28" s="236"/>
      <c r="D28" s="234"/>
      <c r="E28" s="234"/>
      <c r="F28" s="234"/>
      <c r="G28" s="234"/>
      <c r="H28" s="234"/>
      <c r="I28" s="234"/>
      <c r="J28" s="234"/>
      <c r="K28" s="237"/>
      <c r="L28" s="236"/>
      <c r="N28" s="236"/>
      <c r="O28" s="234"/>
      <c r="P28" s="235"/>
      <c r="U28" s="234"/>
      <c r="V28" s="234"/>
      <c r="W28" s="234"/>
      <c r="X28" s="234"/>
      <c r="Y28" s="234"/>
      <c r="Z28" s="234"/>
      <c r="AA28" s="234"/>
    </row>
    <row r="29" spans="3:30" x14ac:dyDescent="0.25">
      <c r="C29" s="236"/>
      <c r="D29" s="234"/>
      <c r="E29" s="234"/>
      <c r="F29" s="234"/>
      <c r="G29" s="234"/>
      <c r="H29" s="234"/>
      <c r="I29" s="234"/>
      <c r="J29" s="234"/>
      <c r="K29" s="237"/>
      <c r="L29" s="236"/>
      <c r="N29" s="236"/>
      <c r="O29" s="234"/>
      <c r="P29" s="235"/>
      <c r="U29" s="234"/>
      <c r="V29" s="234"/>
      <c r="W29" s="234"/>
      <c r="X29" s="234"/>
      <c r="Y29" s="234"/>
      <c r="Z29" s="234"/>
      <c r="AA29" s="234"/>
    </row>
    <row r="30" spans="3:30" x14ac:dyDescent="0.25">
      <c r="C30" s="236"/>
      <c r="D30" s="234"/>
      <c r="E30" s="234"/>
      <c r="F30" s="234"/>
      <c r="G30" s="234"/>
      <c r="H30" s="234"/>
      <c r="I30" s="234"/>
      <c r="J30" s="234"/>
      <c r="K30" s="237"/>
      <c r="L30" s="236"/>
      <c r="N30" s="236"/>
      <c r="O30" s="234"/>
      <c r="P30" s="235"/>
      <c r="U30" s="234"/>
      <c r="V30" s="234"/>
      <c r="W30" s="234"/>
      <c r="X30" s="234"/>
      <c r="Y30" s="234"/>
      <c r="Z30" s="234"/>
      <c r="AA30" s="234"/>
    </row>
    <row r="31" spans="3:30" x14ac:dyDescent="0.25">
      <c r="C31" s="236"/>
      <c r="D31" s="234"/>
      <c r="E31" s="234"/>
      <c r="F31" s="234"/>
      <c r="G31" s="234"/>
      <c r="H31" s="234"/>
      <c r="I31" s="234"/>
      <c r="J31" s="234"/>
      <c r="K31" s="237"/>
      <c r="L31" s="236"/>
      <c r="N31" s="236"/>
      <c r="O31" s="234"/>
      <c r="P31" s="235"/>
      <c r="U31" s="234"/>
      <c r="V31" s="234"/>
      <c r="W31" s="234"/>
      <c r="X31" s="234"/>
      <c r="Y31" s="234"/>
      <c r="Z31" s="234"/>
      <c r="AA31" s="234"/>
    </row>
    <row r="32" spans="3:30" x14ac:dyDescent="0.25">
      <c r="C32" s="236"/>
      <c r="D32" s="234"/>
      <c r="E32" s="234"/>
      <c r="F32" s="234"/>
      <c r="G32" s="234"/>
      <c r="H32" s="234"/>
      <c r="I32" s="234"/>
      <c r="J32" s="234"/>
      <c r="K32" s="237"/>
      <c r="L32" s="236"/>
      <c r="N32" s="236"/>
      <c r="O32" s="234"/>
      <c r="P32" s="235"/>
      <c r="U32" s="234"/>
      <c r="V32" s="234"/>
      <c r="W32" s="234"/>
      <c r="X32" s="234"/>
      <c r="Y32" s="234"/>
      <c r="Z32" s="234"/>
      <c r="AA32" s="234"/>
    </row>
    <row r="33" spans="3:27" x14ac:dyDescent="0.25">
      <c r="C33" s="236"/>
      <c r="D33" s="234"/>
      <c r="E33" s="234"/>
      <c r="F33" s="234"/>
      <c r="G33" s="234"/>
      <c r="H33" s="234"/>
      <c r="I33" s="234"/>
      <c r="J33" s="234"/>
      <c r="K33" s="237"/>
      <c r="L33" s="236"/>
      <c r="N33" s="236"/>
      <c r="O33" s="234"/>
      <c r="P33" s="235"/>
      <c r="U33" s="234"/>
      <c r="V33" s="234"/>
      <c r="W33" s="234"/>
      <c r="X33" s="234"/>
      <c r="Y33" s="234"/>
      <c r="Z33" s="234"/>
      <c r="AA33" s="234"/>
    </row>
    <row r="34" spans="3:27" x14ac:dyDescent="0.25">
      <c r="C34" s="236"/>
      <c r="D34" s="234"/>
      <c r="E34" s="234"/>
      <c r="F34" s="234"/>
      <c r="G34" s="234"/>
      <c r="H34" s="234"/>
      <c r="I34" s="234"/>
      <c r="J34" s="234"/>
      <c r="K34" s="237"/>
      <c r="L34" s="236"/>
      <c r="N34" s="236"/>
      <c r="O34" s="234"/>
      <c r="P34" s="235"/>
      <c r="U34" s="234"/>
      <c r="V34" s="234"/>
      <c r="W34" s="234"/>
      <c r="X34" s="234"/>
      <c r="Y34" s="234"/>
      <c r="Z34" s="234"/>
      <c r="AA34" s="234"/>
    </row>
    <row r="35" spans="3:27" x14ac:dyDescent="0.25">
      <c r="C35" s="236"/>
      <c r="D35" s="234"/>
      <c r="E35" s="234"/>
      <c r="F35" s="234"/>
      <c r="G35" s="234"/>
      <c r="H35" s="234"/>
      <c r="I35" s="234"/>
      <c r="J35" s="234"/>
      <c r="K35" s="237"/>
      <c r="L35" s="236"/>
      <c r="N35" s="236"/>
      <c r="O35" s="234"/>
      <c r="P35" s="235"/>
      <c r="U35" s="234"/>
      <c r="V35" s="234"/>
      <c r="W35" s="234"/>
      <c r="X35" s="234"/>
      <c r="Y35" s="234"/>
      <c r="Z35" s="234"/>
      <c r="AA35" s="234"/>
    </row>
    <row r="36" spans="3:27" x14ac:dyDescent="0.25">
      <c r="C36" s="236"/>
      <c r="D36" s="234"/>
      <c r="E36" s="234"/>
      <c r="F36" s="234"/>
      <c r="G36" s="234"/>
      <c r="H36" s="234"/>
      <c r="I36" s="234"/>
      <c r="J36" s="234"/>
      <c r="K36" s="237"/>
      <c r="L36" s="236"/>
      <c r="N36" s="236"/>
      <c r="O36" s="234"/>
      <c r="P36" s="235"/>
      <c r="U36" s="234"/>
      <c r="V36" s="234"/>
      <c r="W36" s="234"/>
      <c r="X36" s="234"/>
      <c r="Y36" s="234"/>
      <c r="Z36" s="234"/>
      <c r="AA36" s="234"/>
    </row>
    <row r="37" spans="3:27" x14ac:dyDescent="0.25">
      <c r="C37" s="236"/>
      <c r="D37" s="234"/>
      <c r="E37" s="234"/>
      <c r="F37" s="234"/>
      <c r="G37" s="234"/>
      <c r="H37" s="234"/>
      <c r="I37" s="234"/>
      <c r="J37" s="234"/>
      <c r="K37" s="237"/>
      <c r="L37" s="236"/>
      <c r="N37" s="236"/>
      <c r="O37" s="234"/>
      <c r="P37" s="235"/>
      <c r="U37" s="234"/>
      <c r="V37" s="234"/>
      <c r="W37" s="234"/>
      <c r="X37" s="234"/>
      <c r="Y37" s="234"/>
      <c r="Z37" s="234"/>
      <c r="AA37" s="234"/>
    </row>
    <row r="38" spans="3:27" x14ac:dyDescent="0.25">
      <c r="D38" s="234"/>
      <c r="E38" s="234"/>
      <c r="F38" s="234"/>
      <c r="G38" s="234"/>
      <c r="H38" s="234"/>
      <c r="I38" s="234"/>
      <c r="J38" s="234"/>
      <c r="K38" s="237"/>
      <c r="L38" s="236"/>
      <c r="N38" s="236"/>
      <c r="O38" s="234"/>
      <c r="P38" s="235"/>
      <c r="U38" s="234"/>
      <c r="V38" s="234"/>
      <c r="W38" s="234"/>
      <c r="X38" s="234"/>
      <c r="Y38" s="234"/>
      <c r="Z38" s="234"/>
      <c r="AA38" s="234"/>
    </row>
    <row r="39" spans="3:27" x14ac:dyDescent="0.25">
      <c r="D39" s="234"/>
      <c r="E39" s="234"/>
      <c r="F39" s="234"/>
      <c r="G39" s="234"/>
      <c r="H39" s="234"/>
      <c r="I39" s="234"/>
      <c r="J39" s="234"/>
      <c r="K39" s="237"/>
      <c r="L39" s="236"/>
      <c r="N39" s="236"/>
      <c r="O39" s="234"/>
      <c r="P39" s="235"/>
      <c r="U39" s="234"/>
      <c r="V39" s="234"/>
      <c r="W39" s="234"/>
      <c r="X39" s="234"/>
      <c r="Y39" s="234"/>
      <c r="Z39" s="234"/>
      <c r="AA39" s="234"/>
    </row>
    <row r="40" spans="3:27" x14ac:dyDescent="0.25">
      <c r="D40" s="234"/>
      <c r="E40" s="234"/>
      <c r="F40" s="234"/>
      <c r="G40" s="234"/>
      <c r="H40" s="234"/>
      <c r="I40" s="234"/>
      <c r="J40" s="234"/>
      <c r="K40" s="237"/>
      <c r="L40" s="236"/>
      <c r="N40" s="236"/>
      <c r="O40" s="234"/>
      <c r="P40" s="235"/>
      <c r="U40" s="234"/>
      <c r="V40" s="234"/>
      <c r="W40" s="234"/>
      <c r="X40" s="234"/>
      <c r="Y40" s="234"/>
      <c r="Z40" s="234"/>
      <c r="AA40" s="234"/>
    </row>
    <row r="41" spans="3:27" x14ac:dyDescent="0.25">
      <c r="D41" s="234"/>
      <c r="E41" s="234"/>
      <c r="F41" s="234"/>
      <c r="G41" s="234"/>
      <c r="H41" s="234"/>
      <c r="I41" s="234"/>
      <c r="J41" s="234"/>
      <c r="K41" s="237"/>
      <c r="L41" s="236"/>
      <c r="N41" s="236"/>
      <c r="O41" s="234"/>
      <c r="P41" s="235"/>
      <c r="U41" s="234"/>
      <c r="V41" s="234"/>
      <c r="W41" s="234"/>
      <c r="X41" s="234"/>
      <c r="Y41" s="234"/>
      <c r="Z41" s="234"/>
      <c r="AA41" s="234"/>
    </row>
    <row r="42" spans="3:27" x14ac:dyDescent="0.25">
      <c r="D42" s="234"/>
      <c r="E42" s="234"/>
      <c r="F42" s="234"/>
      <c r="G42" s="234"/>
      <c r="H42" s="234"/>
      <c r="I42" s="234"/>
      <c r="J42" s="234"/>
      <c r="K42" s="237"/>
      <c r="L42" s="236"/>
      <c r="N42" s="236"/>
      <c r="O42" s="234"/>
      <c r="P42" s="235"/>
      <c r="U42" s="234"/>
      <c r="V42" s="234"/>
      <c r="W42" s="234"/>
      <c r="X42" s="234"/>
      <c r="Y42" s="234"/>
      <c r="Z42" s="234"/>
      <c r="AA42" s="234"/>
    </row>
    <row r="43" spans="3:27" x14ac:dyDescent="0.25">
      <c r="D43" s="234"/>
      <c r="E43" s="234"/>
      <c r="F43" s="234"/>
      <c r="G43" s="234"/>
      <c r="H43" s="234"/>
      <c r="I43" s="234"/>
      <c r="J43" s="234"/>
      <c r="K43" s="237"/>
      <c r="L43" s="236"/>
      <c r="N43" s="236"/>
      <c r="O43" s="234"/>
      <c r="P43" s="235"/>
      <c r="U43" s="234"/>
      <c r="V43" s="234"/>
      <c r="W43" s="234"/>
      <c r="X43" s="234"/>
      <c r="Y43" s="234"/>
      <c r="Z43" s="234"/>
      <c r="AA43" s="234"/>
    </row>
    <row r="44" spans="3:27" x14ac:dyDescent="0.25">
      <c r="D44" s="234"/>
      <c r="E44" s="234"/>
      <c r="F44" s="234"/>
      <c r="G44" s="234"/>
      <c r="H44" s="234"/>
      <c r="I44" s="234"/>
      <c r="J44" s="234"/>
      <c r="K44" s="237"/>
      <c r="L44" s="236"/>
      <c r="N44" s="236"/>
      <c r="O44" s="234"/>
      <c r="P44" s="235"/>
      <c r="U44" s="234"/>
      <c r="V44" s="234"/>
      <c r="W44" s="234"/>
      <c r="X44" s="234"/>
      <c r="Y44" s="234"/>
      <c r="Z44" s="234"/>
      <c r="AA44" s="234"/>
    </row>
    <row r="45" spans="3:27" x14ac:dyDescent="0.25">
      <c r="D45" s="234"/>
      <c r="E45" s="234"/>
      <c r="F45" s="234"/>
      <c r="G45" s="234"/>
      <c r="H45" s="234"/>
      <c r="I45" s="234"/>
      <c r="J45" s="234"/>
      <c r="K45" s="237"/>
      <c r="L45" s="236"/>
      <c r="N45" s="236"/>
      <c r="O45" s="234"/>
      <c r="P45" s="235"/>
      <c r="U45" s="234"/>
      <c r="V45" s="234"/>
      <c r="W45" s="234"/>
      <c r="X45" s="234"/>
      <c r="Y45" s="234"/>
      <c r="Z45" s="234"/>
      <c r="AA45" s="234"/>
    </row>
    <row r="46" spans="3:27" x14ac:dyDescent="0.25">
      <c r="D46" s="234"/>
      <c r="E46" s="234"/>
      <c r="F46" s="234"/>
      <c r="G46" s="234"/>
      <c r="H46" s="234"/>
      <c r="I46" s="234"/>
      <c r="J46" s="234"/>
      <c r="K46" s="237"/>
      <c r="L46" s="236"/>
      <c r="N46" s="236"/>
      <c r="O46" s="234"/>
      <c r="P46" s="235"/>
      <c r="U46" s="234"/>
      <c r="V46" s="234"/>
      <c r="W46" s="234"/>
      <c r="X46" s="234"/>
      <c r="Y46" s="234"/>
      <c r="Z46" s="234"/>
      <c r="AA46" s="234"/>
    </row>
    <row r="47" spans="3:27" x14ac:dyDescent="0.25">
      <c r="D47" s="234"/>
      <c r="E47" s="234"/>
      <c r="F47" s="234"/>
      <c r="G47" s="234"/>
      <c r="H47" s="234"/>
      <c r="I47" s="234"/>
      <c r="J47" s="234"/>
      <c r="K47" s="237"/>
      <c r="L47" s="236"/>
      <c r="N47" s="236"/>
      <c r="O47" s="234"/>
      <c r="P47" s="235"/>
      <c r="U47" s="234"/>
      <c r="V47" s="234"/>
      <c r="W47" s="234"/>
      <c r="X47" s="234"/>
      <c r="Y47" s="234"/>
      <c r="Z47" s="234"/>
      <c r="AA47" s="234"/>
    </row>
    <row r="48" spans="3:27" x14ac:dyDescent="0.25">
      <c r="D48" s="234"/>
      <c r="E48" s="234"/>
      <c r="F48" s="234"/>
      <c r="G48" s="234"/>
      <c r="H48" s="234"/>
      <c r="I48" s="234"/>
      <c r="J48" s="234"/>
      <c r="K48" s="237"/>
      <c r="L48" s="236"/>
      <c r="N48" s="236"/>
      <c r="O48" s="234"/>
      <c r="P48" s="235"/>
      <c r="U48" s="234"/>
      <c r="V48" s="234"/>
      <c r="W48" s="234"/>
      <c r="X48" s="234"/>
      <c r="Y48" s="234"/>
      <c r="Z48" s="234"/>
      <c r="AA48" s="234"/>
    </row>
    <row r="49" spans="4:27" x14ac:dyDescent="0.25">
      <c r="D49" s="234"/>
      <c r="E49" s="234"/>
      <c r="F49" s="234"/>
      <c r="G49" s="234"/>
      <c r="H49" s="234"/>
      <c r="I49" s="234"/>
      <c r="J49" s="234"/>
      <c r="K49" s="237"/>
      <c r="L49" s="236"/>
      <c r="N49" s="236"/>
      <c r="O49" s="234"/>
      <c r="P49" s="235"/>
      <c r="U49" s="234"/>
      <c r="V49" s="234"/>
      <c r="W49" s="234"/>
      <c r="X49" s="234"/>
      <c r="Y49" s="234"/>
      <c r="Z49" s="234"/>
      <c r="AA49" s="234"/>
    </row>
    <row r="50" spans="4:27" x14ac:dyDescent="0.25">
      <c r="D50" s="234"/>
      <c r="E50" s="234"/>
      <c r="F50" s="234"/>
      <c r="G50" s="234"/>
      <c r="H50" s="234"/>
      <c r="I50" s="234"/>
      <c r="J50" s="234"/>
      <c r="K50" s="237"/>
      <c r="L50" s="236"/>
      <c r="N50" s="236"/>
      <c r="O50" s="234"/>
      <c r="P50" s="235"/>
      <c r="U50" s="234"/>
      <c r="V50" s="234"/>
      <c r="W50" s="234"/>
      <c r="X50" s="234"/>
      <c r="Y50" s="234"/>
      <c r="Z50" s="234"/>
      <c r="AA50" s="234"/>
    </row>
    <row r="51" spans="4:27" x14ac:dyDescent="0.25">
      <c r="D51" s="234"/>
      <c r="E51" s="234"/>
      <c r="F51" s="234"/>
      <c r="G51" s="234"/>
      <c r="H51" s="234"/>
      <c r="I51" s="234"/>
      <c r="J51" s="234"/>
      <c r="K51" s="237"/>
      <c r="L51" s="236"/>
      <c r="N51" s="236"/>
      <c r="O51" s="234"/>
      <c r="P51" s="235"/>
      <c r="U51" s="234"/>
      <c r="V51" s="234"/>
      <c r="W51" s="234"/>
      <c r="X51" s="234"/>
      <c r="Y51" s="234"/>
      <c r="Z51" s="234"/>
      <c r="AA51" s="234"/>
    </row>
    <row r="52" spans="4:27" x14ac:dyDescent="0.25">
      <c r="D52" s="234"/>
      <c r="E52" s="234"/>
      <c r="F52" s="234"/>
      <c r="G52" s="234"/>
      <c r="H52" s="234"/>
      <c r="I52" s="234"/>
      <c r="J52" s="234"/>
      <c r="K52" s="237"/>
      <c r="L52" s="236"/>
      <c r="N52" s="236"/>
      <c r="O52" s="234"/>
      <c r="P52" s="235"/>
      <c r="U52" s="234"/>
      <c r="V52" s="234"/>
      <c r="W52" s="234"/>
      <c r="X52" s="234"/>
      <c r="Y52" s="234"/>
      <c r="Z52" s="234"/>
      <c r="AA52" s="234"/>
    </row>
    <row r="53" spans="4:27" x14ac:dyDescent="0.25">
      <c r="D53" s="234"/>
      <c r="E53" s="234"/>
      <c r="F53" s="234"/>
      <c r="G53" s="234"/>
      <c r="H53" s="234"/>
      <c r="I53" s="234"/>
      <c r="J53" s="234"/>
      <c r="K53" s="237"/>
      <c r="L53" s="236"/>
      <c r="N53" s="236"/>
      <c r="O53" s="234"/>
      <c r="P53" s="235"/>
      <c r="U53" s="234"/>
      <c r="V53" s="234"/>
      <c r="W53" s="234"/>
      <c r="X53" s="234"/>
      <c r="Y53" s="234"/>
      <c r="Z53" s="234"/>
      <c r="AA53" s="234"/>
    </row>
    <row r="54" spans="4:27" x14ac:dyDescent="0.25">
      <c r="D54" s="234"/>
      <c r="E54" s="234"/>
      <c r="F54" s="234"/>
      <c r="G54" s="234"/>
      <c r="H54" s="234"/>
      <c r="I54" s="234"/>
      <c r="J54" s="234"/>
      <c r="K54" s="237"/>
      <c r="L54" s="236"/>
      <c r="N54" s="236"/>
      <c r="O54" s="234"/>
      <c r="P54" s="235"/>
      <c r="U54" s="234"/>
      <c r="V54" s="234"/>
      <c r="W54" s="234"/>
      <c r="X54" s="234"/>
      <c r="Y54" s="234"/>
      <c r="Z54" s="234"/>
      <c r="AA54" s="234"/>
    </row>
    <row r="55" spans="4:27" x14ac:dyDescent="0.25">
      <c r="D55" s="234"/>
      <c r="E55" s="234"/>
      <c r="F55" s="234"/>
      <c r="G55" s="234"/>
      <c r="H55" s="234"/>
      <c r="I55" s="234"/>
      <c r="J55" s="234"/>
      <c r="K55" s="237"/>
      <c r="L55" s="236"/>
      <c r="N55" s="236"/>
      <c r="O55" s="234"/>
      <c r="P55" s="235"/>
      <c r="U55" s="234"/>
      <c r="V55" s="234"/>
      <c r="W55" s="234"/>
      <c r="X55" s="234"/>
      <c r="Y55" s="234"/>
      <c r="Z55" s="234"/>
      <c r="AA55" s="234"/>
    </row>
    <row r="56" spans="4:27" x14ac:dyDescent="0.25">
      <c r="D56" s="234"/>
      <c r="E56" s="234"/>
      <c r="F56" s="234"/>
      <c r="G56" s="234"/>
      <c r="H56" s="234"/>
      <c r="I56" s="234"/>
      <c r="J56" s="234"/>
      <c r="K56" s="237"/>
      <c r="L56" s="236"/>
      <c r="N56" s="236"/>
      <c r="O56" s="234"/>
      <c r="P56" s="235"/>
      <c r="U56" s="234"/>
      <c r="V56" s="234"/>
      <c r="W56" s="234"/>
      <c r="X56" s="234"/>
      <c r="Y56" s="234"/>
      <c r="Z56" s="234"/>
      <c r="AA56" s="234"/>
    </row>
    <row r="57" spans="4:27" x14ac:dyDescent="0.25">
      <c r="D57" s="234"/>
      <c r="E57" s="234"/>
      <c r="F57" s="234"/>
      <c r="G57" s="234"/>
      <c r="H57" s="234"/>
      <c r="I57" s="234"/>
      <c r="J57" s="234"/>
      <c r="K57" s="237"/>
      <c r="L57" s="236"/>
      <c r="N57" s="236"/>
      <c r="O57" s="234"/>
      <c r="P57" s="235"/>
      <c r="U57" s="234"/>
      <c r="V57" s="234"/>
      <c r="W57" s="234"/>
      <c r="X57" s="234"/>
      <c r="Y57" s="234"/>
      <c r="Z57" s="234"/>
      <c r="AA57" s="234"/>
    </row>
    <row r="58" spans="4:27" x14ac:dyDescent="0.25">
      <c r="D58" s="234"/>
      <c r="E58" s="234"/>
      <c r="F58" s="234"/>
      <c r="G58" s="234"/>
      <c r="H58" s="234"/>
      <c r="I58" s="234"/>
      <c r="J58" s="234"/>
      <c r="K58" s="237"/>
      <c r="L58" s="236"/>
      <c r="N58" s="236"/>
      <c r="O58" s="234"/>
      <c r="P58" s="235"/>
      <c r="U58" s="234"/>
      <c r="V58" s="234"/>
      <c r="W58" s="234"/>
      <c r="X58" s="234"/>
      <c r="Y58" s="234"/>
      <c r="Z58" s="234"/>
      <c r="AA58" s="234"/>
    </row>
    <row r="59" spans="4:27" x14ac:dyDescent="0.25">
      <c r="D59" s="234"/>
      <c r="E59" s="234"/>
      <c r="F59" s="234"/>
      <c r="G59" s="234"/>
      <c r="H59" s="234"/>
      <c r="I59" s="234"/>
      <c r="J59" s="234"/>
      <c r="K59" s="237"/>
      <c r="L59" s="236"/>
      <c r="N59" s="236"/>
      <c r="O59" s="234"/>
      <c r="P59" s="235"/>
      <c r="U59" s="234"/>
      <c r="V59" s="234"/>
      <c r="W59" s="234"/>
      <c r="X59" s="234"/>
      <c r="Y59" s="234"/>
      <c r="Z59" s="234"/>
      <c r="AA59" s="234"/>
    </row>
    <row r="60" spans="4:27" x14ac:dyDescent="0.25">
      <c r="D60" s="234"/>
      <c r="E60" s="234"/>
      <c r="F60" s="234"/>
      <c r="G60" s="234"/>
      <c r="H60" s="234"/>
      <c r="I60" s="234"/>
      <c r="J60" s="234"/>
      <c r="K60" s="237"/>
      <c r="L60" s="236"/>
      <c r="N60" s="236"/>
      <c r="O60" s="234"/>
      <c r="P60" s="235"/>
      <c r="U60" s="234"/>
      <c r="V60" s="234"/>
      <c r="W60" s="234"/>
      <c r="X60" s="234"/>
      <c r="Y60" s="234"/>
      <c r="Z60" s="234"/>
      <c r="AA60" s="234"/>
    </row>
    <row r="61" spans="4:27" x14ac:dyDescent="0.25">
      <c r="D61" s="234"/>
      <c r="E61" s="234"/>
      <c r="F61" s="234"/>
      <c r="G61" s="234"/>
      <c r="H61" s="234"/>
      <c r="I61" s="234"/>
      <c r="J61" s="234"/>
      <c r="K61" s="237"/>
      <c r="L61" s="236"/>
      <c r="N61" s="236"/>
      <c r="O61" s="234"/>
      <c r="P61" s="235"/>
      <c r="U61" s="234"/>
      <c r="V61" s="234"/>
      <c r="W61" s="234"/>
      <c r="X61" s="234"/>
      <c r="Y61" s="234"/>
      <c r="Z61" s="234"/>
      <c r="AA61" s="234"/>
    </row>
    <row r="62" spans="4:27" x14ac:dyDescent="0.25">
      <c r="D62" s="234"/>
      <c r="E62" s="234"/>
      <c r="F62" s="234"/>
      <c r="G62" s="234"/>
      <c r="H62" s="234"/>
      <c r="I62" s="234"/>
      <c r="J62" s="234"/>
      <c r="K62" s="237"/>
      <c r="L62" s="236"/>
      <c r="N62" s="236"/>
      <c r="O62" s="234"/>
      <c r="P62" s="235"/>
      <c r="U62" s="234"/>
      <c r="V62" s="234"/>
      <c r="W62" s="234"/>
      <c r="X62" s="234"/>
      <c r="Y62" s="234"/>
      <c r="Z62" s="234"/>
      <c r="AA62" s="234"/>
    </row>
    <row r="63" spans="4:27" x14ac:dyDescent="0.25">
      <c r="D63" s="234"/>
      <c r="E63" s="234"/>
      <c r="F63" s="234"/>
      <c r="G63" s="234"/>
      <c r="H63" s="234"/>
      <c r="I63" s="234"/>
      <c r="J63" s="234"/>
      <c r="K63" s="237"/>
      <c r="L63" s="236"/>
      <c r="N63" s="236"/>
      <c r="O63" s="234"/>
      <c r="P63" s="235"/>
      <c r="U63" s="234"/>
      <c r="V63" s="234"/>
      <c r="W63" s="234"/>
      <c r="X63" s="234"/>
      <c r="Y63" s="234"/>
      <c r="Z63" s="234"/>
      <c r="AA63" s="234"/>
    </row>
    <row r="64" spans="4:27" x14ac:dyDescent="0.25">
      <c r="D64" s="234"/>
      <c r="E64" s="234"/>
      <c r="F64" s="234"/>
      <c r="G64" s="234"/>
      <c r="H64" s="234"/>
      <c r="I64" s="234"/>
      <c r="J64" s="234"/>
      <c r="K64" s="237"/>
      <c r="L64" s="236"/>
      <c r="N64" s="236"/>
      <c r="O64" s="234"/>
      <c r="P64" s="235"/>
      <c r="U64" s="234"/>
      <c r="V64" s="234"/>
      <c r="W64" s="234"/>
      <c r="X64" s="234"/>
      <c r="Y64" s="234"/>
      <c r="Z64" s="234"/>
      <c r="AA64" s="234"/>
    </row>
    <row r="65" spans="4:27" x14ac:dyDescent="0.25">
      <c r="D65" s="234"/>
      <c r="E65" s="234"/>
      <c r="F65" s="234"/>
      <c r="G65" s="234"/>
      <c r="H65" s="234"/>
      <c r="I65" s="234"/>
      <c r="J65" s="234"/>
      <c r="K65" s="237"/>
      <c r="L65" s="236"/>
      <c r="N65" s="236"/>
      <c r="O65" s="234"/>
      <c r="P65" s="235"/>
      <c r="U65" s="234"/>
      <c r="V65" s="234"/>
      <c r="W65" s="234"/>
      <c r="X65" s="234"/>
      <c r="Y65" s="234"/>
      <c r="Z65" s="234"/>
      <c r="AA65" s="234"/>
    </row>
    <row r="66" spans="4:27" x14ac:dyDescent="0.25">
      <c r="D66" s="234"/>
      <c r="E66" s="234"/>
      <c r="F66" s="234"/>
      <c r="G66" s="234"/>
      <c r="H66" s="234"/>
      <c r="I66" s="234"/>
      <c r="J66" s="234"/>
      <c r="K66" s="237"/>
      <c r="L66" s="236"/>
      <c r="N66" s="236"/>
      <c r="O66" s="234"/>
      <c r="P66" s="235"/>
      <c r="U66" s="234"/>
      <c r="V66" s="234"/>
      <c r="W66" s="234"/>
      <c r="X66" s="234"/>
      <c r="Y66" s="234"/>
      <c r="Z66" s="234"/>
      <c r="AA66" s="234"/>
    </row>
    <row r="67" spans="4:27" x14ac:dyDescent="0.25">
      <c r="D67" s="234"/>
      <c r="E67" s="234"/>
      <c r="F67" s="234"/>
      <c r="G67" s="234"/>
      <c r="H67" s="234"/>
      <c r="I67" s="234"/>
      <c r="J67" s="234"/>
      <c r="K67" s="237"/>
      <c r="L67" s="236"/>
      <c r="N67" s="236"/>
      <c r="O67" s="234"/>
      <c r="P67" s="235"/>
      <c r="U67" s="234"/>
      <c r="V67" s="234"/>
      <c r="W67" s="234"/>
      <c r="X67" s="234"/>
      <c r="Y67" s="234"/>
      <c r="Z67" s="234"/>
      <c r="AA67" s="234"/>
    </row>
    <row r="68" spans="4:27" x14ac:dyDescent="0.25">
      <c r="D68" s="234"/>
      <c r="E68" s="234"/>
      <c r="F68" s="234"/>
      <c r="G68" s="234"/>
      <c r="H68" s="234"/>
      <c r="I68" s="234"/>
      <c r="J68" s="234"/>
      <c r="K68" s="237"/>
      <c r="L68" s="236"/>
      <c r="N68" s="236"/>
      <c r="O68" s="234"/>
      <c r="P68" s="235"/>
      <c r="U68" s="234"/>
      <c r="V68" s="234"/>
      <c r="W68" s="234"/>
      <c r="X68" s="234"/>
      <c r="Y68" s="234"/>
      <c r="Z68" s="234"/>
      <c r="AA68" s="234"/>
    </row>
    <row r="69" spans="4:27" x14ac:dyDescent="0.25">
      <c r="D69" s="234"/>
      <c r="E69" s="234"/>
      <c r="F69" s="234"/>
      <c r="G69" s="234"/>
      <c r="H69" s="234"/>
      <c r="I69" s="234"/>
      <c r="J69" s="234"/>
      <c r="K69" s="237"/>
      <c r="L69" s="236"/>
      <c r="N69" s="236"/>
      <c r="O69" s="234"/>
      <c r="P69" s="235"/>
      <c r="U69" s="234"/>
      <c r="V69" s="234"/>
      <c r="W69" s="234"/>
      <c r="X69" s="234"/>
      <c r="Y69" s="234"/>
      <c r="Z69" s="234"/>
      <c r="AA69" s="234"/>
    </row>
    <row r="70" spans="4:27" x14ac:dyDescent="0.25">
      <c r="D70" s="234"/>
      <c r="E70" s="234"/>
      <c r="F70" s="234"/>
      <c r="G70" s="234"/>
      <c r="H70" s="234"/>
      <c r="I70" s="234"/>
      <c r="J70" s="234"/>
      <c r="K70" s="237"/>
      <c r="L70" s="236"/>
      <c r="N70" s="236"/>
      <c r="O70" s="234"/>
      <c r="P70" s="235"/>
      <c r="U70" s="234"/>
      <c r="V70" s="234"/>
      <c r="W70" s="234"/>
      <c r="X70" s="234"/>
      <c r="Y70" s="234"/>
      <c r="Z70" s="234"/>
      <c r="AA70" s="234"/>
    </row>
    <row r="71" spans="4:27" x14ac:dyDescent="0.25">
      <c r="D71" s="234"/>
      <c r="E71" s="234"/>
      <c r="F71" s="234"/>
      <c r="G71" s="234"/>
      <c r="H71" s="234"/>
      <c r="I71" s="234"/>
      <c r="J71" s="234"/>
      <c r="K71" s="237"/>
      <c r="L71" s="236"/>
      <c r="N71" s="236"/>
      <c r="O71" s="234"/>
      <c r="P71" s="235"/>
      <c r="U71" s="234"/>
      <c r="V71" s="234"/>
      <c r="W71" s="234"/>
      <c r="X71" s="234"/>
      <c r="Y71" s="234"/>
      <c r="Z71" s="234"/>
      <c r="AA71" s="234"/>
    </row>
    <row r="72" spans="4:27" x14ac:dyDescent="0.25">
      <c r="D72" s="234"/>
      <c r="E72" s="234"/>
      <c r="F72" s="234"/>
      <c r="G72" s="234"/>
      <c r="H72" s="234"/>
      <c r="I72" s="234"/>
      <c r="J72" s="234"/>
      <c r="K72" s="237"/>
      <c r="L72" s="236"/>
      <c r="N72" s="236"/>
      <c r="O72" s="234"/>
      <c r="P72" s="235"/>
      <c r="U72" s="234"/>
      <c r="V72" s="234"/>
      <c r="W72" s="234"/>
      <c r="X72" s="234"/>
      <c r="Y72" s="234"/>
      <c r="Z72" s="234"/>
      <c r="AA72" s="234"/>
    </row>
    <row r="73" spans="4:27" x14ac:dyDescent="0.25">
      <c r="D73" s="234"/>
      <c r="E73" s="234"/>
      <c r="F73" s="234"/>
      <c r="G73" s="234"/>
      <c r="H73" s="234"/>
      <c r="I73" s="234"/>
      <c r="J73" s="234"/>
      <c r="K73" s="237"/>
      <c r="L73" s="236"/>
      <c r="N73" s="236"/>
      <c r="O73" s="234"/>
      <c r="P73" s="235"/>
      <c r="U73" s="234"/>
      <c r="V73" s="234"/>
      <c r="W73" s="234"/>
      <c r="X73" s="234"/>
      <c r="Y73" s="234"/>
      <c r="Z73" s="234"/>
      <c r="AA73" s="234"/>
    </row>
    <row r="74" spans="4:27" x14ac:dyDescent="0.25">
      <c r="D74" s="234"/>
      <c r="E74" s="234"/>
      <c r="F74" s="234"/>
      <c r="G74" s="234"/>
      <c r="H74" s="234"/>
      <c r="I74" s="234"/>
      <c r="J74" s="234"/>
      <c r="K74" s="237"/>
      <c r="L74" s="236"/>
      <c r="N74" s="236"/>
      <c r="O74" s="234"/>
      <c r="P74" s="235"/>
      <c r="U74" s="234"/>
      <c r="V74" s="234"/>
      <c r="W74" s="234"/>
      <c r="X74" s="234"/>
      <c r="Y74" s="234"/>
      <c r="Z74" s="234"/>
      <c r="AA74" s="234"/>
    </row>
    <row r="75" spans="4:27" x14ac:dyDescent="0.25">
      <c r="D75" s="234"/>
      <c r="E75" s="234"/>
      <c r="F75" s="234"/>
      <c r="G75" s="234"/>
      <c r="H75" s="234"/>
      <c r="I75" s="234"/>
      <c r="J75" s="234"/>
      <c r="K75" s="237"/>
      <c r="L75" s="236"/>
      <c r="N75" s="236"/>
      <c r="O75" s="234"/>
      <c r="P75" s="235"/>
      <c r="U75" s="234"/>
      <c r="V75" s="234"/>
      <c r="W75" s="234"/>
      <c r="X75" s="234"/>
      <c r="Y75" s="234"/>
      <c r="Z75" s="234"/>
      <c r="AA75" s="234"/>
    </row>
    <row r="76" spans="4:27" x14ac:dyDescent="0.25">
      <c r="D76" s="234"/>
      <c r="E76" s="234"/>
      <c r="F76" s="234"/>
      <c r="G76" s="234"/>
      <c r="H76" s="234"/>
      <c r="I76" s="234"/>
      <c r="J76" s="234"/>
      <c r="K76" s="237"/>
      <c r="L76" s="236"/>
      <c r="N76" s="236"/>
      <c r="O76" s="234"/>
      <c r="P76" s="235"/>
      <c r="U76" s="234"/>
      <c r="V76" s="234"/>
      <c r="W76" s="234"/>
      <c r="X76" s="234"/>
      <c r="Y76" s="234"/>
      <c r="Z76" s="234"/>
      <c r="AA76" s="234"/>
    </row>
    <row r="77" spans="4:27" x14ac:dyDescent="0.25">
      <c r="D77" s="234"/>
      <c r="E77" s="234"/>
      <c r="F77" s="234"/>
      <c r="G77" s="234"/>
      <c r="H77" s="234"/>
      <c r="I77" s="234"/>
      <c r="J77" s="234"/>
      <c r="K77" s="237"/>
      <c r="L77" s="236"/>
      <c r="N77" s="236"/>
      <c r="O77" s="234"/>
      <c r="P77" s="235"/>
      <c r="U77" s="234"/>
      <c r="V77" s="234"/>
      <c r="W77" s="234"/>
      <c r="X77" s="234"/>
      <c r="Y77" s="234"/>
      <c r="Z77" s="234"/>
      <c r="AA77" s="234"/>
    </row>
    <row r="78" spans="4:27" x14ac:dyDescent="0.25">
      <c r="D78" s="234"/>
      <c r="E78" s="234"/>
      <c r="F78" s="234"/>
      <c r="G78" s="234"/>
      <c r="H78" s="234"/>
      <c r="I78" s="234"/>
      <c r="J78" s="234"/>
      <c r="K78" s="237"/>
      <c r="L78" s="236"/>
      <c r="N78" s="236"/>
      <c r="O78" s="234"/>
      <c r="P78" s="235"/>
      <c r="U78" s="234"/>
      <c r="V78" s="234"/>
      <c r="W78" s="234"/>
      <c r="X78" s="234"/>
      <c r="Y78" s="234"/>
      <c r="Z78" s="234"/>
      <c r="AA78" s="234"/>
    </row>
    <row r="79" spans="4:27" x14ac:dyDescent="0.25">
      <c r="D79" s="234"/>
      <c r="E79" s="234"/>
      <c r="F79" s="234"/>
      <c r="G79" s="234"/>
      <c r="H79" s="234"/>
      <c r="I79" s="234"/>
      <c r="J79" s="234"/>
      <c r="K79" s="237"/>
      <c r="L79" s="236"/>
      <c r="N79" s="236"/>
      <c r="O79" s="234"/>
      <c r="P79" s="235"/>
      <c r="U79" s="234"/>
      <c r="V79" s="234"/>
      <c r="W79" s="234"/>
      <c r="X79" s="234"/>
      <c r="Y79" s="234"/>
      <c r="Z79" s="234"/>
      <c r="AA79" s="234"/>
    </row>
    <row r="80" spans="4:27" x14ac:dyDescent="0.25">
      <c r="D80" s="234"/>
      <c r="E80" s="234"/>
      <c r="F80" s="234"/>
      <c r="G80" s="234"/>
      <c r="H80" s="234"/>
      <c r="I80" s="234"/>
      <c r="J80" s="234"/>
      <c r="K80" s="237"/>
      <c r="L80" s="236"/>
      <c r="N80" s="236"/>
      <c r="O80" s="234"/>
      <c r="P80" s="235"/>
      <c r="U80" s="234"/>
      <c r="V80" s="234"/>
      <c r="W80" s="234"/>
      <c r="X80" s="234"/>
      <c r="Y80" s="234"/>
      <c r="Z80" s="234"/>
      <c r="AA80" s="234"/>
    </row>
    <row r="81" spans="4:27" x14ac:dyDescent="0.25">
      <c r="D81" s="234"/>
      <c r="E81" s="234"/>
      <c r="F81" s="234"/>
      <c r="G81" s="234"/>
      <c r="H81" s="234"/>
      <c r="I81" s="234"/>
      <c r="J81" s="234"/>
      <c r="K81" s="237"/>
      <c r="L81" s="236"/>
      <c r="N81" s="236"/>
      <c r="O81" s="234"/>
      <c r="P81" s="235"/>
      <c r="U81" s="234"/>
      <c r="V81" s="234"/>
      <c r="W81" s="234"/>
      <c r="X81" s="234"/>
      <c r="Y81" s="234"/>
      <c r="Z81" s="234"/>
      <c r="AA81" s="234"/>
    </row>
    <row r="82" spans="4:27" x14ac:dyDescent="0.25">
      <c r="D82" s="234"/>
      <c r="E82" s="234"/>
      <c r="F82" s="234"/>
      <c r="G82" s="234"/>
      <c r="H82" s="234"/>
      <c r="I82" s="234"/>
      <c r="J82" s="234"/>
      <c r="K82" s="237"/>
      <c r="L82" s="236"/>
      <c r="N82" s="236"/>
      <c r="O82" s="234"/>
      <c r="P82" s="235"/>
      <c r="U82" s="234"/>
      <c r="V82" s="234"/>
      <c r="W82" s="234"/>
      <c r="X82" s="234"/>
      <c r="Y82" s="234"/>
      <c r="Z82" s="234"/>
      <c r="AA82" s="234"/>
    </row>
    <row r="83" spans="4:27" x14ac:dyDescent="0.25">
      <c r="D83" s="234"/>
      <c r="E83" s="234"/>
      <c r="F83" s="234"/>
      <c r="G83" s="234"/>
      <c r="H83" s="234"/>
      <c r="I83" s="234"/>
      <c r="J83" s="234"/>
      <c r="K83" s="237"/>
      <c r="L83" s="236"/>
      <c r="N83" s="236"/>
      <c r="O83" s="234"/>
      <c r="P83" s="235"/>
      <c r="U83" s="234"/>
      <c r="V83" s="234"/>
      <c r="W83" s="234"/>
      <c r="X83" s="234"/>
      <c r="Y83" s="234"/>
      <c r="Z83" s="234"/>
      <c r="AA83" s="234"/>
    </row>
    <row r="84" spans="4:27" x14ac:dyDescent="0.25">
      <c r="D84" s="234"/>
      <c r="E84" s="234"/>
      <c r="F84" s="234"/>
      <c r="G84" s="234"/>
      <c r="H84" s="234"/>
      <c r="I84" s="234"/>
      <c r="J84" s="234"/>
      <c r="K84" s="237"/>
      <c r="L84" s="236"/>
      <c r="N84" s="236"/>
      <c r="O84" s="234"/>
      <c r="P84" s="235"/>
      <c r="U84" s="234"/>
      <c r="V84" s="234"/>
      <c r="W84" s="234"/>
      <c r="X84" s="234"/>
      <c r="Y84" s="234"/>
      <c r="Z84" s="234"/>
      <c r="AA84" s="234"/>
    </row>
    <row r="85" spans="4:27" x14ac:dyDescent="0.25">
      <c r="D85" s="234"/>
      <c r="E85" s="234"/>
      <c r="F85" s="234"/>
      <c r="G85" s="234"/>
      <c r="H85" s="234"/>
      <c r="I85" s="234"/>
      <c r="J85" s="234"/>
      <c r="K85" s="237"/>
      <c r="L85" s="236"/>
      <c r="N85" s="236"/>
      <c r="O85" s="234"/>
      <c r="P85" s="235"/>
      <c r="U85" s="234"/>
      <c r="V85" s="234"/>
      <c r="W85" s="234"/>
      <c r="X85" s="234"/>
      <c r="Y85" s="234"/>
      <c r="Z85" s="234"/>
      <c r="AA85" s="234"/>
    </row>
    <row r="86" spans="4:27" x14ac:dyDescent="0.25">
      <c r="D86" s="234"/>
      <c r="E86" s="234"/>
      <c r="F86" s="234"/>
      <c r="G86" s="234"/>
      <c r="H86" s="234"/>
      <c r="I86" s="234"/>
      <c r="J86" s="234"/>
      <c r="K86" s="237"/>
      <c r="L86" s="236"/>
      <c r="N86" s="236"/>
      <c r="O86" s="234"/>
      <c r="P86" s="235"/>
      <c r="U86" s="234"/>
      <c r="V86" s="234"/>
      <c r="W86" s="234"/>
      <c r="X86" s="234"/>
      <c r="Y86" s="234"/>
      <c r="Z86" s="234"/>
      <c r="AA86" s="234"/>
    </row>
    <row r="87" spans="4:27" x14ac:dyDescent="0.25">
      <c r="D87" s="234"/>
      <c r="E87" s="234"/>
      <c r="F87" s="234"/>
      <c r="G87" s="234"/>
      <c r="H87" s="234"/>
      <c r="I87" s="234"/>
      <c r="J87" s="234"/>
      <c r="K87" s="237"/>
      <c r="L87" s="236"/>
      <c r="N87" s="236"/>
      <c r="O87" s="234"/>
      <c r="P87" s="235"/>
      <c r="U87" s="234"/>
      <c r="V87" s="234"/>
      <c r="W87" s="234"/>
      <c r="X87" s="234"/>
      <c r="Y87" s="234"/>
      <c r="Z87" s="234"/>
      <c r="AA87" s="234"/>
    </row>
    <row r="88" spans="4:27" x14ac:dyDescent="0.25">
      <c r="D88" s="234"/>
      <c r="E88" s="234"/>
      <c r="F88" s="234"/>
      <c r="G88" s="234"/>
      <c r="H88" s="234"/>
      <c r="I88" s="234"/>
      <c r="J88" s="234"/>
      <c r="K88" s="237"/>
      <c r="L88" s="236"/>
      <c r="N88" s="236"/>
      <c r="O88" s="234"/>
      <c r="P88" s="235"/>
      <c r="U88" s="234"/>
      <c r="V88" s="234"/>
      <c r="W88" s="234"/>
      <c r="X88" s="234"/>
      <c r="Y88" s="234"/>
      <c r="Z88" s="234"/>
      <c r="AA88" s="234"/>
    </row>
    <row r="89" spans="4:27" x14ac:dyDescent="0.25">
      <c r="D89" s="234"/>
      <c r="E89" s="234"/>
      <c r="F89" s="234"/>
      <c r="G89" s="234"/>
      <c r="H89" s="234"/>
      <c r="I89" s="234"/>
      <c r="J89" s="234"/>
      <c r="K89" s="237"/>
      <c r="L89" s="236"/>
      <c r="N89" s="236"/>
      <c r="O89" s="234"/>
      <c r="P89" s="235"/>
      <c r="U89" s="234"/>
      <c r="V89" s="234"/>
      <c r="W89" s="234"/>
      <c r="X89" s="234"/>
      <c r="Y89" s="234"/>
      <c r="Z89" s="234"/>
      <c r="AA89" s="234"/>
    </row>
    <row r="90" spans="4:27" x14ac:dyDescent="0.25">
      <c r="D90" s="234"/>
      <c r="E90" s="234"/>
      <c r="F90" s="234"/>
      <c r="G90" s="234"/>
      <c r="H90" s="234"/>
      <c r="I90" s="234"/>
      <c r="J90" s="234"/>
      <c r="K90" s="237"/>
      <c r="L90" s="236"/>
      <c r="N90" s="236"/>
      <c r="O90" s="234"/>
      <c r="P90" s="235"/>
      <c r="U90" s="234"/>
      <c r="V90" s="234"/>
      <c r="W90" s="234"/>
      <c r="X90" s="234"/>
      <c r="Y90" s="234"/>
      <c r="Z90" s="234"/>
      <c r="AA90" s="234"/>
    </row>
    <row r="91" spans="4:27" x14ac:dyDescent="0.25">
      <c r="D91" s="234"/>
      <c r="E91" s="234"/>
      <c r="F91" s="234"/>
      <c r="G91" s="234"/>
      <c r="H91" s="234"/>
      <c r="I91" s="234"/>
      <c r="J91" s="234"/>
      <c r="K91" s="237"/>
      <c r="L91" s="236"/>
      <c r="N91" s="236"/>
      <c r="O91" s="234"/>
      <c r="P91" s="235"/>
      <c r="U91" s="234"/>
      <c r="V91" s="234"/>
      <c r="W91" s="234"/>
      <c r="X91" s="234"/>
      <c r="Y91" s="234"/>
      <c r="Z91" s="234"/>
      <c r="AA91" s="234"/>
    </row>
    <row r="92" spans="4:27" x14ac:dyDescent="0.25">
      <c r="D92" s="234"/>
      <c r="E92" s="234"/>
      <c r="F92" s="234"/>
      <c r="G92" s="234"/>
      <c r="H92" s="234"/>
      <c r="I92" s="234"/>
      <c r="J92" s="234"/>
      <c r="K92" s="237"/>
      <c r="L92" s="236"/>
      <c r="N92" s="236"/>
      <c r="O92" s="234"/>
      <c r="P92" s="235"/>
      <c r="U92" s="234"/>
      <c r="V92" s="234"/>
      <c r="W92" s="234"/>
      <c r="X92" s="234"/>
      <c r="Y92" s="234"/>
      <c r="Z92" s="234"/>
      <c r="AA92" s="234"/>
    </row>
    <row r="93" spans="4:27" x14ac:dyDescent="0.25">
      <c r="D93" s="234"/>
      <c r="E93" s="234"/>
      <c r="F93" s="234"/>
      <c r="G93" s="234"/>
      <c r="H93" s="234"/>
      <c r="I93" s="234"/>
      <c r="J93" s="234"/>
      <c r="K93" s="237"/>
      <c r="L93" s="236"/>
      <c r="N93" s="236"/>
      <c r="O93" s="234"/>
      <c r="P93" s="235"/>
      <c r="U93" s="234"/>
      <c r="V93" s="234"/>
      <c r="W93" s="234"/>
      <c r="X93" s="234"/>
      <c r="Y93" s="234"/>
      <c r="Z93" s="234"/>
      <c r="AA93" s="234"/>
    </row>
    <row r="94" spans="4:27" x14ac:dyDescent="0.25">
      <c r="D94" s="234"/>
      <c r="E94" s="234"/>
      <c r="F94" s="234"/>
      <c r="G94" s="234"/>
      <c r="H94" s="234"/>
      <c r="I94" s="234"/>
      <c r="J94" s="234"/>
      <c r="K94" s="237"/>
      <c r="L94" s="236"/>
      <c r="N94" s="236"/>
      <c r="O94" s="234"/>
      <c r="P94" s="235"/>
      <c r="U94" s="234"/>
      <c r="V94" s="234"/>
      <c r="W94" s="234"/>
      <c r="X94" s="234"/>
      <c r="Y94" s="234"/>
      <c r="Z94" s="234"/>
      <c r="AA94" s="234"/>
    </row>
    <row r="95" spans="4:27" x14ac:dyDescent="0.25">
      <c r="D95" s="234"/>
      <c r="E95" s="234"/>
      <c r="F95" s="234"/>
      <c r="G95" s="234"/>
      <c r="H95" s="234"/>
      <c r="I95" s="234"/>
      <c r="J95" s="234"/>
      <c r="K95" s="237"/>
      <c r="L95" s="236"/>
      <c r="N95" s="236"/>
      <c r="O95" s="234"/>
      <c r="P95" s="235"/>
      <c r="U95" s="234"/>
      <c r="V95" s="234"/>
      <c r="W95" s="234"/>
      <c r="X95" s="234"/>
      <c r="Y95" s="234"/>
      <c r="Z95" s="234"/>
      <c r="AA95" s="234"/>
    </row>
    <row r="96" spans="4:27" x14ac:dyDescent="0.25">
      <c r="D96" s="234"/>
      <c r="E96" s="234"/>
      <c r="F96" s="234"/>
      <c r="G96" s="234"/>
      <c r="H96" s="234"/>
      <c r="I96" s="234"/>
      <c r="J96" s="234"/>
      <c r="K96" s="237"/>
      <c r="L96" s="236"/>
      <c r="N96" s="236"/>
      <c r="O96" s="234"/>
      <c r="P96" s="235"/>
      <c r="U96" s="234"/>
      <c r="V96" s="234"/>
      <c r="W96" s="234"/>
      <c r="X96" s="234"/>
      <c r="Y96" s="234"/>
      <c r="Z96" s="234"/>
      <c r="AA96" s="234"/>
    </row>
    <row r="97" spans="4:27" x14ac:dyDescent="0.25">
      <c r="D97" s="234"/>
      <c r="E97" s="234"/>
      <c r="F97" s="234"/>
      <c r="G97" s="234"/>
      <c r="H97" s="234"/>
      <c r="I97" s="234"/>
      <c r="J97" s="234"/>
      <c r="K97" s="237"/>
      <c r="L97" s="236"/>
      <c r="N97" s="236"/>
      <c r="O97" s="234"/>
      <c r="P97" s="235"/>
      <c r="U97" s="234"/>
      <c r="V97" s="234"/>
      <c r="W97" s="234"/>
      <c r="X97" s="234"/>
      <c r="Y97" s="234"/>
      <c r="Z97" s="234"/>
      <c r="AA97" s="234"/>
    </row>
    <row r="98" spans="4:27" x14ac:dyDescent="0.25">
      <c r="D98" s="234"/>
      <c r="E98" s="234"/>
      <c r="F98" s="234"/>
      <c r="G98" s="234"/>
      <c r="H98" s="234"/>
      <c r="I98" s="234"/>
      <c r="J98" s="234"/>
      <c r="K98" s="237"/>
      <c r="L98" s="236"/>
      <c r="N98" s="236"/>
      <c r="O98" s="234"/>
      <c r="P98" s="235"/>
      <c r="U98" s="234"/>
      <c r="V98" s="234"/>
      <c r="W98" s="234"/>
      <c r="X98" s="234"/>
      <c r="Y98" s="234"/>
      <c r="Z98" s="234"/>
      <c r="AA98" s="234"/>
    </row>
    <row r="99" spans="4:27" x14ac:dyDescent="0.25">
      <c r="D99" s="234"/>
      <c r="E99" s="234"/>
      <c r="F99" s="234"/>
      <c r="G99" s="234"/>
      <c r="H99" s="234"/>
      <c r="I99" s="234"/>
      <c r="J99" s="234"/>
      <c r="K99" s="237"/>
      <c r="L99" s="236"/>
      <c r="N99" s="236"/>
      <c r="O99" s="234"/>
      <c r="P99" s="235"/>
      <c r="U99" s="234"/>
      <c r="V99" s="234"/>
      <c r="W99" s="234"/>
      <c r="X99" s="234"/>
      <c r="Y99" s="234"/>
      <c r="Z99" s="234"/>
      <c r="AA99" s="234"/>
    </row>
    <row r="100" spans="4:27" x14ac:dyDescent="0.25">
      <c r="D100" s="234"/>
      <c r="E100" s="234"/>
      <c r="F100" s="234"/>
      <c r="G100" s="234"/>
      <c r="H100" s="234"/>
      <c r="I100" s="234"/>
      <c r="J100" s="234"/>
      <c r="K100" s="237"/>
      <c r="L100" s="236"/>
      <c r="N100" s="236"/>
      <c r="O100" s="234"/>
      <c r="P100" s="235"/>
      <c r="U100" s="234"/>
      <c r="V100" s="234"/>
      <c r="W100" s="234"/>
      <c r="X100" s="234"/>
      <c r="Y100" s="234"/>
      <c r="Z100" s="234"/>
      <c r="AA100" s="234"/>
    </row>
    <row r="101" spans="4:27" x14ac:dyDescent="0.25">
      <c r="D101" s="234"/>
      <c r="E101" s="234"/>
      <c r="F101" s="234"/>
      <c r="G101" s="234"/>
      <c r="H101" s="234"/>
      <c r="I101" s="234"/>
      <c r="J101" s="234"/>
      <c r="K101" s="237"/>
      <c r="L101" s="236"/>
      <c r="N101" s="236"/>
      <c r="O101" s="234"/>
      <c r="P101" s="235"/>
      <c r="U101" s="234"/>
      <c r="V101" s="234"/>
      <c r="W101" s="234"/>
      <c r="X101" s="234"/>
      <c r="Y101" s="234"/>
      <c r="Z101" s="234"/>
      <c r="AA101" s="234"/>
    </row>
    <row r="102" spans="4:27" x14ac:dyDescent="0.25">
      <c r="D102" s="234"/>
      <c r="E102" s="234"/>
      <c r="F102" s="234"/>
      <c r="G102" s="234"/>
      <c r="H102" s="234"/>
      <c r="I102" s="234"/>
      <c r="J102" s="234"/>
      <c r="K102" s="237"/>
      <c r="L102" s="236"/>
      <c r="N102" s="236"/>
      <c r="O102" s="234"/>
      <c r="P102" s="235"/>
      <c r="U102" s="234"/>
      <c r="V102" s="234"/>
      <c r="W102" s="234"/>
      <c r="X102" s="234"/>
      <c r="Y102" s="234"/>
      <c r="Z102" s="234"/>
      <c r="AA102" s="234"/>
    </row>
    <row r="103" spans="4:27" x14ac:dyDescent="0.25">
      <c r="D103" s="234"/>
      <c r="E103" s="234"/>
      <c r="F103" s="234"/>
      <c r="G103" s="234"/>
      <c r="H103" s="234"/>
      <c r="I103" s="234"/>
      <c r="J103" s="234"/>
      <c r="K103" s="237"/>
      <c r="L103" s="236"/>
      <c r="N103" s="236"/>
      <c r="O103" s="234"/>
      <c r="P103" s="235"/>
      <c r="U103" s="234"/>
      <c r="V103" s="234"/>
      <c r="W103" s="234"/>
      <c r="X103" s="234"/>
      <c r="Y103" s="234"/>
      <c r="Z103" s="234"/>
      <c r="AA103" s="234"/>
    </row>
    <row r="104" spans="4:27" x14ac:dyDescent="0.25">
      <c r="D104" s="234"/>
      <c r="E104" s="234"/>
      <c r="F104" s="234"/>
      <c r="G104" s="234"/>
      <c r="H104" s="234"/>
      <c r="I104" s="234"/>
      <c r="J104" s="234"/>
      <c r="K104" s="237"/>
      <c r="L104" s="236"/>
      <c r="N104" s="236"/>
      <c r="O104" s="234"/>
      <c r="P104" s="235"/>
      <c r="U104" s="234"/>
      <c r="V104" s="234"/>
      <c r="W104" s="234"/>
      <c r="X104" s="234"/>
      <c r="Y104" s="234"/>
      <c r="Z104" s="234"/>
      <c r="AA104" s="234"/>
    </row>
    <row r="105" spans="4:27" x14ac:dyDescent="0.25">
      <c r="D105" s="234"/>
      <c r="E105" s="234"/>
      <c r="F105" s="234"/>
      <c r="G105" s="234"/>
      <c r="H105" s="234"/>
      <c r="I105" s="234"/>
      <c r="J105" s="234"/>
      <c r="K105" s="237"/>
      <c r="L105" s="236"/>
      <c r="N105" s="236"/>
      <c r="O105" s="234"/>
      <c r="P105" s="235"/>
      <c r="U105" s="234"/>
      <c r="V105" s="234"/>
      <c r="W105" s="234"/>
      <c r="X105" s="234"/>
      <c r="Y105" s="234"/>
      <c r="Z105" s="234"/>
      <c r="AA105" s="23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D78"/>
  <sheetViews>
    <sheetView zoomScale="90" zoomScaleNormal="90" workbookViewId="0">
      <selection activeCell="G66" sqref="G66"/>
    </sheetView>
  </sheetViews>
  <sheetFormatPr defaultColWidth="8.85546875" defaultRowHeight="12.75" x14ac:dyDescent="0.2"/>
  <cols>
    <col min="1" max="1" width="18.7109375" customWidth="1"/>
    <col min="2" max="2" width="41.85546875" customWidth="1"/>
    <col min="3" max="3" width="10.5703125" customWidth="1"/>
    <col min="4" max="4" width="20.7109375" customWidth="1"/>
    <col min="5" max="5" width="4.7109375" customWidth="1"/>
    <col min="6" max="6" width="9.140625" customWidth="1"/>
    <col min="7" max="7" width="12" customWidth="1"/>
    <col min="8" max="8" width="11.42578125" style="65" customWidth="1"/>
    <col min="9" max="9" width="23.7109375" customWidth="1"/>
    <col min="10" max="10" width="6.85546875" customWidth="1"/>
    <col min="11" max="15" width="9.140625" customWidth="1"/>
    <col min="17" max="17" width="14.7109375" customWidth="1"/>
    <col min="18" max="18" width="14.5703125" customWidth="1"/>
    <col min="19" max="19" width="14.71093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7.25" x14ac:dyDescent="0.3">
      <c r="A1" s="71" t="s">
        <v>151</v>
      </c>
      <c r="B1" s="71"/>
      <c r="D1" s="69"/>
      <c r="E1" s="69"/>
      <c r="F1" s="69"/>
      <c r="G1" s="69"/>
      <c r="H1" s="68"/>
      <c r="I1" s="69"/>
      <c r="J1" s="69"/>
      <c r="K1" s="69"/>
      <c r="L1" s="69"/>
    </row>
    <row r="2" spans="1:30" ht="15.75" thickBot="1" x14ac:dyDescent="0.3">
      <c r="A2" s="72"/>
      <c r="B2" s="66"/>
      <c r="C2" s="92" t="s">
        <v>131</v>
      </c>
      <c r="D2" s="66"/>
      <c r="E2" s="66"/>
      <c r="F2" s="66"/>
      <c r="G2" s="67"/>
      <c r="H2" s="92" t="s">
        <v>133</v>
      </c>
      <c r="I2" s="66"/>
      <c r="J2" s="66"/>
      <c r="K2" s="66"/>
      <c r="L2" s="67"/>
    </row>
    <row r="3" spans="1:30" ht="13.5" thickBot="1" x14ac:dyDescent="0.25">
      <c r="A3" s="73" t="s">
        <v>138</v>
      </c>
      <c r="B3" s="74" t="s">
        <v>128</v>
      </c>
      <c r="C3" s="73" t="s">
        <v>139</v>
      </c>
      <c r="D3" s="74" t="s">
        <v>132</v>
      </c>
      <c r="E3" s="74" t="s">
        <v>134</v>
      </c>
      <c r="F3" s="74" t="s">
        <v>135</v>
      </c>
      <c r="G3" s="75" t="s">
        <v>149</v>
      </c>
      <c r="H3" s="73" t="s">
        <v>139</v>
      </c>
      <c r="I3" s="74" t="s">
        <v>132</v>
      </c>
      <c r="J3" s="74" t="s">
        <v>134</v>
      </c>
      <c r="K3" s="74" t="s">
        <v>135</v>
      </c>
      <c r="L3" s="75" t="s">
        <v>149</v>
      </c>
      <c r="M3" t="s">
        <v>137</v>
      </c>
      <c r="S3" s="62" t="s">
        <v>148</v>
      </c>
    </row>
    <row r="4" spans="1:30" ht="13.5" thickBot="1" x14ac:dyDescent="0.25">
      <c r="A4" s="72" t="str">
        <f>RES_Cr!T2</f>
        <v>IFACR</v>
      </c>
      <c r="B4" s="66" t="str">
        <f>RES_Cr!T3</f>
        <v>Industry - Ferro Alloy Metals production</v>
      </c>
      <c r="C4" s="72" t="str">
        <f>RES_Cr!R9</f>
        <v>IFCEAF-E</v>
      </c>
      <c r="D4" s="66" t="str">
        <f>RES_Cr!R5</f>
        <v>FerroChrome existing</v>
      </c>
      <c r="E4" s="78" t="s">
        <v>129</v>
      </c>
      <c r="F4" s="96"/>
      <c r="G4" s="98" t="s">
        <v>150</v>
      </c>
      <c r="H4" s="72">
        <f>RES_Cr!AA9</f>
        <v>0</v>
      </c>
      <c r="I4" s="66">
        <f>RES_Cr!AA8</f>
        <v>0</v>
      </c>
      <c r="J4" s="78" t="s">
        <v>129</v>
      </c>
      <c r="K4" s="77">
        <f>F4</f>
        <v>0</v>
      </c>
      <c r="L4" s="67"/>
      <c r="Q4" s="103" t="s">
        <v>153</v>
      </c>
      <c r="R4" s="104" t="s">
        <v>154</v>
      </c>
      <c r="S4" s="104" t="s">
        <v>155</v>
      </c>
      <c r="U4" s="103"/>
      <c r="V4" s="104" t="s">
        <v>43</v>
      </c>
      <c r="W4" s="104" t="s">
        <v>160</v>
      </c>
      <c r="X4" s="104" t="s">
        <v>161</v>
      </c>
      <c r="Z4" t="s">
        <v>172</v>
      </c>
      <c r="AA4" s="62" t="s">
        <v>173</v>
      </c>
      <c r="AB4">
        <v>18.600000000000001</v>
      </c>
    </row>
    <row r="5" spans="1:30" ht="13.5" thickBot="1" x14ac:dyDescent="0.25">
      <c r="A5" s="65"/>
      <c r="C5" s="65"/>
      <c r="E5" s="62" t="s">
        <v>116</v>
      </c>
      <c r="F5" s="227">
        <f>P15</f>
        <v>3.484</v>
      </c>
      <c r="G5" s="95"/>
      <c r="J5" s="62" t="s">
        <v>116</v>
      </c>
      <c r="K5" s="227">
        <f>P14</f>
        <v>4.8570000000000002</v>
      </c>
      <c r="L5" s="225"/>
      <c r="Q5" s="105" t="s">
        <v>156</v>
      </c>
      <c r="R5" s="106" t="s">
        <v>157</v>
      </c>
      <c r="S5" s="106">
        <v>28</v>
      </c>
      <c r="U5" s="105" t="s">
        <v>162</v>
      </c>
      <c r="V5" s="106" t="s">
        <v>163</v>
      </c>
      <c r="W5" s="106">
        <v>390</v>
      </c>
      <c r="X5" s="106">
        <v>390</v>
      </c>
      <c r="AA5" s="62" t="s">
        <v>175</v>
      </c>
      <c r="AB5">
        <f>AB4/3.6*1000</f>
        <v>5166.666666666667</v>
      </c>
    </row>
    <row r="6" spans="1:30" ht="15.75" thickBot="1" x14ac:dyDescent="0.3">
      <c r="A6" s="109" t="str">
        <f>RES_Cr!D2</f>
        <v>IISCKE</v>
      </c>
      <c r="B6" s="80" t="str">
        <f>RES_Cr!D3</f>
        <v>Industry - Iron and Steel - Coke</v>
      </c>
      <c r="C6" s="79"/>
      <c r="D6" s="80"/>
      <c r="E6" s="81"/>
      <c r="F6" s="97"/>
      <c r="G6" s="82"/>
      <c r="H6" s="79" t="str">
        <f>C4</f>
        <v>IFCEAF-E</v>
      </c>
      <c r="I6" s="79" t="str">
        <f>D4</f>
        <v>FerroChrome existing</v>
      </c>
      <c r="J6" s="81" t="s">
        <v>116</v>
      </c>
      <c r="K6" s="110">
        <f>M17</f>
        <v>71.099999999999994</v>
      </c>
      <c r="L6" s="82"/>
      <c r="M6" s="62"/>
      <c r="Q6" s="105" t="s">
        <v>158</v>
      </c>
      <c r="R6" s="106" t="s">
        <v>159</v>
      </c>
      <c r="S6" s="106">
        <v>38</v>
      </c>
      <c r="U6" s="105" t="s">
        <v>164</v>
      </c>
      <c r="V6" s="106" t="s">
        <v>117</v>
      </c>
      <c r="W6" s="106">
        <v>35</v>
      </c>
      <c r="X6" s="106">
        <v>100</v>
      </c>
      <c r="Z6" s="62" t="s">
        <v>174</v>
      </c>
      <c r="AA6" s="62" t="s">
        <v>173</v>
      </c>
      <c r="AB6">
        <v>120</v>
      </c>
    </row>
    <row r="7" spans="1:30" ht="15.75" thickBot="1" x14ac:dyDescent="0.3">
      <c r="A7" s="109" t="str">
        <f>RES_Cr!E2</f>
        <v>INDCMU</v>
      </c>
      <c r="B7" s="80" t="str">
        <f>RES_Cr!F3</f>
        <v>Industry-FA-Electricity</v>
      </c>
      <c r="C7" s="72"/>
      <c r="D7" s="66"/>
      <c r="E7" s="78"/>
      <c r="F7" s="100"/>
      <c r="G7" s="67"/>
      <c r="H7" s="72" t="str">
        <f>RES_Cr!R9</f>
        <v>IFCEAF-E</v>
      </c>
      <c r="I7" s="66" t="str">
        <f>RES_Cr!R5</f>
        <v>FerroChrome existing</v>
      </c>
      <c r="J7" s="78" t="s">
        <v>116</v>
      </c>
      <c r="K7" s="110">
        <f>M16</f>
        <v>14.068115100000002</v>
      </c>
      <c r="L7" s="85"/>
      <c r="Q7" s="105" t="s">
        <v>140</v>
      </c>
      <c r="R7" s="106" t="s">
        <v>159</v>
      </c>
      <c r="S7" s="106">
        <v>45</v>
      </c>
      <c r="U7" s="105" t="s">
        <v>165</v>
      </c>
      <c r="V7" s="106" t="s">
        <v>166</v>
      </c>
      <c r="W7" s="106">
        <v>33.44</v>
      </c>
      <c r="X7" s="106">
        <v>11.7</v>
      </c>
      <c r="AB7" s="62" t="s">
        <v>188</v>
      </c>
    </row>
    <row r="8" spans="1:30" ht="15.75" thickBot="1" x14ac:dyDescent="0.3">
      <c r="A8" s="109" t="str">
        <f>RES_Cr!F2</f>
        <v>IFAELC</v>
      </c>
      <c r="B8" s="80" t="str">
        <f>RES_Cr!F3</f>
        <v>Industry-FA-Electricity</v>
      </c>
      <c r="C8" s="68"/>
      <c r="D8" s="69"/>
      <c r="E8" s="69"/>
      <c r="F8" s="69"/>
      <c r="G8" s="70"/>
      <c r="H8" s="68" t="str">
        <f>H6</f>
        <v>IFCEAF-E</v>
      </c>
      <c r="I8" s="69" t="str">
        <f>I6</f>
        <v>FerroChrome existing</v>
      </c>
      <c r="J8" s="76" t="s">
        <v>116</v>
      </c>
      <c r="K8" s="110">
        <f>M15*3.6/1000</f>
        <v>43.065684000000005</v>
      </c>
      <c r="L8" s="70"/>
      <c r="M8" s="62"/>
      <c r="Q8" s="107" t="s">
        <v>170</v>
      </c>
      <c r="U8" s="105" t="s">
        <v>167</v>
      </c>
      <c r="V8" s="106" t="s">
        <v>168</v>
      </c>
      <c r="W8" s="106">
        <v>211.01</v>
      </c>
      <c r="X8" s="106">
        <v>189.27</v>
      </c>
      <c r="AB8" t="s">
        <v>178</v>
      </c>
      <c r="AC8" t="s">
        <v>179</v>
      </c>
      <c r="AD8">
        <f>X8/1000</f>
        <v>0.18927000000000002</v>
      </c>
    </row>
    <row r="9" spans="1:30" ht="13.5" thickBot="1" x14ac:dyDescent="0.25">
      <c r="A9" s="62" t="s">
        <v>216</v>
      </c>
      <c r="B9" t="str">
        <f>Commodities_BASE!C18</f>
        <v>Process Emissions FerroChrome South Africa</v>
      </c>
      <c r="C9" s="66" t="str">
        <f>C4</f>
        <v>IFCEAF-E</v>
      </c>
      <c r="D9" s="66" t="str">
        <f>D4</f>
        <v>FerroChrome existing</v>
      </c>
      <c r="E9" s="66" t="s">
        <v>136</v>
      </c>
      <c r="F9" s="115">
        <v>3225</v>
      </c>
      <c r="G9" s="67"/>
      <c r="H9" s="72"/>
      <c r="I9" s="66"/>
      <c r="K9" s="66"/>
      <c r="L9" s="66"/>
      <c r="M9" s="62"/>
      <c r="U9" s="105" t="s">
        <v>169</v>
      </c>
      <c r="V9" s="106" t="s">
        <v>117</v>
      </c>
      <c r="W9" s="106">
        <v>73.400000000000006</v>
      </c>
      <c r="X9" s="106">
        <v>81.8</v>
      </c>
      <c r="AC9" t="s">
        <v>181</v>
      </c>
      <c r="AD9" s="228" t="e">
        <f>#REF!/AB4</f>
        <v>#REF!</v>
      </c>
    </row>
    <row r="10" spans="1:30" x14ac:dyDescent="0.2">
      <c r="A10" t="s">
        <v>176</v>
      </c>
      <c r="B10" t="str">
        <f>Commodities_BASE!C20</f>
        <v>CH4S South Africa</v>
      </c>
      <c r="C10" t="str">
        <f>C9</f>
        <v>IFCEAF-E</v>
      </c>
      <c r="D10" t="str">
        <f>D9</f>
        <v>FerroChrome existing</v>
      </c>
      <c r="E10" t="s">
        <v>136</v>
      </c>
      <c r="F10">
        <v>0</v>
      </c>
      <c r="M10" s="62"/>
      <c r="U10" s="108" t="s">
        <v>171</v>
      </c>
      <c r="AC10" s="62" t="s">
        <v>189</v>
      </c>
      <c r="AD10" s="228" t="e">
        <f>1/AD9</f>
        <v>#REF!</v>
      </c>
    </row>
    <row r="11" spans="1:30" x14ac:dyDescent="0.2">
      <c r="AC11" s="62" t="s">
        <v>191</v>
      </c>
      <c r="AD11">
        <f>X5/3600</f>
        <v>0.10833333333333334</v>
      </c>
    </row>
    <row r="12" spans="1:30" x14ac:dyDescent="0.2">
      <c r="M12" s="62"/>
      <c r="AC12" s="62" t="s">
        <v>190</v>
      </c>
      <c r="AD12">
        <f>AD11/AB4</f>
        <v>5.8243727598566303E-3</v>
      </c>
    </row>
    <row r="13" spans="1:30" x14ac:dyDescent="0.2">
      <c r="K13" s="62" t="s">
        <v>213</v>
      </c>
    </row>
    <row r="14" spans="1:30" x14ac:dyDescent="0.2">
      <c r="P14">
        <v>4.8570000000000002</v>
      </c>
      <c r="Q14" s="62" t="s">
        <v>214</v>
      </c>
    </row>
    <row r="15" spans="1:30" x14ac:dyDescent="0.2">
      <c r="K15" t="s">
        <v>209</v>
      </c>
      <c r="M15">
        <v>11962.69</v>
      </c>
      <c r="N15" t="s">
        <v>210</v>
      </c>
      <c r="P15">
        <v>3.484</v>
      </c>
      <c r="Q15" s="62" t="s">
        <v>215</v>
      </c>
      <c r="AB15" s="62" t="s">
        <v>187</v>
      </c>
    </row>
    <row r="16" spans="1:30" x14ac:dyDescent="0.2">
      <c r="K16" t="s">
        <v>211</v>
      </c>
      <c r="M16" s="62">
        <v>14.068115100000002</v>
      </c>
      <c r="N16" t="s">
        <v>116</v>
      </c>
      <c r="AB16" t="s">
        <v>178</v>
      </c>
      <c r="AC16" t="s">
        <v>179</v>
      </c>
      <c r="AD16">
        <f>W8/1000</f>
        <v>0.21101</v>
      </c>
    </row>
    <row r="17" spans="1:30" x14ac:dyDescent="0.2">
      <c r="K17" t="s">
        <v>212</v>
      </c>
      <c r="M17">
        <v>71.099999999999994</v>
      </c>
      <c r="N17" t="s">
        <v>116</v>
      </c>
      <c r="AC17" t="s">
        <v>180</v>
      </c>
      <c r="AD17">
        <f>AD16*AB6</f>
        <v>25.321200000000001</v>
      </c>
    </row>
    <row r="18" spans="1:30" x14ac:dyDescent="0.2">
      <c r="H18"/>
      <c r="M18" s="62"/>
      <c r="AC18" t="s">
        <v>181</v>
      </c>
      <c r="AD18">
        <f>AD17/AB4</f>
        <v>1.3613548387096774</v>
      </c>
    </row>
    <row r="19" spans="1:30" ht="15.75" thickBot="1" x14ac:dyDescent="0.3">
      <c r="A19" s="72"/>
      <c r="B19" s="66"/>
      <c r="C19" s="92" t="s">
        <v>131</v>
      </c>
      <c r="D19" s="66"/>
      <c r="E19" s="66"/>
      <c r="F19" s="66"/>
      <c r="G19" s="67"/>
      <c r="H19" s="92" t="s">
        <v>133</v>
      </c>
      <c r="I19" s="66"/>
      <c r="J19" s="66"/>
      <c r="K19" s="66"/>
      <c r="L19" s="67"/>
    </row>
    <row r="20" spans="1:30" ht="13.5" thickBot="1" x14ac:dyDescent="0.25">
      <c r="A20" s="73" t="s">
        <v>138</v>
      </c>
      <c r="B20" s="74" t="s">
        <v>128</v>
      </c>
      <c r="C20" s="73" t="s">
        <v>139</v>
      </c>
      <c r="D20" s="74" t="s">
        <v>132</v>
      </c>
      <c r="E20" s="74" t="s">
        <v>134</v>
      </c>
      <c r="F20" s="74" t="s">
        <v>135</v>
      </c>
      <c r="G20" s="75" t="s">
        <v>149</v>
      </c>
      <c r="H20" s="73" t="s">
        <v>139</v>
      </c>
      <c r="I20" s="74" t="s">
        <v>132</v>
      </c>
      <c r="J20" s="74" t="s">
        <v>134</v>
      </c>
      <c r="K20" s="74" t="s">
        <v>135</v>
      </c>
      <c r="L20" s="75" t="s">
        <v>149</v>
      </c>
      <c r="M20" t="s">
        <v>137</v>
      </c>
      <c r="S20" s="62" t="s">
        <v>148</v>
      </c>
    </row>
    <row r="21" spans="1:30" ht="15" customHeight="1" thickBot="1" x14ac:dyDescent="0.25">
      <c r="A21" s="72" t="str">
        <f>RES_Mn!O2</f>
        <v>IFAMN</v>
      </c>
      <c r="B21" s="66" t="str">
        <f>RES_Mn!O3</f>
        <v>Industry - Ferro Alloy Metals production</v>
      </c>
      <c r="C21" s="72" t="str">
        <f>RES_Mn!M9</f>
        <v>IFMEAF-E</v>
      </c>
      <c r="D21" s="66" t="str">
        <f>RES_Mn!M5</f>
        <v>FerroMn existing</v>
      </c>
      <c r="E21" s="78" t="s">
        <v>129</v>
      </c>
      <c r="F21" s="96"/>
      <c r="G21" s="98" t="s">
        <v>150</v>
      </c>
      <c r="H21" s="72">
        <f>RES_Mn!T9</f>
        <v>0</v>
      </c>
      <c r="I21" s="66">
        <f>RES_Mn!T8</f>
        <v>0</v>
      </c>
      <c r="J21" s="78" t="s">
        <v>129</v>
      </c>
      <c r="K21" s="77">
        <f>F21</f>
        <v>0</v>
      </c>
      <c r="L21" s="67"/>
      <c r="Q21" s="103" t="s">
        <v>153</v>
      </c>
      <c r="R21" s="104" t="s">
        <v>154</v>
      </c>
      <c r="S21" s="104" t="s">
        <v>155</v>
      </c>
      <c r="U21" s="103"/>
      <c r="V21" s="104" t="s">
        <v>43</v>
      </c>
      <c r="W21" s="104" t="s">
        <v>160</v>
      </c>
      <c r="X21" s="104" t="s">
        <v>161</v>
      </c>
      <c r="Z21" t="s">
        <v>172</v>
      </c>
      <c r="AA21" s="62" t="s">
        <v>173</v>
      </c>
      <c r="AB21">
        <v>18.600000000000001</v>
      </c>
    </row>
    <row r="22" spans="1:30" ht="13.5" thickBot="1" x14ac:dyDescent="0.25">
      <c r="A22" s="65"/>
      <c r="C22" s="65"/>
      <c r="E22" s="62" t="s">
        <v>116</v>
      </c>
      <c r="F22" s="227">
        <f>O34</f>
        <v>0.4587</v>
      </c>
      <c r="G22" s="95"/>
      <c r="J22" s="62" t="s">
        <v>116</v>
      </c>
      <c r="K22" s="227">
        <f>Q34</f>
        <v>0.76100000000000001</v>
      </c>
      <c r="L22" s="225"/>
      <c r="M22" s="62"/>
      <c r="Q22" s="105" t="s">
        <v>156</v>
      </c>
      <c r="R22" s="106" t="s">
        <v>157</v>
      </c>
      <c r="S22" s="106">
        <v>28</v>
      </c>
      <c r="U22" s="105" t="s">
        <v>162</v>
      </c>
      <c r="V22" s="106" t="s">
        <v>163</v>
      </c>
      <c r="W22" s="106">
        <v>390</v>
      </c>
      <c r="X22" s="106">
        <v>390</v>
      </c>
      <c r="AA22" s="62" t="s">
        <v>175</v>
      </c>
      <c r="AB22">
        <f>AB21/3.6*1000</f>
        <v>5166.666666666667</v>
      </c>
    </row>
    <row r="23" spans="1:30" ht="15.75" thickBot="1" x14ac:dyDescent="0.3">
      <c r="A23" s="109" t="str">
        <f>RES_Mn!D2</f>
        <v>IISCKE</v>
      </c>
      <c r="B23" s="80" t="str">
        <f>RES_Mn!D3</f>
        <v>Industry - Iron and Steel - Coke</v>
      </c>
      <c r="C23" s="79"/>
      <c r="D23" s="80"/>
      <c r="E23" s="81"/>
      <c r="F23" s="97"/>
      <c r="G23" s="82"/>
      <c r="H23" s="79" t="str">
        <f>C21</f>
        <v>IFMEAF-E</v>
      </c>
      <c r="I23" s="79" t="str">
        <f>D21</f>
        <v>FerroMn existing</v>
      </c>
      <c r="J23" s="81" t="s">
        <v>116</v>
      </c>
      <c r="K23" s="110">
        <f>(1-X52)*U52*F22</f>
        <v>4.5161681860465128</v>
      </c>
      <c r="L23" s="82"/>
      <c r="M23" s="62"/>
      <c r="Q23" s="105" t="s">
        <v>158</v>
      </c>
      <c r="R23" s="106" t="s">
        <v>159</v>
      </c>
      <c r="S23" s="106">
        <v>38</v>
      </c>
      <c r="U23" s="105" t="s">
        <v>164</v>
      </c>
      <c r="V23" s="106" t="s">
        <v>117</v>
      </c>
      <c r="W23" s="106">
        <v>35</v>
      </c>
      <c r="X23" s="106">
        <v>100</v>
      </c>
      <c r="Z23" s="62" t="s">
        <v>174</v>
      </c>
      <c r="AA23" s="62" t="s">
        <v>173</v>
      </c>
      <c r="AB23">
        <v>120</v>
      </c>
    </row>
    <row r="24" spans="1:30" ht="15.75" thickBot="1" x14ac:dyDescent="0.3">
      <c r="A24" s="109" t="str">
        <f>RES_Mn!E2</f>
        <v>INDCMU</v>
      </c>
      <c r="B24" s="80" t="str">
        <f>RES_Mn!E3</f>
        <v>Coal feedstock</v>
      </c>
      <c r="C24" s="72"/>
      <c r="D24" s="66"/>
      <c r="E24" s="78"/>
      <c r="F24" s="100"/>
      <c r="G24" s="67"/>
      <c r="H24" s="72" t="str">
        <f>RES_Mn!M9</f>
        <v>IFMEAF-E</v>
      </c>
      <c r="I24" s="66" t="str">
        <f>RES_Mn!M5</f>
        <v>FerroMn existing</v>
      </c>
      <c r="J24" s="78" t="s">
        <v>116</v>
      </c>
      <c r="K24" s="110">
        <f>X52*U52*F22</f>
        <v>1.5053893953488375</v>
      </c>
      <c r="L24" s="226"/>
      <c r="Q24" s="105" t="s">
        <v>140</v>
      </c>
      <c r="R24" s="106" t="s">
        <v>159</v>
      </c>
      <c r="S24" s="106">
        <v>45</v>
      </c>
      <c r="U24" s="105" t="s">
        <v>165</v>
      </c>
      <c r="V24" s="106" t="s">
        <v>166</v>
      </c>
      <c r="W24" s="106">
        <v>33.44</v>
      </c>
      <c r="X24" s="106">
        <v>11.7</v>
      </c>
      <c r="AB24" s="62" t="s">
        <v>188</v>
      </c>
    </row>
    <row r="25" spans="1:30" ht="15.75" thickBot="1" x14ac:dyDescent="0.3">
      <c r="A25" s="109" t="str">
        <f>RES_Mn!F2</f>
        <v>IFAELC</v>
      </c>
      <c r="B25" s="80" t="str">
        <f>RES_Mn!F3</f>
        <v>Industry-FA-Electricity</v>
      </c>
      <c r="C25" s="68"/>
      <c r="D25" s="69"/>
      <c r="E25" s="69"/>
      <c r="F25" s="69"/>
      <c r="G25" s="70"/>
      <c r="H25" s="68" t="str">
        <f>H23</f>
        <v>IFMEAF-E</v>
      </c>
      <c r="I25" s="69" t="str">
        <f>I23</f>
        <v>FerroMn existing</v>
      </c>
      <c r="J25" s="76" t="s">
        <v>116</v>
      </c>
      <c r="K25" s="110">
        <f>U50*F22</f>
        <v>5.9447520000000003</v>
      </c>
      <c r="L25" s="70"/>
      <c r="M25" s="62"/>
      <c r="Q25" s="107" t="s">
        <v>170</v>
      </c>
      <c r="U25" s="105" t="s">
        <v>167</v>
      </c>
      <c r="V25" s="106" t="s">
        <v>168</v>
      </c>
      <c r="W25" s="106">
        <v>211.01</v>
      </c>
      <c r="X25" s="106">
        <v>189.27</v>
      </c>
      <c r="AB25" t="s">
        <v>178</v>
      </c>
      <c r="AC25" t="s">
        <v>179</v>
      </c>
      <c r="AD25">
        <f>X25/1000</f>
        <v>0.18927000000000002</v>
      </c>
    </row>
    <row r="26" spans="1:30" ht="13.5" thickBot="1" x14ac:dyDescent="0.25">
      <c r="A26" t="str">
        <f>Commodities_BASE!B19</f>
        <v>CO2SPIFM</v>
      </c>
      <c r="B26" t="str">
        <f>Commodities_BASE!C19</f>
        <v>Process Emissions FerroManganese South Africa</v>
      </c>
      <c r="C26" s="66" t="str">
        <f>C21</f>
        <v>IFMEAF-E</v>
      </c>
      <c r="D26" s="66" t="str">
        <f>D21</f>
        <v>FerroMn existing</v>
      </c>
      <c r="E26" s="66" t="s">
        <v>136</v>
      </c>
      <c r="F26" s="115">
        <v>3225</v>
      </c>
      <c r="G26" s="67"/>
      <c r="H26" s="72"/>
      <c r="I26" s="66"/>
      <c r="K26" s="66"/>
      <c r="L26" s="66"/>
      <c r="M26" s="62" t="s">
        <v>465</v>
      </c>
      <c r="U26" s="105" t="s">
        <v>169</v>
      </c>
      <c r="V26" s="106" t="s">
        <v>117</v>
      </c>
      <c r="W26" s="106">
        <v>73.400000000000006</v>
      </c>
      <c r="X26" s="106">
        <v>81.8</v>
      </c>
      <c r="AC26" t="s">
        <v>181</v>
      </c>
      <c r="AD26" s="228" t="e">
        <f>#REF!/AB21</f>
        <v>#REF!</v>
      </c>
    </row>
    <row r="27" spans="1:30" x14ac:dyDescent="0.2">
      <c r="A27" t="s">
        <v>176</v>
      </c>
      <c r="B27" t="str">
        <f>Commodities_BASE!C20</f>
        <v>CH4S South Africa</v>
      </c>
      <c r="C27" t="str">
        <f>C26</f>
        <v>IFMEAF-E</v>
      </c>
      <c r="D27" t="str">
        <f>D26</f>
        <v>FerroMn existing</v>
      </c>
      <c r="E27" t="s">
        <v>136</v>
      </c>
      <c r="F27">
        <v>0</v>
      </c>
      <c r="M27" s="62"/>
      <c r="U27" s="108" t="s">
        <v>171</v>
      </c>
      <c r="AC27" s="62" t="s">
        <v>189</v>
      </c>
      <c r="AD27" s="228" t="e">
        <f>1/AD26</f>
        <v>#REF!</v>
      </c>
    </row>
    <row r="28" spans="1:30" x14ac:dyDescent="0.2">
      <c r="AC28" s="62" t="s">
        <v>191</v>
      </c>
      <c r="AD28">
        <f>X22/3600</f>
        <v>0.10833333333333334</v>
      </c>
    </row>
    <row r="29" spans="1:30" x14ac:dyDescent="0.2">
      <c r="M29" s="62"/>
      <c r="AC29" s="62" t="s">
        <v>190</v>
      </c>
      <c r="AD29">
        <f>AD28/AB21</f>
        <v>5.8243727598566303E-3</v>
      </c>
    </row>
    <row r="30" spans="1:30" x14ac:dyDescent="0.2">
      <c r="O30" s="62" t="s">
        <v>464</v>
      </c>
    </row>
    <row r="31" spans="1:30" ht="31.5" customHeight="1" x14ac:dyDescent="0.2">
      <c r="O31" s="72"/>
      <c r="P31" s="66"/>
      <c r="Q31" s="66"/>
      <c r="R31" s="66"/>
      <c r="S31" s="66"/>
      <c r="T31" s="67"/>
    </row>
    <row r="32" spans="1:30" x14ac:dyDescent="0.2">
      <c r="O32" s="65">
        <v>2017</v>
      </c>
      <c r="Q32" s="62" t="s">
        <v>463</v>
      </c>
      <c r="T32" s="225"/>
      <c r="AB32" s="62" t="s">
        <v>187</v>
      </c>
    </row>
    <row r="33" spans="13:30" x14ac:dyDescent="0.2">
      <c r="M33" s="62"/>
      <c r="O33" s="65">
        <v>3.7</v>
      </c>
      <c r="P33" s="62" t="s">
        <v>462</v>
      </c>
      <c r="Q33">
        <v>4.8</v>
      </c>
      <c r="T33" s="225"/>
      <c r="AB33" t="s">
        <v>178</v>
      </c>
      <c r="AC33" t="s">
        <v>179</v>
      </c>
      <c r="AD33">
        <f>W25/1000</f>
        <v>0.21101</v>
      </c>
    </row>
    <row r="34" spans="13:30" x14ac:dyDescent="0.2">
      <c r="N34" s="62" t="s">
        <v>461</v>
      </c>
      <c r="O34" s="65">
        <v>0.4587</v>
      </c>
      <c r="P34" s="62" t="s">
        <v>460</v>
      </c>
      <c r="Q34">
        <f>T34/1000</f>
        <v>0.76100000000000001</v>
      </c>
      <c r="R34" s="62" t="s">
        <v>459</v>
      </c>
      <c r="T34" s="225">
        <f>312+116+132+161+40</f>
        <v>761</v>
      </c>
      <c r="AC34" t="s">
        <v>180</v>
      </c>
      <c r="AD34">
        <f>AD33*AB23</f>
        <v>25.321200000000001</v>
      </c>
    </row>
    <row r="35" spans="13:30" x14ac:dyDescent="0.2">
      <c r="M35" s="62"/>
      <c r="O35" s="65">
        <v>0.2</v>
      </c>
      <c r="P35" s="62" t="s">
        <v>458</v>
      </c>
      <c r="Q35">
        <f>O35</f>
        <v>0.2</v>
      </c>
      <c r="T35" s="225"/>
      <c r="AC35" t="s">
        <v>181</v>
      </c>
      <c r="AD35">
        <f>AD34/AB21</f>
        <v>1.3613548387096774</v>
      </c>
    </row>
    <row r="36" spans="13:30" x14ac:dyDescent="0.2">
      <c r="O36" s="65">
        <f>SUM(O33:O35)</f>
        <v>4.3587000000000007</v>
      </c>
      <c r="Q36">
        <f>SUM(Q33:Q35)</f>
        <v>5.7610000000000001</v>
      </c>
      <c r="T36" s="225"/>
      <c r="AC36" s="62" t="s">
        <v>189</v>
      </c>
      <c r="AD36">
        <f>1/AD35</f>
        <v>0.73456234301691858</v>
      </c>
    </row>
    <row r="37" spans="13:30" x14ac:dyDescent="0.2">
      <c r="M37" s="62"/>
      <c r="O37" s="65"/>
      <c r="T37" s="225"/>
    </row>
    <row r="38" spans="13:30" x14ac:dyDescent="0.2">
      <c r="M38" s="62"/>
      <c r="O38" s="68"/>
      <c r="P38" s="69"/>
      <c r="Q38" s="69"/>
      <c r="R38" s="69"/>
      <c r="S38" s="69"/>
      <c r="T38" s="70"/>
    </row>
    <row r="39" spans="13:30" x14ac:dyDescent="0.2">
      <c r="M39" s="62"/>
    </row>
    <row r="40" spans="13:30" x14ac:dyDescent="0.2">
      <c r="M40" s="62"/>
      <c r="O40" s="224" t="s">
        <v>457</v>
      </c>
      <c r="P40" s="218"/>
      <c r="Q40" s="218"/>
      <c r="R40" s="218"/>
      <c r="S40" s="218"/>
      <c r="T40" s="218"/>
      <c r="U40" s="218"/>
      <c r="V40" s="218"/>
      <c r="W40" s="218"/>
    </row>
    <row r="41" spans="13:30" x14ac:dyDescent="0.2">
      <c r="M41" s="62"/>
      <c r="O41" s="218"/>
      <c r="P41" s="218"/>
      <c r="Q41" s="218" t="s">
        <v>456</v>
      </c>
      <c r="R41" s="218" t="s">
        <v>455</v>
      </c>
      <c r="S41" s="218"/>
      <c r="T41" s="218"/>
      <c r="U41" s="218"/>
      <c r="V41" s="218"/>
      <c r="W41" s="218"/>
    </row>
    <row r="42" spans="13:30" x14ac:dyDescent="0.2">
      <c r="M42" s="62"/>
      <c r="O42" s="218" t="s">
        <v>454</v>
      </c>
      <c r="P42" s="218" t="s">
        <v>453</v>
      </c>
      <c r="Q42" s="218">
        <v>480</v>
      </c>
      <c r="R42" s="218">
        <v>312</v>
      </c>
      <c r="S42" s="218" t="s">
        <v>449</v>
      </c>
      <c r="T42" s="219" t="s">
        <v>452</v>
      </c>
      <c r="U42" s="218"/>
      <c r="V42" s="218"/>
      <c r="W42" s="218"/>
    </row>
    <row r="43" spans="13:30" x14ac:dyDescent="0.2">
      <c r="M43" s="62"/>
      <c r="O43" s="218"/>
      <c r="P43" s="218" t="s">
        <v>451</v>
      </c>
      <c r="Q43" s="218">
        <v>240</v>
      </c>
      <c r="R43" s="218">
        <v>116</v>
      </c>
      <c r="S43" s="218" t="s">
        <v>449</v>
      </c>
      <c r="T43" s="219" t="s">
        <v>447</v>
      </c>
      <c r="U43" s="218"/>
      <c r="V43" s="218"/>
      <c r="W43" s="218"/>
    </row>
    <row r="44" spans="13:30" x14ac:dyDescent="0.2">
      <c r="M44" s="62"/>
      <c r="O44" s="218"/>
      <c r="P44" s="218" t="s">
        <v>450</v>
      </c>
      <c r="Q44" s="218">
        <v>270</v>
      </c>
      <c r="R44" s="218">
        <v>132</v>
      </c>
      <c r="S44" s="218" t="s">
        <v>449</v>
      </c>
      <c r="T44" s="219" t="s">
        <v>447</v>
      </c>
      <c r="U44" s="218"/>
      <c r="V44" s="218"/>
      <c r="W44" s="218"/>
    </row>
    <row r="45" spans="13:30" x14ac:dyDescent="0.2">
      <c r="M45" s="62"/>
      <c r="O45" s="218"/>
      <c r="P45" s="218" t="s">
        <v>448</v>
      </c>
      <c r="Q45" s="218">
        <v>180</v>
      </c>
      <c r="R45" s="218">
        <v>161</v>
      </c>
      <c r="S45" s="218" t="s">
        <v>434</v>
      </c>
      <c r="T45" s="219" t="s">
        <v>447</v>
      </c>
      <c r="U45" s="218"/>
      <c r="V45" s="218"/>
      <c r="W45" s="218"/>
    </row>
    <row r="46" spans="13:30" x14ac:dyDescent="0.2">
      <c r="M46" s="62"/>
      <c r="O46" s="218"/>
      <c r="P46" s="218" t="s">
        <v>446</v>
      </c>
      <c r="Q46" s="218">
        <v>40</v>
      </c>
      <c r="R46" s="218">
        <v>40</v>
      </c>
      <c r="S46" s="218" t="s">
        <v>434</v>
      </c>
      <c r="T46" s="218" t="s">
        <v>445</v>
      </c>
      <c r="U46" s="218"/>
      <c r="V46" s="218"/>
      <c r="W46" s="218"/>
    </row>
    <row r="47" spans="13:30" x14ac:dyDescent="0.2">
      <c r="M47" s="62"/>
      <c r="O47" s="218"/>
      <c r="P47" s="218"/>
      <c r="Q47" s="218"/>
      <c r="R47" s="218"/>
      <c r="S47" s="218"/>
      <c r="T47" s="218"/>
      <c r="U47" s="218"/>
      <c r="V47" s="218"/>
      <c r="W47" s="218"/>
    </row>
    <row r="48" spans="13:30" x14ac:dyDescent="0.2">
      <c r="M48" s="62"/>
      <c r="O48" s="218"/>
      <c r="P48" s="218"/>
      <c r="Q48" s="218"/>
      <c r="R48" s="218"/>
      <c r="S48" s="218"/>
      <c r="T48" s="218"/>
      <c r="U48" s="218"/>
      <c r="V48" s="218"/>
      <c r="W48" s="218"/>
    </row>
    <row r="49" spans="13:24" x14ac:dyDescent="0.2">
      <c r="M49" s="62"/>
      <c r="O49" s="223"/>
      <c r="P49" s="223"/>
      <c r="Q49" s="223"/>
      <c r="R49" s="222" t="s">
        <v>444</v>
      </c>
      <c r="S49" s="222" t="s">
        <v>443</v>
      </c>
      <c r="T49" s="222" t="s">
        <v>442</v>
      </c>
      <c r="U49" s="219" t="s">
        <v>441</v>
      </c>
      <c r="V49" s="222" t="s">
        <v>440</v>
      </c>
      <c r="W49" s="222" t="s">
        <v>439</v>
      </c>
      <c r="X49" s="221" t="s">
        <v>438</v>
      </c>
    </row>
    <row r="50" spans="13:24" x14ac:dyDescent="0.2">
      <c r="M50" s="62"/>
      <c r="O50" s="219" t="s">
        <v>435</v>
      </c>
      <c r="P50" s="219" t="s">
        <v>437</v>
      </c>
      <c r="Q50" s="219" t="s">
        <v>436</v>
      </c>
      <c r="R50" s="218">
        <v>2.1520000000000001</v>
      </c>
      <c r="S50" s="218">
        <v>3.395</v>
      </c>
      <c r="T50" s="218">
        <v>3.6</v>
      </c>
      <c r="U50" s="218">
        <f>T50*3.6</f>
        <v>12.96</v>
      </c>
      <c r="V50" s="218">
        <f>T50*O34*1000</f>
        <v>1651.3200000000002</v>
      </c>
      <c r="W50" s="218">
        <f>V50*3.6/1000</f>
        <v>5.9447520000000003</v>
      </c>
      <c r="X50" s="218"/>
    </row>
    <row r="51" spans="13:24" x14ac:dyDescent="0.2">
      <c r="M51" s="62"/>
      <c r="O51" s="219" t="s">
        <v>435</v>
      </c>
      <c r="P51" s="219" t="s">
        <v>434</v>
      </c>
      <c r="Q51" s="218"/>
      <c r="R51" s="218"/>
      <c r="S51" s="218"/>
      <c r="T51" s="218">
        <v>4.8</v>
      </c>
      <c r="U51" s="218"/>
      <c r="V51" s="218"/>
      <c r="W51" s="218"/>
      <c r="X51" s="218"/>
    </row>
    <row r="52" spans="13:24" x14ac:dyDescent="0.2">
      <c r="M52" s="62"/>
      <c r="O52" s="219" t="s">
        <v>433</v>
      </c>
      <c r="P52" s="218"/>
      <c r="Q52" s="218"/>
      <c r="R52" s="218"/>
      <c r="S52" s="218"/>
      <c r="T52" s="218"/>
      <c r="U52" s="218">
        <f>2.8*3.6*0.56/0.43</f>
        <v>13.127441860465119</v>
      </c>
      <c r="V52" s="218"/>
      <c r="W52" s="218">
        <f>W50*0.56/0.43</f>
        <v>7.7420026046511641</v>
      </c>
      <c r="X52" s="220">
        <v>0.25</v>
      </c>
    </row>
    <row r="53" spans="13:24" x14ac:dyDescent="0.2">
      <c r="M53" s="62"/>
      <c r="O53" s="218"/>
      <c r="P53" s="218"/>
      <c r="Q53" s="218"/>
      <c r="R53" s="218"/>
      <c r="S53" s="218"/>
      <c r="T53" s="218"/>
      <c r="U53" s="218"/>
      <c r="V53" s="218"/>
      <c r="W53" s="218"/>
    </row>
    <row r="54" spans="13:24" x14ac:dyDescent="0.2">
      <c r="M54" s="62"/>
      <c r="O54" s="218"/>
      <c r="P54" s="218"/>
      <c r="Q54" s="218"/>
      <c r="R54" s="218"/>
      <c r="S54" s="218"/>
      <c r="T54" s="218"/>
      <c r="U54" s="218"/>
      <c r="V54" s="218"/>
      <c r="W54" s="218"/>
    </row>
    <row r="55" spans="13:24" x14ac:dyDescent="0.2">
      <c r="M55" s="62"/>
      <c r="O55" s="219" t="s">
        <v>432</v>
      </c>
      <c r="P55" s="218"/>
      <c r="Q55" s="218"/>
      <c r="R55" s="218"/>
      <c r="S55" s="218"/>
      <c r="T55" s="218">
        <v>2.8</v>
      </c>
      <c r="U55" s="218">
        <f>T55*3.6</f>
        <v>10.08</v>
      </c>
      <c r="V55" s="219" t="s">
        <v>431</v>
      </c>
      <c r="W55" s="218"/>
    </row>
    <row r="56" spans="13:24" x14ac:dyDescent="0.2">
      <c r="M56" s="62"/>
    </row>
    <row r="57" spans="13:24" x14ac:dyDescent="0.2">
      <c r="M57" s="62"/>
    </row>
    <row r="58" spans="13:24" x14ac:dyDescent="0.2">
      <c r="M58" s="62"/>
      <c r="O58" s="217" t="s">
        <v>291</v>
      </c>
      <c r="P58" s="217" t="s">
        <v>427</v>
      </c>
      <c r="Q58" s="216"/>
      <c r="R58" s="216">
        <v>84.69</v>
      </c>
      <c r="S58" s="217" t="s">
        <v>430</v>
      </c>
      <c r="T58" s="216"/>
      <c r="U58" s="216"/>
      <c r="V58" s="216"/>
      <c r="W58" s="216"/>
    </row>
    <row r="59" spans="13:24" x14ac:dyDescent="0.2">
      <c r="M59" s="62"/>
      <c r="O59" s="217" t="s">
        <v>140</v>
      </c>
      <c r="P59" s="217" t="s">
        <v>427</v>
      </c>
      <c r="Q59" s="216"/>
      <c r="R59" s="216">
        <v>47.74</v>
      </c>
      <c r="S59" s="217" t="s">
        <v>429</v>
      </c>
      <c r="T59" s="216"/>
      <c r="U59" s="216"/>
      <c r="V59" s="216"/>
      <c r="W59" s="216"/>
    </row>
    <row r="60" spans="13:24" x14ac:dyDescent="0.2">
      <c r="M60" s="62"/>
      <c r="O60" s="217" t="s">
        <v>428</v>
      </c>
      <c r="P60" s="217" t="s">
        <v>427</v>
      </c>
      <c r="Q60" s="216"/>
      <c r="R60" s="216">
        <v>79</v>
      </c>
      <c r="S60" s="217" t="s">
        <v>426</v>
      </c>
      <c r="T60" s="216"/>
      <c r="U60" s="216"/>
      <c r="V60" s="216"/>
      <c r="W60" s="216"/>
    </row>
    <row r="61" spans="13:24" x14ac:dyDescent="0.2">
      <c r="M61" s="62"/>
    </row>
    <row r="62" spans="13:24" x14ac:dyDescent="0.2">
      <c r="M62" s="62"/>
    </row>
    <row r="63" spans="13:24" x14ac:dyDescent="0.2">
      <c r="M63" s="62"/>
    </row>
    <row r="64" spans="13:24" x14ac:dyDescent="0.2">
      <c r="M64" s="62"/>
    </row>
    <row r="65" spans="6:13" x14ac:dyDescent="0.2">
      <c r="M65" s="62"/>
    </row>
    <row r="66" spans="6:13" x14ac:dyDescent="0.2">
      <c r="M66" s="62"/>
    </row>
    <row r="67" spans="6:13" x14ac:dyDescent="0.2">
      <c r="M67" s="62"/>
    </row>
    <row r="68" spans="6:13" x14ac:dyDescent="0.2">
      <c r="M68" s="62"/>
    </row>
    <row r="69" spans="6:13" x14ac:dyDescent="0.2">
      <c r="M69" s="62"/>
    </row>
    <row r="70" spans="6:13" x14ac:dyDescent="0.2">
      <c r="M70" s="62"/>
    </row>
    <row r="71" spans="6:13" x14ac:dyDescent="0.2">
      <c r="M71" s="62"/>
    </row>
    <row r="72" spans="6:13" x14ac:dyDescent="0.2">
      <c r="M72" s="62"/>
    </row>
    <row r="73" spans="6:13" x14ac:dyDescent="0.2">
      <c r="F73" s="114"/>
      <c r="I73" s="114"/>
      <c r="J73" s="114"/>
      <c r="K73" s="114"/>
    </row>
    <row r="74" spans="6:13" x14ac:dyDescent="0.2">
      <c r="F74" s="114"/>
      <c r="I74" s="114"/>
      <c r="J74" s="114"/>
      <c r="K74" s="114"/>
    </row>
    <row r="75" spans="6:13" x14ac:dyDescent="0.2">
      <c r="F75" s="114"/>
      <c r="I75" s="114"/>
      <c r="J75" s="114"/>
      <c r="K75" s="114"/>
    </row>
    <row r="76" spans="6:13" x14ac:dyDescent="0.2">
      <c r="F76" s="114"/>
      <c r="I76" s="114"/>
      <c r="J76" s="114"/>
      <c r="K76" s="114"/>
    </row>
    <row r="78" spans="6:13" x14ac:dyDescent="0.2">
      <c r="I78" s="114"/>
      <c r="J78" s="114"/>
      <c r="K78" s="1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pane ySplit="7" topLeftCell="A8" activePane="bottomLeft" state="frozen"/>
      <selection pane="bottomLeft"/>
    </sheetView>
  </sheetViews>
  <sheetFormatPr defaultColWidth="9.140625" defaultRowHeight="11.25" x14ac:dyDescent="0.2"/>
  <cols>
    <col min="1" max="1" width="14.5703125" style="3" customWidth="1"/>
    <col min="2" max="2" width="42.5703125" style="3" customWidth="1"/>
    <col min="3" max="3" width="28.5703125" style="3" customWidth="1"/>
    <col min="4" max="4" width="21.7109375" style="3" customWidth="1"/>
    <col min="5" max="16384" width="9.140625" style="3"/>
  </cols>
  <sheetData>
    <row r="1" spans="1:4" x14ac:dyDescent="0.2">
      <c r="A1" s="2" t="s">
        <v>100</v>
      </c>
      <c r="B1" s="3" t="s">
        <v>101</v>
      </c>
    </row>
    <row r="3" spans="1:4" ht="18" customHeight="1" x14ac:dyDescent="0.2"/>
    <row r="7" spans="1:4" x14ac:dyDescent="0.2">
      <c r="A7" s="2" t="s">
        <v>16</v>
      </c>
      <c r="B7" s="2" t="s">
        <v>15</v>
      </c>
      <c r="C7" s="2" t="s">
        <v>1</v>
      </c>
      <c r="D7" s="2" t="s">
        <v>0</v>
      </c>
    </row>
    <row r="8" spans="1:4" x14ac:dyDescent="0.2">
      <c r="A8" s="5" t="s">
        <v>17</v>
      </c>
      <c r="B8" s="5" t="s">
        <v>18</v>
      </c>
      <c r="C8" s="5" t="s">
        <v>19</v>
      </c>
    </row>
    <row r="9" spans="1:4" x14ac:dyDescent="0.2">
      <c r="A9" s="2" t="s">
        <v>96</v>
      </c>
    </row>
    <row r="10" spans="1:4" x14ac:dyDescent="0.2">
      <c r="A10" s="3" t="s">
        <v>95</v>
      </c>
      <c r="B10" s="3" t="s">
        <v>95</v>
      </c>
      <c r="C10" s="5" t="s">
        <v>97</v>
      </c>
    </row>
    <row r="11" spans="1:4" x14ac:dyDescent="0.2">
      <c r="A11" s="3" t="s">
        <v>98</v>
      </c>
      <c r="B11" s="3" t="s">
        <v>98</v>
      </c>
      <c r="C11" s="5" t="s">
        <v>97</v>
      </c>
    </row>
    <row r="13" spans="1:4" x14ac:dyDescent="0.2">
      <c r="A13" s="2" t="s">
        <v>102</v>
      </c>
    </row>
  </sheetData>
  <phoneticPr fontId="22" type="noConversion"/>
  <pageMargins left="0.75" right="0.75" top="1" bottom="1" header="0.5" footer="0.5"/>
  <pageSetup paperSize="9" orientation="portrait" horizontalDpi="1200"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pane ySplit="7" topLeftCell="A8" activePane="bottomLeft" state="frozen"/>
      <selection pane="bottomLeft"/>
    </sheetView>
  </sheetViews>
  <sheetFormatPr defaultColWidth="9.140625" defaultRowHeight="11.25" x14ac:dyDescent="0.2"/>
  <cols>
    <col min="1" max="1" width="12.85546875" style="9" customWidth="1"/>
    <col min="2" max="2" width="12.28515625" style="9" customWidth="1"/>
    <col min="3" max="3" width="21" style="9" customWidth="1"/>
    <col min="4" max="4" width="10.28515625" style="9" customWidth="1"/>
    <col min="5" max="5" width="29.7109375" style="9" customWidth="1"/>
    <col min="6" max="6" width="10.28515625" style="9" customWidth="1"/>
    <col min="7" max="16384" width="9.140625" style="9"/>
  </cols>
  <sheetData>
    <row r="1" spans="1:6" x14ac:dyDescent="0.2">
      <c r="A1" s="11" t="s">
        <v>99</v>
      </c>
    </row>
    <row r="4" spans="1:6" ht="17.25" customHeight="1" x14ac:dyDescent="0.2"/>
    <row r="5" spans="1:6" ht="17.25" customHeight="1" x14ac:dyDescent="0.2">
      <c r="C5" s="10"/>
    </row>
    <row r="6" spans="1:6" ht="15.75" customHeight="1" x14ac:dyDescent="0.2"/>
    <row r="7" spans="1:6" x14ac:dyDescent="0.2">
      <c r="B7" s="15" t="s">
        <v>40</v>
      </c>
      <c r="C7" s="11" t="s">
        <v>41</v>
      </c>
      <c r="D7" s="11" t="s">
        <v>42</v>
      </c>
      <c r="E7" s="11" t="s">
        <v>1</v>
      </c>
      <c r="F7" s="11" t="s">
        <v>0</v>
      </c>
    </row>
  </sheetData>
  <pageMargins left="0.75" right="0.75" top="1" bottom="1" header="0.5" footer="0.5"/>
  <pageSetup paperSize="9" orientation="portrait" horizontalDpi="1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 and Log</vt:lpstr>
      <vt:lpstr>SEC_Comm</vt:lpstr>
      <vt:lpstr>SEC_Processes</vt:lpstr>
      <vt:lpstr>Process Input</vt:lpstr>
      <vt:lpstr>RES_Cr</vt:lpstr>
      <vt:lpstr>RES_Mn</vt:lpstr>
      <vt:lpstr>EB_Exist</vt:lpstr>
      <vt:lpstr>Commodities_BASE</vt:lpstr>
      <vt:lpstr>CommData_BASE</vt:lpstr>
      <vt:lpstr>Chrome methodology</vt:lpstr>
      <vt:lpstr>Sheet1</vt:lpstr>
      <vt:lpstr>RES of chrome industry with EE</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Bryce Mc Call</cp:lastModifiedBy>
  <cp:lastPrinted>2005-06-23T04:07:43Z</cp:lastPrinted>
  <dcterms:created xsi:type="dcterms:W3CDTF">2005-05-01T12:39:10Z</dcterms:created>
  <dcterms:modified xsi:type="dcterms:W3CDTF">2024-03-15T10:42:16Z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