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Model Documentation\SATIM\Energy Balance\Coal\"/>
    </mc:Choice>
  </mc:AlternateContent>
  <xr:revisionPtr revIDLastSave="0" documentId="13_ncr:1_{8CD99B81-7DC2-43E3-A959-D7295F27C166}" xr6:coauthVersionLast="47" xr6:coauthVersionMax="47" xr10:uidLastSave="{00000000-0000-0000-0000-000000000000}"/>
  <bookViews>
    <workbookView xWindow="-108" yWindow="-108" windowWidth="23256" windowHeight="12576" firstSheet="2" activeTab="4" xr2:uid="{4A579056-8B3B-4F7E-9128-BEC3BE4AA9F4}"/>
  </bookViews>
  <sheets>
    <sheet name="CoalBalance" sheetId="2" r:id="rId1"/>
    <sheet name="CoalBalance for Word" sheetId="6" r:id="rId2"/>
    <sheet name="CoalBalance SATIM" sheetId="5" r:id="rId3"/>
    <sheet name="CoalBalance for Word final " sheetId="7" r:id="rId4"/>
    <sheet name="CoalBalance SATIM final" sheetId="8" r:id="rId5"/>
    <sheet name="Commodity flow native units" sheetId="3" r:id="rId6"/>
    <sheet name="2019 Eskom Check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4" i="2" l="1"/>
  <c r="K32" i="2" l="1"/>
  <c r="K31" i="2" s="1"/>
  <c r="E12" i="8"/>
  <c r="E26" i="8"/>
  <c r="F33" i="2"/>
  <c r="D8" i="8"/>
  <c r="D12" i="8"/>
  <c r="D21" i="8"/>
  <c r="D26" i="8"/>
  <c r="D30" i="8"/>
  <c r="D31" i="8"/>
  <c r="D32" i="8"/>
  <c r="B22" i="8"/>
  <c r="B4" i="8"/>
  <c r="H28" i="7"/>
  <c r="G28" i="7"/>
  <c r="N27" i="7"/>
  <c r="M27" i="7"/>
  <c r="L27" i="7"/>
  <c r="J27" i="7"/>
  <c r="I27" i="7"/>
  <c r="E27" i="7"/>
  <c r="F27" i="7" s="1"/>
  <c r="D27" i="8" s="1"/>
  <c r="D27" i="7"/>
  <c r="H18" i="7"/>
  <c r="G18" i="7"/>
  <c r="M16" i="7"/>
  <c r="L16" i="7"/>
  <c r="J16" i="7"/>
  <c r="B22" i="7"/>
  <c r="B4" i="7"/>
  <c r="L7" i="7"/>
  <c r="M7" i="7"/>
  <c r="N7" i="7"/>
  <c r="J8" i="7"/>
  <c r="L8" i="7"/>
  <c r="M8" i="7"/>
  <c r="N8" i="7"/>
  <c r="L9" i="7"/>
  <c r="M9" i="7"/>
  <c r="L10" i="7"/>
  <c r="M10" i="7"/>
  <c r="N10" i="7"/>
  <c r="L11" i="7"/>
  <c r="M11" i="7"/>
  <c r="N11" i="7"/>
  <c r="J12" i="7"/>
  <c r="K12" i="7"/>
  <c r="L12" i="7"/>
  <c r="M12" i="7"/>
  <c r="N12" i="7"/>
  <c r="J13" i="7"/>
  <c r="L13" i="7"/>
  <c r="M13" i="7"/>
  <c r="N13" i="7"/>
  <c r="L14" i="7"/>
  <c r="M14" i="7"/>
  <c r="N14" i="7"/>
  <c r="L15" i="7"/>
  <c r="M15" i="7"/>
  <c r="N15" i="7"/>
  <c r="L17" i="7"/>
  <c r="M17" i="7"/>
  <c r="L20" i="7"/>
  <c r="M20" i="7"/>
  <c r="N20" i="7"/>
  <c r="L19" i="7"/>
  <c r="M19" i="7"/>
  <c r="N19" i="7"/>
  <c r="L21" i="7"/>
  <c r="M21" i="7"/>
  <c r="N21" i="7"/>
  <c r="J26" i="7"/>
  <c r="L26" i="7"/>
  <c r="M26" i="7"/>
  <c r="N26" i="7"/>
  <c r="L29" i="7"/>
  <c r="M29" i="7"/>
  <c r="J30" i="7"/>
  <c r="K30" i="7"/>
  <c r="L30" i="7"/>
  <c r="M30" i="7"/>
  <c r="N30" i="7"/>
  <c r="K31" i="7"/>
  <c r="L31" i="7"/>
  <c r="M31" i="7"/>
  <c r="N31" i="7"/>
  <c r="J32" i="7"/>
  <c r="K32" i="7"/>
  <c r="L32" i="7"/>
  <c r="N32" i="7"/>
  <c r="I8" i="7"/>
  <c r="I9" i="7"/>
  <c r="I10" i="7"/>
  <c r="I11" i="7"/>
  <c r="I12" i="7"/>
  <c r="I13" i="7"/>
  <c r="I20" i="7"/>
  <c r="I19" i="7"/>
  <c r="I21" i="7"/>
  <c r="I25" i="7"/>
  <c r="I26" i="7"/>
  <c r="I29" i="7"/>
  <c r="I30" i="7"/>
  <c r="I31" i="7"/>
  <c r="I32" i="7"/>
  <c r="E8" i="7"/>
  <c r="E12" i="7"/>
  <c r="E26" i="7"/>
  <c r="E30" i="7"/>
  <c r="E32" i="7"/>
  <c r="H24" i="7"/>
  <c r="G24" i="7"/>
  <c r="F13" i="7"/>
  <c r="D13" i="8" s="1"/>
  <c r="H6" i="7"/>
  <c r="H5" i="7" s="1"/>
  <c r="G6" i="7"/>
  <c r="G5" i="7" s="1"/>
  <c r="D8" i="7"/>
  <c r="D12" i="7"/>
  <c r="D21" i="7"/>
  <c r="D26" i="7"/>
  <c r="D30" i="7"/>
  <c r="D31" i="7"/>
  <c r="D32" i="7"/>
  <c r="I25" i="2"/>
  <c r="M31" i="2"/>
  <c r="N31" i="2"/>
  <c r="O31" i="2"/>
  <c r="I28" i="7" s="1"/>
  <c r="R31" i="2"/>
  <c r="L28" i="7" s="1"/>
  <c r="S31" i="2"/>
  <c r="M28" i="7" s="1"/>
  <c r="U31" i="2"/>
  <c r="W31" i="2"/>
  <c r="M27" i="2"/>
  <c r="N27" i="2"/>
  <c r="O27" i="2"/>
  <c r="I24" i="7" s="1"/>
  <c r="W27" i="2"/>
  <c r="M21" i="2"/>
  <c r="N21" i="2"/>
  <c r="O21" i="2"/>
  <c r="I18" i="7" s="1"/>
  <c r="R21" i="2"/>
  <c r="L18" i="7" s="1"/>
  <c r="S21" i="2"/>
  <c r="M18" i="7" s="1"/>
  <c r="T21" i="2"/>
  <c r="N18" i="7" s="1"/>
  <c r="U21" i="2"/>
  <c r="W21" i="2"/>
  <c r="M9" i="2"/>
  <c r="M8" i="2" s="1"/>
  <c r="N9" i="2"/>
  <c r="N8" i="2" s="1"/>
  <c r="R9" i="2"/>
  <c r="R8" i="2" s="1"/>
  <c r="L5" i="7" s="1"/>
  <c r="S9" i="2"/>
  <c r="S8" i="2" s="1"/>
  <c r="M5" i="7" s="1"/>
  <c r="T9" i="2"/>
  <c r="N6" i="7" s="1"/>
  <c r="U9" i="2"/>
  <c r="U8" i="2" s="1"/>
  <c r="W9" i="2"/>
  <c r="W8" i="2" s="1"/>
  <c r="K28" i="2"/>
  <c r="K27" i="2" s="1"/>
  <c r="I20" i="2"/>
  <c r="K20" i="2"/>
  <c r="E17" i="7" s="1"/>
  <c r="O20" i="2"/>
  <c r="I17" i="7" s="1"/>
  <c r="P20" i="2"/>
  <c r="J17" i="7" s="1"/>
  <c r="Q20" i="2"/>
  <c r="K17" i="7" s="1"/>
  <c r="BD28" i="2"/>
  <c r="K34" i="2"/>
  <c r="E31" i="7" s="1"/>
  <c r="L30" i="2"/>
  <c r="W7" i="2" l="1"/>
  <c r="N7" i="2"/>
  <c r="U7" i="2"/>
  <c r="M7" i="2"/>
  <c r="S7" i="2"/>
  <c r="M4" i="7" s="1"/>
  <c r="R7" i="2"/>
  <c r="L4" i="7" s="1"/>
  <c r="E24" i="7"/>
  <c r="L6" i="7"/>
  <c r="M6" i="7"/>
  <c r="M26" i="2"/>
  <c r="M25" i="2" s="1"/>
  <c r="G22" i="7" s="1"/>
  <c r="N26" i="2"/>
  <c r="N25" i="2" s="1"/>
  <c r="H22" i="7" s="1"/>
  <c r="W26" i="2"/>
  <c r="W25" i="2" s="1"/>
  <c r="E25" i="7"/>
  <c r="F25" i="7" s="1"/>
  <c r="O26" i="2"/>
  <c r="I23" i="7" s="1"/>
  <c r="U28" i="2"/>
  <c r="U27" i="2" s="1"/>
  <c r="U26" i="2" s="1"/>
  <c r="U25" i="2" s="1"/>
  <c r="S28" i="2"/>
  <c r="P28" i="2"/>
  <c r="Q32" i="2"/>
  <c r="P32" i="2"/>
  <c r="I32" i="2"/>
  <c r="P10" i="2"/>
  <c r="P34" i="2"/>
  <c r="V34" i="2"/>
  <c r="K21" i="5"/>
  <c r="K20" i="5"/>
  <c r="E6" i="5"/>
  <c r="L6" i="5" s="1"/>
  <c r="E22" i="5"/>
  <c r="D6" i="5"/>
  <c r="D8" i="5"/>
  <c r="D19" i="5"/>
  <c r="D22" i="5"/>
  <c r="D25" i="5"/>
  <c r="D27" i="5"/>
  <c r="D28" i="5"/>
  <c r="E6" i="6"/>
  <c r="N27" i="6"/>
  <c r="M27" i="6"/>
  <c r="L27" i="6"/>
  <c r="K27" i="6"/>
  <c r="I27" i="6"/>
  <c r="H27" i="6"/>
  <c r="G27" i="6"/>
  <c r="F27" i="6"/>
  <c r="E27" i="6"/>
  <c r="D27" i="6"/>
  <c r="N17" i="6"/>
  <c r="M17" i="6"/>
  <c r="L17" i="6"/>
  <c r="I17" i="6"/>
  <c r="H17" i="6"/>
  <c r="G17" i="6"/>
  <c r="N7" i="6"/>
  <c r="M7" i="6"/>
  <c r="L7" i="6"/>
  <c r="H7" i="6"/>
  <c r="G7" i="6"/>
  <c r="N6" i="6"/>
  <c r="N8" i="6"/>
  <c r="N9" i="6"/>
  <c r="N10" i="6"/>
  <c r="N12" i="6"/>
  <c r="N13" i="6"/>
  <c r="N14" i="6"/>
  <c r="N18" i="6"/>
  <c r="N19" i="6"/>
  <c r="N22" i="6"/>
  <c r="N23" i="6"/>
  <c r="N25" i="6"/>
  <c r="N28" i="6"/>
  <c r="M6" i="6"/>
  <c r="M8" i="6"/>
  <c r="M9" i="6"/>
  <c r="M10" i="6"/>
  <c r="M11" i="6"/>
  <c r="M12" i="6"/>
  <c r="M13" i="6"/>
  <c r="M14" i="6"/>
  <c r="M15" i="6"/>
  <c r="M16" i="6"/>
  <c r="M18" i="6"/>
  <c r="M19" i="6"/>
  <c r="M22" i="6"/>
  <c r="M23" i="6"/>
  <c r="M24" i="6"/>
  <c r="M25" i="6"/>
  <c r="L6" i="6"/>
  <c r="L8" i="6"/>
  <c r="L9" i="6"/>
  <c r="L10" i="6"/>
  <c r="L11" i="6"/>
  <c r="L12" i="6"/>
  <c r="L13" i="6"/>
  <c r="L14" i="6"/>
  <c r="L15" i="6"/>
  <c r="L16" i="6"/>
  <c r="L18" i="6"/>
  <c r="L19" i="6"/>
  <c r="L22" i="6"/>
  <c r="L23" i="6"/>
  <c r="L24" i="6"/>
  <c r="L25" i="6"/>
  <c r="L28" i="6"/>
  <c r="K6" i="6"/>
  <c r="K25" i="6"/>
  <c r="K28" i="6"/>
  <c r="J6" i="6"/>
  <c r="J8" i="6"/>
  <c r="J9" i="6"/>
  <c r="J16" i="6"/>
  <c r="J22" i="6"/>
  <c r="J23" i="6"/>
  <c r="J25" i="6"/>
  <c r="J28" i="6"/>
  <c r="I6" i="6"/>
  <c r="I8" i="6"/>
  <c r="I9" i="6"/>
  <c r="I11" i="6"/>
  <c r="I13" i="6"/>
  <c r="I14" i="6"/>
  <c r="I18" i="6"/>
  <c r="I19" i="6"/>
  <c r="I21" i="6"/>
  <c r="I22" i="6"/>
  <c r="I23" i="6"/>
  <c r="I24" i="6"/>
  <c r="I25" i="6"/>
  <c r="I28" i="6"/>
  <c r="H6" i="6"/>
  <c r="H8" i="6"/>
  <c r="H9" i="6"/>
  <c r="H10" i="6"/>
  <c r="H11" i="6"/>
  <c r="H12" i="6"/>
  <c r="H13" i="6"/>
  <c r="H14" i="6"/>
  <c r="H15" i="6"/>
  <c r="H16" i="6"/>
  <c r="H18" i="6"/>
  <c r="H19" i="6"/>
  <c r="H21" i="6"/>
  <c r="H22" i="6"/>
  <c r="H23" i="6"/>
  <c r="H24" i="6"/>
  <c r="H25" i="6"/>
  <c r="H28" i="6"/>
  <c r="G28" i="6"/>
  <c r="G6" i="6"/>
  <c r="G8" i="6"/>
  <c r="G9" i="6"/>
  <c r="G10" i="6"/>
  <c r="G11" i="6"/>
  <c r="G12" i="6"/>
  <c r="G13" i="6"/>
  <c r="G14" i="6"/>
  <c r="G15" i="6"/>
  <c r="G16" i="6"/>
  <c r="G18" i="6"/>
  <c r="G19" i="6"/>
  <c r="G21" i="6"/>
  <c r="G22" i="6"/>
  <c r="G23" i="6"/>
  <c r="G24" i="6"/>
  <c r="G25" i="6"/>
  <c r="F6" i="6"/>
  <c r="F8" i="6"/>
  <c r="F19" i="6"/>
  <c r="F22" i="6"/>
  <c r="F25" i="6"/>
  <c r="F28" i="6"/>
  <c r="E8" i="6"/>
  <c r="E22" i="6"/>
  <c r="E23" i="6"/>
  <c r="E25" i="6"/>
  <c r="E28" i="6"/>
  <c r="D6" i="6"/>
  <c r="D8" i="6"/>
  <c r="D19" i="6"/>
  <c r="D22" i="6"/>
  <c r="D23" i="6"/>
  <c r="D25" i="6"/>
  <c r="D28" i="6"/>
  <c r="C102" i="2"/>
  <c r="K15" i="6"/>
  <c r="E27" i="5" l="1"/>
  <c r="E31" i="8"/>
  <c r="M5" i="6"/>
  <c r="L5" i="6"/>
  <c r="F24" i="7"/>
  <c r="D24" i="8" s="1"/>
  <c r="D25" i="8"/>
  <c r="G20" i="6"/>
  <c r="H20" i="6"/>
  <c r="I20" i="6"/>
  <c r="P27" i="2"/>
  <c r="J24" i="7" s="1"/>
  <c r="J25" i="7"/>
  <c r="S27" i="2"/>
  <c r="M25" i="7"/>
  <c r="J27" i="6"/>
  <c r="J31" i="7"/>
  <c r="P9" i="2"/>
  <c r="J6" i="7" s="1"/>
  <c r="J7" i="7"/>
  <c r="P31" i="2"/>
  <c r="J28" i="7" s="1"/>
  <c r="J29" i="7"/>
  <c r="Q31" i="2"/>
  <c r="K28" i="7" s="1"/>
  <c r="K29" i="7"/>
  <c r="K26" i="2"/>
  <c r="E29" i="7"/>
  <c r="F29" i="7" s="1"/>
  <c r="Q10" i="2"/>
  <c r="K7" i="7" s="1"/>
  <c r="Q11" i="2"/>
  <c r="Q16" i="2"/>
  <c r="Q18" i="2"/>
  <c r="Q12" i="2"/>
  <c r="Q17" i="2"/>
  <c r="Q13" i="2"/>
  <c r="Q14" i="2"/>
  <c r="Q19" i="2"/>
  <c r="K16" i="7" s="1"/>
  <c r="Q22" i="2"/>
  <c r="K20" i="7" s="1"/>
  <c r="Q23" i="2"/>
  <c r="Q24" i="2"/>
  <c r="Q29" i="2"/>
  <c r="Q30" i="2"/>
  <c r="K27" i="7" s="1"/>
  <c r="K24" i="6"/>
  <c r="F28" i="7" l="1"/>
  <c r="D28" i="8" s="1"/>
  <c r="G7" i="8" s="1"/>
  <c r="D29" i="8"/>
  <c r="P26" i="2"/>
  <c r="J20" i="6" s="1"/>
  <c r="S26" i="2"/>
  <c r="M24" i="7"/>
  <c r="K13" i="6"/>
  <c r="K10" i="7"/>
  <c r="K11" i="6"/>
  <c r="K9" i="7"/>
  <c r="K19" i="6"/>
  <c r="K21" i="7"/>
  <c r="K18" i="6"/>
  <c r="K19" i="7"/>
  <c r="E28" i="7"/>
  <c r="K12" i="6"/>
  <c r="K14" i="7"/>
  <c r="K10" i="6"/>
  <c r="K15" i="7"/>
  <c r="K9" i="6"/>
  <c r="K13" i="7"/>
  <c r="K8" i="6"/>
  <c r="K8" i="7"/>
  <c r="K16" i="6"/>
  <c r="K14" i="6"/>
  <c r="K11" i="7"/>
  <c r="K23" i="6"/>
  <c r="K22" i="6"/>
  <c r="K26" i="7"/>
  <c r="K17" i="6"/>
  <c r="Q21" i="2"/>
  <c r="K18" i="7" s="1"/>
  <c r="K7" i="6"/>
  <c r="Q9" i="2"/>
  <c r="K6" i="7" s="1"/>
  <c r="F10" i="4"/>
  <c r="G10" i="4" s="1"/>
  <c r="J23" i="7" l="1"/>
  <c r="S25" i="2"/>
  <c r="M22" i="7" s="1"/>
  <c r="M23" i="7"/>
  <c r="M20" i="6"/>
  <c r="E20" i="6"/>
  <c r="E23" i="7"/>
  <c r="Q8" i="2"/>
  <c r="G9" i="4"/>
  <c r="E6" i="4"/>
  <c r="K5" i="7" l="1"/>
  <c r="Q7" i="2"/>
  <c r="K5" i="6" s="1"/>
  <c r="D7" i="4"/>
  <c r="E7" i="4" s="1"/>
  <c r="E8" i="4" s="1"/>
  <c r="M14" i="4" s="1"/>
  <c r="AZ101" i="2"/>
  <c r="S35" i="2"/>
  <c r="K4" i="7" l="1"/>
  <c r="M28" i="6"/>
  <c r="M32" i="7"/>
  <c r="L16" i="2"/>
  <c r="D9" i="5" s="1"/>
  <c r="K18" i="2"/>
  <c r="E10" i="6" l="1"/>
  <c r="E15" i="7"/>
  <c r="F15" i="7" s="1"/>
  <c r="D15" i="8" s="1"/>
  <c r="V16" i="2"/>
  <c r="F9" i="6"/>
  <c r="BB62" i="2"/>
  <c r="BB63" i="2"/>
  <c r="T12" i="2" s="1"/>
  <c r="N9" i="7" s="1"/>
  <c r="BB64" i="2"/>
  <c r="BB65" i="2"/>
  <c r="BB66" i="2"/>
  <c r="T32" i="2" s="1"/>
  <c r="BB67" i="2"/>
  <c r="BB61" i="2"/>
  <c r="T19" i="2" s="1"/>
  <c r="N16" i="7" s="1"/>
  <c r="BA51" i="2"/>
  <c r="BA47" i="2"/>
  <c r="BL26" i="2"/>
  <c r="BB41" i="2"/>
  <c r="BA41" i="2"/>
  <c r="BD39" i="2"/>
  <c r="BD38" i="2"/>
  <c r="BD37" i="2"/>
  <c r="BD36" i="2"/>
  <c r="BD34" i="2"/>
  <c r="BD25" i="2"/>
  <c r="BD33" i="2"/>
  <c r="BD32" i="2"/>
  <c r="BD30" i="2"/>
  <c r="BD26" i="2"/>
  <c r="BD20" i="2"/>
  <c r="P18" i="2"/>
  <c r="P22" i="2"/>
  <c r="J20" i="7" s="1"/>
  <c r="P24" i="2"/>
  <c r="P23" i="2"/>
  <c r="J15" i="6"/>
  <c r="P14" i="2"/>
  <c r="P13" i="2"/>
  <c r="P17" i="2"/>
  <c r="P12" i="2"/>
  <c r="J9" i="7" s="1"/>
  <c r="J7" i="6"/>
  <c r="J24" i="6"/>
  <c r="J21" i="6"/>
  <c r="R92" i="3"/>
  <c r="C92" i="3"/>
  <c r="B92" i="3"/>
  <c r="R91" i="3"/>
  <c r="C91" i="3"/>
  <c r="B91" i="3"/>
  <c r="R90" i="3"/>
  <c r="C90" i="3"/>
  <c r="B90" i="3"/>
  <c r="R89" i="3"/>
  <c r="C89" i="3"/>
  <c r="B89" i="3"/>
  <c r="R88" i="3"/>
  <c r="C88" i="3"/>
  <c r="B88" i="3"/>
  <c r="R87" i="3"/>
  <c r="C87" i="3"/>
  <c r="B87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W86" i="3"/>
  <c r="V86" i="3"/>
  <c r="U86" i="3"/>
  <c r="T86" i="3"/>
  <c r="S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X85" i="3"/>
  <c r="R85" i="3"/>
  <c r="C85" i="3"/>
  <c r="B85" i="3"/>
  <c r="X84" i="3"/>
  <c r="R84" i="3"/>
  <c r="C84" i="3"/>
  <c r="B84" i="3"/>
  <c r="X83" i="3"/>
  <c r="R83" i="3"/>
  <c r="C83" i="3"/>
  <c r="B83" i="3"/>
  <c r="X82" i="3"/>
  <c r="R82" i="3"/>
  <c r="C82" i="3"/>
  <c r="B82" i="3"/>
  <c r="X81" i="3"/>
  <c r="R81" i="3"/>
  <c r="C81" i="3"/>
  <c r="B81" i="3"/>
  <c r="X80" i="3"/>
  <c r="R80" i="3"/>
  <c r="C80" i="3"/>
  <c r="B80" i="3"/>
  <c r="X79" i="3"/>
  <c r="C79" i="3"/>
  <c r="B79" i="3"/>
  <c r="X78" i="3"/>
  <c r="R78" i="3"/>
  <c r="C78" i="3"/>
  <c r="B78" i="3"/>
  <c r="BF77" i="3"/>
  <c r="BE77" i="3"/>
  <c r="BD77" i="3"/>
  <c r="BC77" i="3"/>
  <c r="BB77" i="3"/>
  <c r="BA77" i="3"/>
  <c r="AZ77" i="3"/>
  <c r="AY77" i="3"/>
  <c r="AX77" i="3"/>
  <c r="AW77" i="3"/>
  <c r="AV77" i="3"/>
  <c r="W77" i="3"/>
  <c r="V77" i="3"/>
  <c r="U77" i="3"/>
  <c r="T77" i="3"/>
  <c r="S77" i="3"/>
  <c r="Q77" i="3"/>
  <c r="F77" i="3"/>
  <c r="E77" i="3"/>
  <c r="D77" i="3"/>
  <c r="C77" i="3"/>
  <c r="X76" i="3"/>
  <c r="R76" i="3"/>
  <c r="C76" i="3"/>
  <c r="B76" i="3"/>
  <c r="X75" i="3"/>
  <c r="R75" i="3"/>
  <c r="C75" i="3"/>
  <c r="B75" i="3"/>
  <c r="X74" i="3"/>
  <c r="R74" i="3"/>
  <c r="C74" i="3"/>
  <c r="B74" i="3"/>
  <c r="X73" i="3"/>
  <c r="R73" i="3"/>
  <c r="C73" i="3"/>
  <c r="B73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W72" i="3"/>
  <c r="V72" i="3"/>
  <c r="U72" i="3"/>
  <c r="T72" i="3"/>
  <c r="S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X71" i="3"/>
  <c r="R71" i="3"/>
  <c r="C71" i="3"/>
  <c r="B71" i="3"/>
  <c r="X70" i="3"/>
  <c r="R70" i="3"/>
  <c r="C70" i="3"/>
  <c r="B70" i="3"/>
  <c r="X69" i="3"/>
  <c r="R69" i="3"/>
  <c r="C69" i="3"/>
  <c r="B69" i="3"/>
  <c r="X68" i="3"/>
  <c r="R68" i="3"/>
  <c r="C68" i="3"/>
  <c r="B68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W67" i="3"/>
  <c r="V67" i="3"/>
  <c r="U67" i="3"/>
  <c r="T67" i="3"/>
  <c r="S67" i="3"/>
  <c r="Q67" i="3"/>
  <c r="N67" i="3"/>
  <c r="M67" i="3"/>
  <c r="L67" i="3"/>
  <c r="K67" i="3"/>
  <c r="J67" i="3"/>
  <c r="I67" i="3"/>
  <c r="H67" i="3"/>
  <c r="G67" i="3"/>
  <c r="F67" i="3"/>
  <c r="E67" i="3"/>
  <c r="D67" i="3"/>
  <c r="X66" i="3"/>
  <c r="R66" i="3"/>
  <c r="C66" i="3"/>
  <c r="B66" i="3"/>
  <c r="X65" i="3"/>
  <c r="R65" i="3"/>
  <c r="C65" i="3"/>
  <c r="B65" i="3"/>
  <c r="X64" i="3"/>
  <c r="R64" i="3"/>
  <c r="C64" i="3"/>
  <c r="B64" i="3"/>
  <c r="X63" i="3"/>
  <c r="R63" i="3"/>
  <c r="C63" i="3"/>
  <c r="B63" i="3"/>
  <c r="X62" i="3"/>
  <c r="R62" i="3"/>
  <c r="C62" i="3"/>
  <c r="B62" i="3"/>
  <c r="X61" i="3"/>
  <c r="R61" i="3"/>
  <c r="C61" i="3"/>
  <c r="B61" i="3"/>
  <c r="X60" i="3"/>
  <c r="R60" i="3"/>
  <c r="C60" i="3"/>
  <c r="B60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W59" i="3"/>
  <c r="V59" i="3"/>
  <c r="U59" i="3"/>
  <c r="T59" i="3"/>
  <c r="S59" i="3"/>
  <c r="Q59" i="3"/>
  <c r="N59" i="3"/>
  <c r="M59" i="3"/>
  <c r="L59" i="3"/>
  <c r="K59" i="3"/>
  <c r="J59" i="3"/>
  <c r="I59" i="3"/>
  <c r="H59" i="3"/>
  <c r="G59" i="3"/>
  <c r="F59" i="3"/>
  <c r="E59" i="3"/>
  <c r="D59" i="3"/>
  <c r="X58" i="3"/>
  <c r="R58" i="3"/>
  <c r="C58" i="3"/>
  <c r="B58" i="3"/>
  <c r="X57" i="3"/>
  <c r="R57" i="3"/>
  <c r="C57" i="3"/>
  <c r="B57" i="3"/>
  <c r="X56" i="3"/>
  <c r="R56" i="3"/>
  <c r="C56" i="3"/>
  <c r="B56" i="3"/>
  <c r="X55" i="3"/>
  <c r="R55" i="3"/>
  <c r="C55" i="3"/>
  <c r="B55" i="3"/>
  <c r="X54" i="3"/>
  <c r="R54" i="3"/>
  <c r="C54" i="3"/>
  <c r="B54" i="3"/>
  <c r="X53" i="3"/>
  <c r="R53" i="3"/>
  <c r="C53" i="3"/>
  <c r="B53" i="3"/>
  <c r="X52" i="3"/>
  <c r="R52" i="3"/>
  <c r="C52" i="3"/>
  <c r="B52" i="3"/>
  <c r="X51" i="3"/>
  <c r="R51" i="3"/>
  <c r="C51" i="3"/>
  <c r="B51" i="3"/>
  <c r="X50" i="3"/>
  <c r="R50" i="3"/>
  <c r="C50" i="3"/>
  <c r="B50" i="3"/>
  <c r="X49" i="3"/>
  <c r="R49" i="3"/>
  <c r="C49" i="3"/>
  <c r="B49" i="3"/>
  <c r="X48" i="3"/>
  <c r="R48" i="3"/>
  <c r="C48" i="3"/>
  <c r="B48" i="3"/>
  <c r="X47" i="3"/>
  <c r="R47" i="3"/>
  <c r="C47" i="3"/>
  <c r="B47" i="3"/>
  <c r="X46" i="3"/>
  <c r="R46" i="3"/>
  <c r="C46" i="3"/>
  <c r="B46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W45" i="3"/>
  <c r="V45" i="3"/>
  <c r="U45" i="3"/>
  <c r="T45" i="3"/>
  <c r="S45" i="3"/>
  <c r="Q45" i="3"/>
  <c r="P45" i="3"/>
  <c r="P44" i="3" s="1"/>
  <c r="N45" i="3"/>
  <c r="M45" i="3"/>
  <c r="L45" i="3"/>
  <c r="K45" i="3"/>
  <c r="J45" i="3"/>
  <c r="I45" i="3"/>
  <c r="H45" i="3"/>
  <c r="G45" i="3"/>
  <c r="F45" i="3"/>
  <c r="E45" i="3"/>
  <c r="D45" i="3"/>
  <c r="X43" i="3"/>
  <c r="R43" i="3"/>
  <c r="C43" i="3"/>
  <c r="B43" i="3"/>
  <c r="X42" i="3"/>
  <c r="R42" i="3"/>
  <c r="C42" i="3"/>
  <c r="B42" i="3"/>
  <c r="X41" i="3"/>
  <c r="R41" i="3"/>
  <c r="C41" i="3"/>
  <c r="B41" i="3"/>
  <c r="X40" i="3"/>
  <c r="R40" i="3"/>
  <c r="C40" i="3"/>
  <c r="B40" i="3"/>
  <c r="X39" i="3"/>
  <c r="R39" i="3"/>
  <c r="C39" i="3"/>
  <c r="B39" i="3"/>
  <c r="X38" i="3"/>
  <c r="R38" i="3"/>
  <c r="C38" i="3"/>
  <c r="B38" i="3"/>
  <c r="X37" i="3"/>
  <c r="R37" i="3"/>
  <c r="C37" i="3"/>
  <c r="B37" i="3"/>
  <c r="X36" i="3"/>
  <c r="R36" i="3"/>
  <c r="C36" i="3"/>
  <c r="B36" i="3"/>
  <c r="X35" i="3"/>
  <c r="R35" i="3"/>
  <c r="C35" i="3"/>
  <c r="B35" i="3"/>
  <c r="X34" i="3"/>
  <c r="R34" i="3"/>
  <c r="C34" i="3"/>
  <c r="B34" i="3"/>
  <c r="X33" i="3"/>
  <c r="R33" i="3"/>
  <c r="C33" i="3"/>
  <c r="B33" i="3"/>
  <c r="X32" i="3"/>
  <c r="R32" i="3"/>
  <c r="C32" i="3"/>
  <c r="B32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W31" i="3"/>
  <c r="V31" i="3"/>
  <c r="U31" i="3"/>
  <c r="T31" i="3"/>
  <c r="S31" i="3"/>
  <c r="Q31" i="3"/>
  <c r="N31" i="3"/>
  <c r="M31" i="3"/>
  <c r="L31" i="3"/>
  <c r="K31" i="3"/>
  <c r="J31" i="3"/>
  <c r="I31" i="3"/>
  <c r="H31" i="3"/>
  <c r="G31" i="3"/>
  <c r="F31" i="3"/>
  <c r="E31" i="3"/>
  <c r="D31" i="3"/>
  <c r="X30" i="3"/>
  <c r="C30" i="3"/>
  <c r="B30" i="3"/>
  <c r="X29" i="3"/>
  <c r="R29" i="3"/>
  <c r="C29" i="3"/>
  <c r="B29" i="3"/>
  <c r="X28" i="3"/>
  <c r="R28" i="3"/>
  <c r="C28" i="3"/>
  <c r="B28" i="3"/>
  <c r="X27" i="3"/>
  <c r="R27" i="3"/>
  <c r="C27" i="3"/>
  <c r="B27" i="3"/>
  <c r="X26" i="3"/>
  <c r="R26" i="3"/>
  <c r="C26" i="3"/>
  <c r="B26" i="3"/>
  <c r="X25" i="3"/>
  <c r="R25" i="3"/>
  <c r="C25" i="3"/>
  <c r="B25" i="3"/>
  <c r="X24" i="3"/>
  <c r="R24" i="3"/>
  <c r="C24" i="3"/>
  <c r="B24" i="3"/>
  <c r="X23" i="3"/>
  <c r="R23" i="3"/>
  <c r="C23" i="3"/>
  <c r="B23" i="3"/>
  <c r="X22" i="3"/>
  <c r="R22" i="3"/>
  <c r="C22" i="3"/>
  <c r="B22" i="3"/>
  <c r="X21" i="3"/>
  <c r="R21" i="3"/>
  <c r="C21" i="3"/>
  <c r="B21" i="3"/>
  <c r="X20" i="3"/>
  <c r="R20" i="3"/>
  <c r="C20" i="3"/>
  <c r="B20" i="3"/>
  <c r="X19" i="3"/>
  <c r="R19" i="3"/>
  <c r="C19" i="3"/>
  <c r="B19" i="3"/>
  <c r="X18" i="3"/>
  <c r="R18" i="3"/>
  <c r="C18" i="3"/>
  <c r="B18" i="3"/>
  <c r="X17" i="3"/>
  <c r="R17" i="3"/>
  <c r="C17" i="3"/>
  <c r="B17" i="3"/>
  <c r="X16" i="3"/>
  <c r="R16" i="3"/>
  <c r="C16" i="3"/>
  <c r="B16" i="3"/>
  <c r="X15" i="3"/>
  <c r="C15" i="3"/>
  <c r="B15" i="3"/>
  <c r="X14" i="3"/>
  <c r="R14" i="3"/>
  <c r="C14" i="3"/>
  <c r="B14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W13" i="3"/>
  <c r="V13" i="3"/>
  <c r="U13" i="3"/>
  <c r="T13" i="3"/>
  <c r="S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X11" i="3"/>
  <c r="C11" i="3"/>
  <c r="B11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W10" i="3"/>
  <c r="V10" i="3"/>
  <c r="U10" i="3"/>
  <c r="T10" i="3"/>
  <c r="S10" i="3"/>
  <c r="Q10" i="3"/>
  <c r="P10" i="3"/>
  <c r="N10" i="3"/>
  <c r="M10" i="3"/>
  <c r="L10" i="3"/>
  <c r="K10" i="3"/>
  <c r="J10" i="3"/>
  <c r="I10" i="3"/>
  <c r="H10" i="3"/>
  <c r="G10" i="3"/>
  <c r="F10" i="3"/>
  <c r="E10" i="3"/>
  <c r="D10" i="3"/>
  <c r="X9" i="3"/>
  <c r="R9" i="3"/>
  <c r="C9" i="3"/>
  <c r="B9" i="3"/>
  <c r="X8" i="3"/>
  <c r="R8" i="3"/>
  <c r="C8" i="3"/>
  <c r="B8" i="3"/>
  <c r="X7" i="3"/>
  <c r="R7" i="3"/>
  <c r="C7" i="3"/>
  <c r="B7" i="3"/>
  <c r="X6" i="3"/>
  <c r="R6" i="3"/>
  <c r="C6" i="3"/>
  <c r="B6" i="3"/>
  <c r="X5" i="3"/>
  <c r="R5" i="3"/>
  <c r="C5" i="3"/>
  <c r="B5" i="3"/>
  <c r="X4" i="3"/>
  <c r="C4" i="3"/>
  <c r="B4" i="3"/>
  <c r="E9" i="5" l="1"/>
  <c r="L9" i="5" s="1"/>
  <c r="E13" i="8"/>
  <c r="J12" i="6"/>
  <c r="J14" i="7"/>
  <c r="N16" i="6"/>
  <c r="J13" i="6"/>
  <c r="J10" i="7"/>
  <c r="J14" i="6"/>
  <c r="J11" i="7"/>
  <c r="T31" i="2"/>
  <c r="N28" i="7" s="1"/>
  <c r="N29" i="7"/>
  <c r="J18" i="6"/>
  <c r="J19" i="7"/>
  <c r="J19" i="6"/>
  <c r="J21" i="7"/>
  <c r="J10" i="6"/>
  <c r="J15" i="7"/>
  <c r="J17" i="6"/>
  <c r="P21" i="2"/>
  <c r="J11" i="6"/>
  <c r="P8" i="2"/>
  <c r="N11" i="6"/>
  <c r="T20" i="2"/>
  <c r="BA49" i="2"/>
  <c r="R28" i="2"/>
  <c r="L25" i="7" s="1"/>
  <c r="N24" i="6"/>
  <c r="T28" i="2"/>
  <c r="N25" i="7" s="1"/>
  <c r="AI44" i="3"/>
  <c r="AI12" i="3" s="1"/>
  <c r="V44" i="3"/>
  <c r="V12" i="3" s="1"/>
  <c r="R59" i="3"/>
  <c r="B86" i="3"/>
  <c r="J44" i="3"/>
  <c r="J12" i="3" s="1"/>
  <c r="C72" i="3"/>
  <c r="C86" i="3"/>
  <c r="W44" i="3"/>
  <c r="W12" i="3" s="1"/>
  <c r="AJ44" i="3"/>
  <c r="AJ12" i="3" s="1"/>
  <c r="AV44" i="3"/>
  <c r="AV12" i="3" s="1"/>
  <c r="AW44" i="3"/>
  <c r="AW12" i="3" s="1"/>
  <c r="AK44" i="3"/>
  <c r="AK12" i="3" s="1"/>
  <c r="C10" i="3"/>
  <c r="Y44" i="3"/>
  <c r="Y12" i="3" s="1"/>
  <c r="L44" i="3"/>
  <c r="L12" i="3" s="1"/>
  <c r="AA44" i="3"/>
  <c r="AA12" i="3" s="1"/>
  <c r="AM44" i="3"/>
  <c r="AM12" i="3" s="1"/>
  <c r="AY44" i="3"/>
  <c r="AY12" i="3" s="1"/>
  <c r="X67" i="3"/>
  <c r="AB44" i="3"/>
  <c r="AB12" i="3" s="1"/>
  <c r="AZ44" i="3"/>
  <c r="AZ12" i="3" s="1"/>
  <c r="R86" i="3"/>
  <c r="R67" i="3"/>
  <c r="M44" i="3"/>
  <c r="M12" i="3" s="1"/>
  <c r="AC44" i="3"/>
  <c r="AC12" i="3" s="1"/>
  <c r="BA44" i="3"/>
  <c r="BA12" i="3" s="1"/>
  <c r="AD44" i="3"/>
  <c r="AD12" i="3" s="1"/>
  <c r="AP44" i="3"/>
  <c r="AP12" i="3" s="1"/>
  <c r="BB44" i="3"/>
  <c r="BB12" i="3" s="1"/>
  <c r="D44" i="3"/>
  <c r="D12" i="3" s="1"/>
  <c r="C59" i="3"/>
  <c r="Z44" i="3"/>
  <c r="Z12" i="3" s="1"/>
  <c r="AL44" i="3"/>
  <c r="AL12" i="3" s="1"/>
  <c r="AX44" i="3"/>
  <c r="AX12" i="3" s="1"/>
  <c r="G44" i="3"/>
  <c r="G12" i="3" s="1"/>
  <c r="AU44" i="3"/>
  <c r="AU12" i="3" s="1"/>
  <c r="B67" i="3"/>
  <c r="X31" i="3"/>
  <c r="X13" i="3"/>
  <c r="R77" i="3"/>
  <c r="X86" i="3"/>
  <c r="B59" i="3"/>
  <c r="AN44" i="3"/>
  <c r="AN12" i="3" s="1"/>
  <c r="N44" i="3"/>
  <c r="N12" i="3" s="1"/>
  <c r="AO44" i="3"/>
  <c r="AO12" i="3" s="1"/>
  <c r="R45" i="3"/>
  <c r="AG44" i="3"/>
  <c r="AG12" i="3" s="1"/>
  <c r="AS44" i="3"/>
  <c r="AS12" i="3" s="1"/>
  <c r="BE44" i="3"/>
  <c r="BE12" i="3" s="1"/>
  <c r="R72" i="3"/>
  <c r="B77" i="3"/>
  <c r="B13" i="3"/>
  <c r="F44" i="3"/>
  <c r="F12" i="3" s="1"/>
  <c r="T44" i="3"/>
  <c r="T12" i="3" s="1"/>
  <c r="X59" i="3"/>
  <c r="C13" i="3"/>
  <c r="C45" i="3"/>
  <c r="B10" i="3"/>
  <c r="R31" i="3"/>
  <c r="X45" i="3"/>
  <c r="R10" i="3"/>
  <c r="K44" i="3"/>
  <c r="K12" i="3" s="1"/>
  <c r="X72" i="3"/>
  <c r="R13" i="3"/>
  <c r="C67" i="3"/>
  <c r="I44" i="3"/>
  <c r="I12" i="3" s="1"/>
  <c r="U44" i="3"/>
  <c r="U12" i="3" s="1"/>
  <c r="AH44" i="3"/>
  <c r="AH12" i="3" s="1"/>
  <c r="AT44" i="3"/>
  <c r="AT12" i="3" s="1"/>
  <c r="BF44" i="3"/>
  <c r="BF12" i="3" s="1"/>
  <c r="X10" i="3"/>
  <c r="Q44" i="3"/>
  <c r="Q12" i="3" s="1"/>
  <c r="AE44" i="3"/>
  <c r="AE12" i="3" s="1"/>
  <c r="AQ44" i="3"/>
  <c r="AQ12" i="3" s="1"/>
  <c r="BC44" i="3"/>
  <c r="BC12" i="3" s="1"/>
  <c r="B31" i="3"/>
  <c r="E44" i="3"/>
  <c r="E12" i="3" s="1"/>
  <c r="S44" i="3"/>
  <c r="S12" i="3" s="1"/>
  <c r="AF44" i="3"/>
  <c r="AF12" i="3" s="1"/>
  <c r="AR44" i="3"/>
  <c r="AR12" i="3" s="1"/>
  <c r="BD44" i="3"/>
  <c r="BD12" i="3" s="1"/>
  <c r="B72" i="3"/>
  <c r="BC41" i="2"/>
  <c r="BD41" i="2" s="1"/>
  <c r="C31" i="3"/>
  <c r="H44" i="3"/>
  <c r="H12" i="3" s="1"/>
  <c r="B45" i="3"/>
  <c r="P7" i="2" l="1"/>
  <c r="N15" i="6"/>
  <c r="N17" i="7"/>
  <c r="P25" i="2"/>
  <c r="J22" i="7" s="1"/>
  <c r="J5" i="7"/>
  <c r="J18" i="7"/>
  <c r="N21" i="6"/>
  <c r="T27" i="2"/>
  <c r="L21" i="6"/>
  <c r="R27" i="2"/>
  <c r="T8" i="2"/>
  <c r="R44" i="3"/>
  <c r="R12" i="3" s="1"/>
  <c r="C44" i="3"/>
  <c r="X44" i="3"/>
  <c r="X12" i="3"/>
  <c r="C12" i="3"/>
  <c r="B44" i="3"/>
  <c r="B12" i="3"/>
  <c r="N5" i="7" l="1"/>
  <c r="T7" i="2"/>
  <c r="J26" i="6"/>
  <c r="J5" i="6"/>
  <c r="J4" i="7"/>
  <c r="R26" i="2"/>
  <c r="L23" i="7" s="1"/>
  <c r="L24" i="7"/>
  <c r="T26" i="2"/>
  <c r="N23" i="7" s="1"/>
  <c r="N24" i="7"/>
  <c r="V11" i="2"/>
  <c r="D23" i="5"/>
  <c r="E15" i="6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0" i="2"/>
  <c r="C79" i="2"/>
  <c r="C78" i="2"/>
  <c r="C77" i="2"/>
  <c r="H26" i="6"/>
  <c r="G26" i="6"/>
  <c r="V33" i="2"/>
  <c r="K24" i="2"/>
  <c r="K23" i="2"/>
  <c r="E19" i="7" s="1"/>
  <c r="F19" i="7" s="1"/>
  <c r="D19" i="8" s="1"/>
  <c r="I23" i="2"/>
  <c r="K22" i="2"/>
  <c r="E20" i="7" s="1"/>
  <c r="F20" i="7" s="1"/>
  <c r="D20" i="8" s="1"/>
  <c r="I22" i="2"/>
  <c r="O19" i="2"/>
  <c r="I16" i="7" s="1"/>
  <c r="K19" i="2"/>
  <c r="E16" i="7" s="1"/>
  <c r="I19" i="2"/>
  <c r="I15" i="6"/>
  <c r="K14" i="2"/>
  <c r="E11" i="7" s="1"/>
  <c r="F11" i="7" s="1"/>
  <c r="D11" i="8" s="1"/>
  <c r="I14" i="2"/>
  <c r="K13" i="2"/>
  <c r="E10" i="7" s="1"/>
  <c r="F10" i="7" s="1"/>
  <c r="D10" i="8" s="1"/>
  <c r="I13" i="2"/>
  <c r="O17" i="2"/>
  <c r="K17" i="2"/>
  <c r="E14" i="7" s="1"/>
  <c r="F14" i="7" s="1"/>
  <c r="D14" i="8" s="1"/>
  <c r="I17" i="2"/>
  <c r="K12" i="2"/>
  <c r="E9" i="7" s="1"/>
  <c r="F9" i="7" s="1"/>
  <c r="D9" i="8" s="1"/>
  <c r="I12" i="2"/>
  <c r="O18" i="2"/>
  <c r="L18" i="2"/>
  <c r="D10" i="5" s="1"/>
  <c r="I18" i="2"/>
  <c r="K16" i="2"/>
  <c r="I16" i="2"/>
  <c r="O10" i="2"/>
  <c r="I7" i="7" s="1"/>
  <c r="K10" i="2"/>
  <c r="I10" i="2"/>
  <c r="H5" i="6"/>
  <c r="G5" i="6"/>
  <c r="G7" i="2"/>
  <c r="F7" i="2"/>
  <c r="E8" i="5" l="1"/>
  <c r="L8" i="5" s="1"/>
  <c r="E8" i="8"/>
  <c r="E19" i="5"/>
  <c r="L19" i="5" s="1"/>
  <c r="E21" i="8"/>
  <c r="E25" i="5"/>
  <c r="E30" i="8"/>
  <c r="N4" i="7"/>
  <c r="N5" i="6"/>
  <c r="F18" i="7"/>
  <c r="D18" i="8" s="1"/>
  <c r="N20" i="6"/>
  <c r="T25" i="2"/>
  <c r="N22" i="7" s="1"/>
  <c r="R25" i="2"/>
  <c r="L22" i="7" s="1"/>
  <c r="L20" i="6"/>
  <c r="E9" i="6"/>
  <c r="E13" i="7"/>
  <c r="I10" i="6"/>
  <c r="I15" i="7"/>
  <c r="E16" i="6"/>
  <c r="I16" i="6"/>
  <c r="I12" i="6"/>
  <c r="I14" i="7"/>
  <c r="K9" i="2"/>
  <c r="E6" i="7" s="1"/>
  <c r="E7" i="7"/>
  <c r="F7" i="7" s="1"/>
  <c r="E19" i="6"/>
  <c r="E21" i="7"/>
  <c r="E17" i="6"/>
  <c r="K21" i="2"/>
  <c r="E20" i="2"/>
  <c r="H20" i="2" s="1"/>
  <c r="I7" i="6"/>
  <c r="O9" i="2"/>
  <c r="I6" i="7" s="1"/>
  <c r="E7" i="6"/>
  <c r="E28" i="2"/>
  <c r="H28" i="2" s="1"/>
  <c r="H27" i="2" s="1"/>
  <c r="E32" i="2"/>
  <c r="J32" i="2" s="1"/>
  <c r="J31" i="2" s="1"/>
  <c r="L22" i="2"/>
  <c r="L10" i="2"/>
  <c r="L9" i="2" s="1"/>
  <c r="L23" i="2"/>
  <c r="D18" i="5" s="1"/>
  <c r="E18" i="6"/>
  <c r="L28" i="2"/>
  <c r="L27" i="2" s="1"/>
  <c r="E21" i="6"/>
  <c r="L14" i="2"/>
  <c r="D14" i="5" s="1"/>
  <c r="E14" i="6"/>
  <c r="V18" i="2"/>
  <c r="F10" i="6"/>
  <c r="L32" i="2"/>
  <c r="L31" i="2" s="1"/>
  <c r="E24" i="6"/>
  <c r="L17" i="2"/>
  <c r="D12" i="5" s="1"/>
  <c r="E12" i="6"/>
  <c r="L13" i="2"/>
  <c r="D13" i="5" s="1"/>
  <c r="E13" i="6"/>
  <c r="M26" i="6"/>
  <c r="M21" i="6"/>
  <c r="L12" i="2"/>
  <c r="D11" i="5" s="1"/>
  <c r="E11" i="6"/>
  <c r="V30" i="2"/>
  <c r="F23" i="6"/>
  <c r="E19" i="2"/>
  <c r="H19" i="2" s="1"/>
  <c r="F28" i="2"/>
  <c r="I28" i="2" s="1"/>
  <c r="E23" i="2"/>
  <c r="J23" i="2" s="1"/>
  <c r="U35" i="2"/>
  <c r="E17" i="2"/>
  <c r="H17" i="2" s="1"/>
  <c r="E15" i="2"/>
  <c r="I7" i="2"/>
  <c r="E10" i="2"/>
  <c r="E16" i="2"/>
  <c r="H16" i="2" s="1"/>
  <c r="E18" i="2"/>
  <c r="J18" i="2" s="1"/>
  <c r="E13" i="2"/>
  <c r="H13" i="2" s="1"/>
  <c r="E14" i="2"/>
  <c r="H14" i="2" s="1"/>
  <c r="E22" i="2"/>
  <c r="H22" i="2" s="1"/>
  <c r="E12" i="2"/>
  <c r="J12" i="2" s="1"/>
  <c r="E23" i="5" l="1"/>
  <c r="E27" i="8"/>
  <c r="E10" i="5"/>
  <c r="L10" i="5" s="1"/>
  <c r="E15" i="8"/>
  <c r="F6" i="7"/>
  <c r="D6" i="8" s="1"/>
  <c r="D7" i="8"/>
  <c r="N26" i="6"/>
  <c r="E7" i="2"/>
  <c r="L26" i="6"/>
  <c r="D11" i="6"/>
  <c r="D9" i="7"/>
  <c r="K8" i="2"/>
  <c r="D10" i="6"/>
  <c r="D15" i="7"/>
  <c r="E18" i="7"/>
  <c r="D18" i="6"/>
  <c r="D19" i="7"/>
  <c r="L21" i="2"/>
  <c r="O8" i="2"/>
  <c r="O7" i="2" s="1"/>
  <c r="V32" i="2"/>
  <c r="L26" i="2"/>
  <c r="J20" i="2"/>
  <c r="J10" i="2"/>
  <c r="J28" i="2"/>
  <c r="D25" i="7" s="1"/>
  <c r="D29" i="7"/>
  <c r="H32" i="2"/>
  <c r="H31" i="2" s="1"/>
  <c r="H26" i="2" s="1"/>
  <c r="D24" i="5"/>
  <c r="F17" i="6"/>
  <c r="D17" i="5"/>
  <c r="F21" i="6"/>
  <c r="D21" i="5"/>
  <c r="F7" i="6"/>
  <c r="D7" i="5"/>
  <c r="V10" i="2"/>
  <c r="E7" i="8" s="1"/>
  <c r="V12" i="2"/>
  <c r="F11" i="6"/>
  <c r="V14" i="2"/>
  <c r="F14" i="6"/>
  <c r="V13" i="2"/>
  <c r="F13" i="6"/>
  <c r="V23" i="2"/>
  <c r="E20" i="8" s="1"/>
  <c r="F18" i="6"/>
  <c r="V17" i="2"/>
  <c r="F12" i="6"/>
  <c r="F24" i="6"/>
  <c r="V22" i="2"/>
  <c r="E19" i="8" s="1"/>
  <c r="V28" i="2"/>
  <c r="E25" i="8" s="1"/>
  <c r="Q28" i="2"/>
  <c r="H23" i="2"/>
  <c r="H21" i="2" s="1"/>
  <c r="J16" i="2"/>
  <c r="J17" i="2"/>
  <c r="J14" i="2"/>
  <c r="H18" i="2"/>
  <c r="J13" i="2"/>
  <c r="H10" i="2"/>
  <c r="J19" i="2"/>
  <c r="H12" i="2"/>
  <c r="J22" i="2"/>
  <c r="D20" i="7" s="1"/>
  <c r="D7" i="7" l="1"/>
  <c r="J9" i="2"/>
  <c r="V31" i="2"/>
  <c r="E28" i="8" s="1"/>
  <c r="F28" i="8" s="1"/>
  <c r="E29" i="8"/>
  <c r="E18" i="5"/>
  <c r="L18" i="5" s="1"/>
  <c r="E11" i="5"/>
  <c r="L11" i="5" s="1"/>
  <c r="E9" i="8"/>
  <c r="E12" i="5"/>
  <c r="L12" i="5" s="1"/>
  <c r="E14" i="8"/>
  <c r="E13" i="5"/>
  <c r="L13" i="5" s="1"/>
  <c r="E10" i="8"/>
  <c r="E14" i="5"/>
  <c r="L14" i="5" s="1"/>
  <c r="E11" i="8"/>
  <c r="K7" i="2"/>
  <c r="E4" i="7" s="1"/>
  <c r="K25" i="2"/>
  <c r="E22" i="7" s="1"/>
  <c r="H9" i="2"/>
  <c r="H8" i="2" s="1"/>
  <c r="H25" i="2" s="1"/>
  <c r="H7" i="2"/>
  <c r="I4" i="7"/>
  <c r="I5" i="6"/>
  <c r="D16" i="7"/>
  <c r="F16" i="7" s="1"/>
  <c r="D16" i="8" s="1"/>
  <c r="D14" i="6"/>
  <c r="D11" i="7"/>
  <c r="O25" i="2"/>
  <c r="I22" i="7" s="1"/>
  <c r="I5" i="7"/>
  <c r="D12" i="6"/>
  <c r="D14" i="7"/>
  <c r="E5" i="7"/>
  <c r="D9" i="6"/>
  <c r="D13" i="7"/>
  <c r="L20" i="2"/>
  <c r="V20" i="2" s="1"/>
  <c r="D17" i="7"/>
  <c r="F17" i="7" s="1"/>
  <c r="D17" i="8" s="1"/>
  <c r="Q27" i="2"/>
  <c r="K25" i="7"/>
  <c r="D13" i="6"/>
  <c r="D10" i="7"/>
  <c r="E24" i="5"/>
  <c r="L21" i="5" s="1"/>
  <c r="D24" i="6"/>
  <c r="D28" i="7"/>
  <c r="E21" i="5"/>
  <c r="L20" i="5" s="1"/>
  <c r="V27" i="2"/>
  <c r="D17" i="6"/>
  <c r="J21" i="2"/>
  <c r="E17" i="5"/>
  <c r="L17" i="5" s="1"/>
  <c r="V21" i="2"/>
  <c r="E18" i="8" s="1"/>
  <c r="D21" i="6"/>
  <c r="J27" i="2"/>
  <c r="D24" i="7" s="1"/>
  <c r="D20" i="5"/>
  <c r="F20" i="6"/>
  <c r="D15" i="6"/>
  <c r="E7" i="5"/>
  <c r="L7" i="5" s="1"/>
  <c r="V9" i="2"/>
  <c r="E6" i="8" s="1"/>
  <c r="D7" i="6"/>
  <c r="K21" i="6"/>
  <c r="L19" i="2"/>
  <c r="D16" i="6"/>
  <c r="V26" i="2" l="1"/>
  <c r="D6" i="7"/>
  <c r="J8" i="2"/>
  <c r="J7" i="2" s="1"/>
  <c r="D4" i="7" s="1"/>
  <c r="E15" i="5"/>
  <c r="L15" i="5" s="1"/>
  <c r="E17" i="8"/>
  <c r="E24" i="8"/>
  <c r="F24" i="8" s="1"/>
  <c r="E5" i="6"/>
  <c r="F5" i="7"/>
  <c r="D5" i="8" s="1"/>
  <c r="D15" i="5"/>
  <c r="D18" i="7"/>
  <c r="I26" i="6"/>
  <c r="F15" i="6"/>
  <c r="Q26" i="2"/>
  <c r="K24" i="7"/>
  <c r="E26" i="6"/>
  <c r="J26" i="2"/>
  <c r="L8" i="2"/>
  <c r="L25" i="2" s="1"/>
  <c r="D16" i="5"/>
  <c r="V19" i="2"/>
  <c r="F16" i="6"/>
  <c r="V8" i="2" l="1"/>
  <c r="E16" i="8"/>
  <c r="F31" i="8" s="1"/>
  <c r="E20" i="5"/>
  <c r="E23" i="8"/>
  <c r="F22" i="7"/>
  <c r="D22" i="8" s="1"/>
  <c r="L7" i="2"/>
  <c r="F5" i="6" s="1"/>
  <c r="D5" i="7"/>
  <c r="D22" i="7"/>
  <c r="D20" i="6"/>
  <c r="D23" i="7"/>
  <c r="K23" i="7"/>
  <c r="K20" i="6"/>
  <c r="Q25" i="2"/>
  <c r="K22" i="7" s="1"/>
  <c r="D5" i="6"/>
  <c r="J25" i="2"/>
  <c r="E16" i="5"/>
  <c r="E5" i="8" l="1"/>
  <c r="V7" i="2"/>
  <c r="E4" i="8" s="1"/>
  <c r="V25" i="2"/>
  <c r="E26" i="5" s="1"/>
  <c r="I6" i="5" s="1"/>
  <c r="D26" i="5"/>
  <c r="F26" i="6"/>
  <c r="D5" i="5"/>
  <c r="D26" i="6"/>
  <c r="K26" i="6"/>
  <c r="F5" i="5"/>
  <c r="F26" i="5" s="1"/>
  <c r="L16" i="5"/>
  <c r="L22" i="5" s="1"/>
  <c r="E22" i="8" l="1"/>
  <c r="E5" i="5"/>
  <c r="V35" i="2"/>
  <c r="E32" i="8" s="1"/>
  <c r="H23" i="7"/>
  <c r="F23" i="7"/>
  <c r="D23" i="8" s="1"/>
  <c r="G5" i="8" s="1"/>
  <c r="G23" i="7"/>
  <c r="G4" i="7"/>
  <c r="F4" i="7"/>
  <c r="D4" i="8" s="1"/>
  <c r="H4" i="7"/>
  <c r="E28" i="5" l="1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tc={EEC41876-6A01-40AD-9F60-84D0E17163A5}</author>
    <author>tc={9E655B5C-DF83-48D3-816B-5275DF1D964D}</author>
    <author>tc={858DA16C-3ADB-4F68-90DA-5A2967C70D0C}</author>
    <author>tc={F41A2D37-BD0B-4B72-AAE0-1F0212CAC2E0}</author>
    <author>tc={120523CA-DAB0-4AF3-AD06-88C2982E49D5}</author>
    <author>tc={870C75DA-4809-4417-90DE-126B760DEBBC}</author>
    <author>tc={77741800-7564-4677-A600-740AFA505CE7}</author>
    <author>tc={243855F1-5A00-4946-94C1-ED36455EE8C7}</author>
    <author>tc={83837D7F-E120-4021-8E4B-7AD01A838030}</author>
    <author>tc={76AE6714-B14F-4E52-8CF8-621A85EBFB2D}</author>
    <author>tc={3C47DB2C-6B40-47E7-B874-003859571491}</author>
    <author>tc={A4EC4103-5B05-47EF-9C32-3476F4E0CB09}</author>
    <author>tc={4524F4B7-A607-46A8-AD57-6D5DDEDA7B98}</author>
    <author>tc={8E4A6CF8-3676-4A55-B9F0-E0BF79F54B3A}</author>
    <author>tc={CAEEDA11-E7A2-4A16-84E1-1AE269612CCD}</author>
    <author>IdeaPadL340</author>
    <author/>
  </authors>
  <commentList>
    <comment ref="E6" authorId="0" shapeId="0" xr:uid="{EEC41876-6A01-40AD-9F60-84D0E1716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Including Trade and Transport Margins</t>
        </r>
      </text>
    </comment>
    <comment ref="T12" authorId="1" shapeId="0" xr:uid="{9E655B5C-DF83-48D3-816B-5275DF1D964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iron and steel + ferroalloys</t>
        </r>
      </text>
    </comment>
    <comment ref="E16" authorId="2" shapeId="0" xr:uid="{858DA16C-3ADB-4F68-90DA-5A2967C70D0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would include PGM</t>
        </r>
      </text>
    </comment>
    <comment ref="L16" authorId="3" shapeId="0" xr:uid="{F41A2D37-BD0B-4B72-AAE0-1F0212CAC2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table 69 from SAMI (col AP in this sheet) and XMP 2012 and 2013 and XMP2017.</t>
        </r>
      </text>
    </comment>
    <comment ref="O18" authorId="4" shapeId="0" xr:uid="{120523CA-DAB0-4AF3-AD06-88C2982E49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O3BC study 2009 has 16.3 PJ</t>
        </r>
      </text>
    </comment>
    <comment ref="G19" authorId="5" shapeId="0" xr:uid="{870C75DA-4809-4417-90DE-126B760DEBB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higher price because of extra long distances</t>
        </r>
      </text>
    </comment>
    <comment ref="M19" authorId="6" shapeId="0" xr:uid="{77741800-7564-4677-A600-740AFA505C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Industries</t>
        </r>
      </text>
    </comment>
    <comment ref="M20" authorId="7" shapeId="0" xr:uid="{243855F1-5A00-4946-94C1-ED36455EE8C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Merchant and domestic</t>
        </r>
      </text>
    </comment>
    <comment ref="J24" authorId="8" shapeId="0" xr:uid="{83837D7F-E120-4021-8E4B-7AD01A8380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strictly from SUT - this is our current (and DMRE and DFFE's estimate).</t>
        </r>
      </text>
    </comment>
    <comment ref="U24" authorId="9" shapeId="0" xr:uid="{76AE6714-B14F-4E52-8CF8-621A85EBFB2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something weird here - drops to 15 in 2021</t>
        </r>
      </text>
    </comment>
    <comment ref="E28" authorId="10" shapeId="0" xr:uid="{3C47DB2C-6B40-47E7-B874-00385957149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value is too low.</t>
        </r>
      </text>
    </comment>
    <comment ref="G28" authorId="11" shapeId="0" xr:uid="{A4EC4103-5B05-47EF-9C32-3476F4E0CB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value in 2019 is around 24 R/GJ</t>
        </r>
      </text>
    </comment>
    <comment ref="K28" authorId="12" shapeId="0" xr:uid="{4524F4B7-A607-46A8-AD57-6D5DDEDA7B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function of CV - Eskom had 19.87 but coal data for 2019 seems to indicate lower values</t>
        </r>
      </text>
    </comment>
    <comment ref="R28" authorId="13" shapeId="0" xr:uid="{8E4A6CF8-3676-4A55-B9F0-E0BF79F54B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Purchased (according to Alwyn van der Merwe</t>
        </r>
      </text>
    </comment>
    <comment ref="W32" authorId="14" shapeId="0" xr:uid="{CAEEDA11-E7A2-4A16-84E1-1AE269612CC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does not include coal that gets gasified.</t>
        </r>
      </text>
    </comment>
    <comment ref="C39" authorId="15" shapeId="0" xr:uid="{686DD637-6938-4177-9E30-1B41A1D5BC64}">
      <text>
        <r>
          <rPr>
            <b/>
            <sz val="9"/>
            <color indexed="81"/>
            <rFont val="Tahoma"/>
            <family val="2"/>
          </rPr>
          <t>IdeaPadL340:</t>
        </r>
        <r>
          <rPr>
            <sz val="9"/>
            <color indexed="81"/>
            <rFont val="Tahoma"/>
            <family val="2"/>
          </rPr>
          <t xml:space="preserve">
Money spent on Coal in 2017 mR</t>
        </r>
      </text>
    </comment>
    <comment ref="BA48" authorId="16" shapeId="0" xr:uid="{FAA34661-FEBE-40BD-A249-9427E1A23E68}">
      <text>
        <r>
          <rPr>
            <sz val="12"/>
            <color theme="1"/>
            <rFont val="Arial"/>
            <family val="2"/>
          </rPr>
          <t>from Alwyn Van Der Merwe (Eskom Primary Energy).
	-Bruno Merven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IdeaPadL340</author>
    <author>tc={F41A2D37-BD0B-4B73-AAE0-1F0212CAC2E0}</author>
    <author>tc={120523CA-DAB0-4AF4-AD06-88C2982E49D5}</author>
    <author>tc={9E655B5C-DF83-48D4-816B-5275DF1D964D}</author>
    <author>tc={77741800-7564-4678-A600-740AFA505CE7}</author>
    <author>tc={83837D7F-E120-4022-8E4B-7AD01A838030}</author>
    <author>tc={4524F4B7-A607-46A9-AD57-6D5DDEDA7B98}</author>
    <author>tc={8E4A6CF8-3676-4A56-B9F0-E0BF79F54B3A}</author>
  </authors>
  <commentList>
    <comment ref="E2" authorId="0" shapeId="0" xr:uid="{9EAE7C0C-B1CA-4530-B2A2-42E0AA4668A7}">
      <text>
        <r>
          <rPr>
            <b/>
            <sz val="9"/>
            <color indexed="81"/>
            <rFont val="Tahoma"/>
            <charset val="1"/>
          </rPr>
          <t>IdeaPadL340:</t>
        </r>
        <r>
          <rPr>
            <sz val="9"/>
            <color indexed="81"/>
            <rFont val="Tahoma"/>
            <charset val="1"/>
          </rPr>
          <t xml:space="preserve">
model (P4c runs)</t>
        </r>
      </text>
    </comment>
    <comment ref="F2" authorId="0" shapeId="0" xr:uid="{33091D92-6337-46A5-BA92-73E5C2C862D3}">
      <text>
        <r>
          <rPr>
            <b/>
            <sz val="9"/>
            <color indexed="81"/>
            <rFont val="Tahoma"/>
            <charset val="1"/>
          </rPr>
          <t>IdeaPadL340:</t>
        </r>
        <r>
          <rPr>
            <sz val="9"/>
            <color indexed="81"/>
            <rFont val="Tahoma"/>
            <charset val="1"/>
          </rPr>
          <t xml:space="preserve">
model fixed </t>
        </r>
      </text>
    </comment>
    <comment ref="F9" authorId="1" shapeId="0" xr:uid="{49FCD1E0-F337-494D-A2FD-94A79F8D15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table 69 from SAMI (col AP in this sheet) and XMP 2012 and 2013 and XMP2017.</t>
        </r>
      </text>
    </comment>
    <comment ref="I10" authorId="2" shapeId="0" xr:uid="{0B2783AC-93C1-4B1B-BB45-2D156F7CF1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O3BC study 2009 has 16.3 PJ</t>
        </r>
      </text>
    </comment>
    <comment ref="N11" authorId="3" shapeId="0" xr:uid="{0ACAE280-EDB5-4C06-A3DF-A3737B5643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iron and steel + ferroalloys</t>
        </r>
      </text>
    </comment>
    <comment ref="G16" authorId="4" shapeId="0" xr:uid="{55C437D5-F540-4689-A8FB-81F55456004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Industries</t>
        </r>
      </text>
    </comment>
    <comment ref="D19" authorId="5" shapeId="0" xr:uid="{DE307DD0-DAD9-4708-9873-4CAA82FE84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strictly from SUT - this is our current (and DMRE and DFFE's estimate).</t>
        </r>
      </text>
    </comment>
    <comment ref="E21" authorId="6" shapeId="0" xr:uid="{C406C266-D3EE-488B-8F31-2C2E62ABFF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 function of CV - Eskom had 19.87 but coal data for 2019 seems to indicate lower values</t>
        </r>
      </text>
    </comment>
    <comment ref="L21" authorId="7" shapeId="0" xr:uid="{9809A755-C4D0-4741-A635-9664882D05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Purchased (according to Alwyn van der Merwe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tc={F41A2D37-BD0B-4B74-AAE0-1F0212CAC2E0}</author>
  </authors>
  <commentList>
    <comment ref="D9" authorId="0" shapeId="0" xr:uid="{881D828A-47A8-494C-93DA-7EB3C257F9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table 69 from SAMI (col AP in this sheet) and XMP 2012 and 2013 and XMP2017.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tc={83837D7F-E120-4023-8E4B-7AD01A838030}</author>
  </authors>
  <commentList>
    <comment ref="D21" authorId="0" shapeId="0" xr:uid="{906C99E6-2569-472C-895E-09B70F2B42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strictly from SUT - this is our current (and DMRE and DFFE's estimate).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johanvw</author>
    <author>allen</author>
  </authors>
  <commentList>
    <comment ref="N12" authorId="0" shapeId="0" xr:uid="{1B5CF3EC-C315-4C25-8707-BD0D692B4462}">
      <text>
        <r>
          <rPr>
            <b/>
            <sz val="8"/>
            <color indexed="81"/>
            <rFont val="Tahoma"/>
            <family val="2"/>
          </rPr>
          <t>johanvw:</t>
        </r>
        <r>
          <rPr>
            <sz val="8"/>
            <color indexed="81"/>
            <rFont val="Tahoma"/>
            <family val="2"/>
          </rPr>
          <t xml:space="preserve">
This Stats Diff is cancelled out by the same amount under Natural Gas</t>
        </r>
      </text>
    </comment>
    <comment ref="N44" authorId="0" shapeId="0" xr:uid="{800FA9B7-F348-49B6-9993-B3B23DB3C7F4}">
      <text>
        <r>
          <rPr>
            <sz val="8"/>
            <color indexed="81"/>
            <rFont val="Tahoma"/>
            <family val="2"/>
          </rPr>
          <t xml:space="preserve">
Source :Sasol from the email 6 March 2006, from Elrien Bootha
Sasol cannot distinguish between GWG and Nat Gas consumtion, hence we assume all consumtion to be under GWG.</t>
        </r>
      </text>
    </comment>
    <comment ref="BE45" authorId="1" shapeId="0" xr:uid="{2D1F40E0-0ADF-42C5-8E17-F589443054CB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Eskom. This is the sum of final energy consumption in the industry sector, from iron and steel down to non-specified industry.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59" authorId="1" shapeId="0" xr:uid="{0230EF3F-C081-444B-8F0D-3A65954EC23B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Eskom data: This is the sum of transport sector, from International Civil Aviation down to non-specified transport.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67" authorId="1" shapeId="0" xr:uid="{ED78C121-935A-4001-A51B-76AFDA04D969}">
      <text>
        <r>
          <rPr>
            <b/>
            <sz val="8"/>
            <color indexed="81"/>
            <rFont val="Tahoma"/>
            <family val="2"/>
          </rPr>
          <t xml:space="preserve">allen: </t>
        </r>
        <r>
          <rPr>
            <sz val="8"/>
            <color indexed="81"/>
            <rFont val="Tahoma"/>
            <family val="2"/>
          </rPr>
          <t>Nersa report 2006,Chapter 6 Figure 6.2 - sum of Agriculture + Commerce &amp; Public Services + Residential + General.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<sst xmlns="http://schemas.openxmlformats.org/spreadsheetml/2006/main" count="733" uniqueCount="398">
  <si>
    <t>SATIM Coal Balance 2017</t>
  </si>
  <si>
    <t>20210201_Transition pathways_Technical appendix_vSend.pdf</t>
  </si>
  <si>
    <t>Slide 18.</t>
  </si>
  <si>
    <t>XMP 2013</t>
  </si>
  <si>
    <t>XMP 2012</t>
  </si>
  <si>
    <t>Data Source</t>
  </si>
  <si>
    <t>SUT</t>
  </si>
  <si>
    <t>SATIMGE 2021</t>
  </si>
  <si>
    <t>SATIMGE 2022</t>
  </si>
  <si>
    <t>XMP 2017 v1</t>
  </si>
  <si>
    <t>XMP 2017 v2</t>
  </si>
  <si>
    <t>CSIR solar study</t>
  </si>
  <si>
    <t>DMRE EB 2017</t>
  </si>
  <si>
    <t>DFFE 2017</t>
  </si>
  <si>
    <t>Eskom</t>
  </si>
  <si>
    <t>NBI</t>
  </si>
  <si>
    <t>SAMI 2017</t>
  </si>
  <si>
    <t>SATIMGE2022</t>
  </si>
  <si>
    <t>CV</t>
  </si>
  <si>
    <t>Price</t>
  </si>
  <si>
    <t>Units</t>
  </si>
  <si>
    <t>mR</t>
  </si>
  <si>
    <t>MJ/kg</t>
  </si>
  <si>
    <t>R/GJ</t>
  </si>
  <si>
    <t>PJ</t>
  </si>
  <si>
    <t>R/ton</t>
  </si>
  <si>
    <t>mton</t>
  </si>
  <si>
    <t>Final Consumption excl Transformation</t>
  </si>
  <si>
    <t>Industry Sector</t>
  </si>
  <si>
    <t>Chemicals</t>
  </si>
  <si>
    <t>Chemicals33</t>
  </si>
  <si>
    <t>SasolChemicals</t>
  </si>
  <si>
    <t>Iron_Steel351</t>
  </si>
  <si>
    <t>PNFMetals352</t>
  </si>
  <si>
    <t>NMMProducts34</t>
  </si>
  <si>
    <t>Aluminium35220</t>
  </si>
  <si>
    <t>FerroAlloys</t>
  </si>
  <si>
    <t>Mining2</t>
  </si>
  <si>
    <t>Food_Bev_Tob30</t>
  </si>
  <si>
    <t>Pulp_Paper323</t>
  </si>
  <si>
    <t>Commodity</t>
  </si>
  <si>
    <t>Mass(Mt)</t>
  </si>
  <si>
    <t>Value(MR)</t>
  </si>
  <si>
    <t>Price(R/t)</t>
  </si>
  <si>
    <t>Check</t>
  </si>
  <si>
    <t>IndOther</t>
  </si>
  <si>
    <t>Electricity</t>
  </si>
  <si>
    <t>Other Sectors</t>
  </si>
  <si>
    <t>Comm&amp;gov</t>
  </si>
  <si>
    <t>Agriculture</t>
  </si>
  <si>
    <t>XMP V2</t>
  </si>
  <si>
    <t>Residential</t>
  </si>
  <si>
    <t>Final Total Consumption</t>
  </si>
  <si>
    <t>Chemical</t>
  </si>
  <si>
    <t>Transformation Sector</t>
  </si>
  <si>
    <t>Merchant&amp;Domestic</t>
  </si>
  <si>
    <t>Power</t>
  </si>
  <si>
    <t>Synfuels</t>
  </si>
  <si>
    <t>Kelvin</t>
  </si>
  <si>
    <t>Industries</t>
  </si>
  <si>
    <t>Liquefaction</t>
  </si>
  <si>
    <t>CTL</t>
  </si>
  <si>
    <t>Steel</t>
  </si>
  <si>
    <t>Sasol SSF</t>
  </si>
  <si>
    <t>Metallurgical</t>
  </si>
  <si>
    <t>Exports</t>
  </si>
  <si>
    <t>Cement</t>
  </si>
  <si>
    <t>CO2 (mton)</t>
  </si>
  <si>
    <t>Brick&amp;Tile</t>
  </si>
  <si>
    <t>Mines</t>
  </si>
  <si>
    <t>From SUT 2017</t>
  </si>
  <si>
    <t>Transport</t>
  </si>
  <si>
    <t>I1</t>
  </si>
  <si>
    <t>Forestry</t>
  </si>
  <si>
    <t>I2</t>
  </si>
  <si>
    <t>TOTAL</t>
  </si>
  <si>
    <t>Fishing</t>
  </si>
  <si>
    <t>I3</t>
  </si>
  <si>
    <t>Mining and quarrying</t>
  </si>
  <si>
    <t>Mining of coal and lignite</t>
  </si>
  <si>
    <t>I4</t>
  </si>
  <si>
    <t>Mining of gold and uranium ore</t>
  </si>
  <si>
    <t>I5</t>
  </si>
  <si>
    <t>Mining of metal ores</t>
  </si>
  <si>
    <t>I6</t>
  </si>
  <si>
    <t>Other mining and quarrying</t>
  </si>
  <si>
    <t>I7</t>
  </si>
  <si>
    <t>Food&amp;Tob</t>
  </si>
  <si>
    <t>Food</t>
  </si>
  <si>
    <t>I8</t>
  </si>
  <si>
    <t>Purchased</t>
  </si>
  <si>
    <t>Beverages and tobacco</t>
  </si>
  <si>
    <t>I9</t>
  </si>
  <si>
    <t>Burnt</t>
  </si>
  <si>
    <t>Textile&amp;leather</t>
  </si>
  <si>
    <t>Spinning, weaving and finishing of textiles</t>
  </si>
  <si>
    <t>I10</t>
  </si>
  <si>
    <t>Stock Change</t>
  </si>
  <si>
    <t>Knitted, crouched fabrics, wearing apparel, fur articles</t>
  </si>
  <si>
    <t>I11</t>
  </si>
  <si>
    <t>Tanning and dressing of leather</t>
  </si>
  <si>
    <t>I12</t>
  </si>
  <si>
    <t>CV 2017</t>
  </si>
  <si>
    <t>Footwear</t>
  </si>
  <si>
    <t>I13</t>
  </si>
  <si>
    <t>Wood and Wood Products</t>
  </si>
  <si>
    <t>Sawmilling, planing of wood, cork, straw</t>
  </si>
  <si>
    <t>I14</t>
  </si>
  <si>
    <t>NBI - Electricity Slide Deck</t>
  </si>
  <si>
    <t>Paper Pulp and Print</t>
  </si>
  <si>
    <t>Paper</t>
  </si>
  <si>
    <t>I15</t>
  </si>
  <si>
    <t>Publishing, printing, recorded media</t>
  </si>
  <si>
    <t>I16</t>
  </si>
  <si>
    <t>Refinery</t>
  </si>
  <si>
    <t>Coke oven, petroleum refineries</t>
  </si>
  <si>
    <t>I17</t>
  </si>
  <si>
    <t>Chemical and Petrochemical</t>
  </si>
  <si>
    <t>Nuclear fuel, basic chemicals</t>
  </si>
  <si>
    <t>I18</t>
  </si>
  <si>
    <t>Other chemical products, man-made fibres</t>
  </si>
  <si>
    <t>I19</t>
  </si>
  <si>
    <t>Rubber</t>
  </si>
  <si>
    <t>I20</t>
  </si>
  <si>
    <t>%</t>
  </si>
  <si>
    <t>Plastic</t>
  </si>
  <si>
    <t>I21</t>
  </si>
  <si>
    <t>Taken from Table 28</t>
  </si>
  <si>
    <t>Non-Metallic Minerals</t>
  </si>
  <si>
    <t>Glass</t>
  </si>
  <si>
    <t>I22</t>
  </si>
  <si>
    <t>Non-metallic minerals</t>
  </si>
  <si>
    <t>I23</t>
  </si>
  <si>
    <t>Iron and Steel</t>
  </si>
  <si>
    <t>Basic iron and steel, casting of metals</t>
  </si>
  <si>
    <t>I24</t>
  </si>
  <si>
    <t>Non-Ferrous Metals</t>
  </si>
  <si>
    <t>Basic precious and non-ferrous metals</t>
  </si>
  <si>
    <t>I25</t>
  </si>
  <si>
    <t>Merchant and domestic</t>
  </si>
  <si>
    <t>Machinery</t>
  </si>
  <si>
    <t>Fabricated metal products</t>
  </si>
  <si>
    <t>I26</t>
  </si>
  <si>
    <t>Mining</t>
  </si>
  <si>
    <t>Machinery and equipment</t>
  </si>
  <si>
    <t>I27</t>
  </si>
  <si>
    <t>Synthetic Fuel</t>
  </si>
  <si>
    <t>Electrical machinery and apparatus</t>
  </si>
  <si>
    <t>I28</t>
  </si>
  <si>
    <t>Others</t>
  </si>
  <si>
    <t>Other Ind</t>
  </si>
  <si>
    <t>Radio, television, communication equipment and apparatus</t>
  </si>
  <si>
    <t>I29</t>
  </si>
  <si>
    <t>Medical, precision, optical instruments, watches and clocks</t>
  </si>
  <si>
    <t>I30</t>
  </si>
  <si>
    <t>Motor vehicles, trailers, parts</t>
  </si>
  <si>
    <t>I31</t>
  </si>
  <si>
    <t>Transport equip</t>
  </si>
  <si>
    <t>Other transport equipment</t>
  </si>
  <si>
    <t>I32</t>
  </si>
  <si>
    <t>Furniture</t>
  </si>
  <si>
    <t>I33</t>
  </si>
  <si>
    <t>Manufacturing n.e.c, recycling</t>
  </si>
  <si>
    <t>I34</t>
  </si>
  <si>
    <t>Electricity, gas, steam and hot water supply</t>
  </si>
  <si>
    <t>I35</t>
  </si>
  <si>
    <t>Collection, purification and distribution of water</t>
  </si>
  <si>
    <t>I36</t>
  </si>
  <si>
    <t>Construction</t>
  </si>
  <si>
    <t>I37</t>
  </si>
  <si>
    <t>Wholesale trade, commission trade</t>
  </si>
  <si>
    <t>I38</t>
  </si>
  <si>
    <t>Retail trade</t>
  </si>
  <si>
    <t>I39</t>
  </si>
  <si>
    <t>Sale, maintenance, repair of motor vehicles</t>
  </si>
  <si>
    <t>I40</t>
  </si>
  <si>
    <t>Hotels and restaurants</t>
  </si>
  <si>
    <t>I41</t>
  </si>
  <si>
    <t>Land transport, transport via pipe lines</t>
  </si>
  <si>
    <t>I42</t>
  </si>
  <si>
    <t>Water transport</t>
  </si>
  <si>
    <t>I43</t>
  </si>
  <si>
    <t>Air transport</t>
  </si>
  <si>
    <t>I44</t>
  </si>
  <si>
    <t>Auxiliary transport</t>
  </si>
  <si>
    <t>I45</t>
  </si>
  <si>
    <t>Post and telecommunication</t>
  </si>
  <si>
    <t>I46</t>
  </si>
  <si>
    <t>Financial intermediation</t>
  </si>
  <si>
    <t>I47</t>
  </si>
  <si>
    <t>Insurance and pension funding</t>
  </si>
  <si>
    <t>I48</t>
  </si>
  <si>
    <t>Activities to financial intermediation</t>
  </si>
  <si>
    <t>I49</t>
  </si>
  <si>
    <t>Real estate activities</t>
  </si>
  <si>
    <t>I50</t>
  </si>
  <si>
    <t>Renting of machinery and equipment</t>
  </si>
  <si>
    <t>I51</t>
  </si>
  <si>
    <t>Computer and related activities</t>
  </si>
  <si>
    <t>I52</t>
  </si>
  <si>
    <t>Research and experimental development</t>
  </si>
  <si>
    <t>I53</t>
  </si>
  <si>
    <t>Other business activities</t>
  </si>
  <si>
    <t>I54</t>
  </si>
  <si>
    <t>Government</t>
  </si>
  <si>
    <t>I55</t>
  </si>
  <si>
    <t>Education</t>
  </si>
  <si>
    <t>I56</t>
  </si>
  <si>
    <t>Health and social work</t>
  </si>
  <si>
    <t>I57</t>
  </si>
  <si>
    <t>Sewerage and refuse disposal</t>
  </si>
  <si>
    <t>I58</t>
  </si>
  <si>
    <t>Activities of membership organisations</t>
  </si>
  <si>
    <t>I59</t>
  </si>
  <si>
    <t>Recreational, cultural and sporting activities</t>
  </si>
  <si>
    <t>I60</t>
  </si>
  <si>
    <t>Other activities</t>
  </si>
  <si>
    <t>I61</t>
  </si>
  <si>
    <t>Non-observed, informal, non-profit, households,</t>
  </si>
  <si>
    <t>I62</t>
  </si>
  <si>
    <t>Total industry</t>
  </si>
  <si>
    <t>TI</t>
  </si>
  <si>
    <t>https://www.dmr.gov.za/resources</t>
  </si>
  <si>
    <t>SATIM Sectors</t>
  </si>
  <si>
    <t>Total Final</t>
  </si>
  <si>
    <t>Total</t>
  </si>
  <si>
    <t>Data Source new</t>
  </si>
  <si>
    <t xml:space="preserve">SATIMGE 2022 </t>
  </si>
  <si>
    <t>Total Coal Utilization 2017 (PJ)</t>
  </si>
  <si>
    <t>®</t>
  </si>
  <si>
    <t>end</t>
  </si>
  <si>
    <t xml:space="preserve">Data Source </t>
  </si>
  <si>
    <t>SATIMGE-2021</t>
  </si>
  <si>
    <t>SATIMGE-2022</t>
  </si>
  <si>
    <t>Mining and Quarrying</t>
  </si>
  <si>
    <t>Food and Tobacco</t>
  </si>
  <si>
    <t>Non-specified (Industry)</t>
  </si>
  <si>
    <t>Commerce and Public Services</t>
  </si>
  <si>
    <t xml:space="preserve">FIX </t>
  </si>
  <si>
    <t>CTL Plants</t>
  </si>
  <si>
    <t>RSA 2017 ver 1</t>
  </si>
  <si>
    <t>BASIC FILE (NATIVE UNITS)</t>
  </si>
  <si>
    <t>t</t>
  </si>
  <si>
    <t>TJ</t>
  </si>
  <si>
    <t>kl</t>
  </si>
  <si>
    <t>GWh</t>
  </si>
  <si>
    <t>MWh</t>
  </si>
  <si>
    <t xml:space="preserve">        </t>
  </si>
  <si>
    <t>HARDCOAL</t>
  </si>
  <si>
    <t xml:space="preserve">   BROWN</t>
  </si>
  <si>
    <t>ANTCOAL</t>
  </si>
  <si>
    <t xml:space="preserve"> COKCOAL</t>
  </si>
  <si>
    <t xml:space="preserve"> BITCOAL</t>
  </si>
  <si>
    <t xml:space="preserve"> SUBCOAL</t>
  </si>
  <si>
    <t xml:space="preserve"> LIGNITE</t>
  </si>
  <si>
    <t xml:space="preserve">    PEAT</t>
  </si>
  <si>
    <t xml:space="preserve"> PATFUEL</t>
  </si>
  <si>
    <t>OVENCOKE</t>
  </si>
  <si>
    <t xml:space="preserve"> GASCOKE</t>
  </si>
  <si>
    <t xml:space="preserve">     BKB</t>
  </si>
  <si>
    <t>GASWKSGS</t>
  </si>
  <si>
    <t>COKEOVGS</t>
  </si>
  <si>
    <t xml:space="preserve"> BLFURGS</t>
  </si>
  <si>
    <t xml:space="preserve"> OXYSTGS</t>
  </si>
  <si>
    <t>COMRENEW</t>
  </si>
  <si>
    <t>SBIOMASS</t>
  </si>
  <si>
    <t>INDWASTE</t>
  </si>
  <si>
    <t>MUNWASTE</t>
  </si>
  <si>
    <t xml:space="preserve">   GLBIO</t>
  </si>
  <si>
    <t xml:space="preserve">  NATGAS</t>
  </si>
  <si>
    <t>CRNGFEED</t>
  </si>
  <si>
    <t>CRUDEOIL</t>
  </si>
  <si>
    <t xml:space="preserve">     NGL</t>
  </si>
  <si>
    <t>REFFEEDS</t>
  </si>
  <si>
    <t>ADDITIVE</t>
  </si>
  <si>
    <t>NONCRUDE</t>
  </si>
  <si>
    <t>REFINGAS</t>
  </si>
  <si>
    <t xml:space="preserve">  ETHANE</t>
  </si>
  <si>
    <t xml:space="preserve">     LPG</t>
  </si>
  <si>
    <t>MOTORGAS</t>
  </si>
  <si>
    <t xml:space="preserve">   AVGAS</t>
  </si>
  <si>
    <t xml:space="preserve">  JETGAS</t>
  </si>
  <si>
    <t xml:space="preserve"> JETKERO</t>
  </si>
  <si>
    <t xml:space="preserve"> OTHKERO</t>
  </si>
  <si>
    <t xml:space="preserve"> GASDIES</t>
  </si>
  <si>
    <t xml:space="preserve"> RESFUEL</t>
  </si>
  <si>
    <t xml:space="preserve"> NAPHTHA</t>
  </si>
  <si>
    <t xml:space="preserve"> WHITESP</t>
  </si>
  <si>
    <t xml:space="preserve">  LUBRIC</t>
  </si>
  <si>
    <t xml:space="preserve"> BITUMEN</t>
  </si>
  <si>
    <t xml:space="preserve">  PARWAX</t>
  </si>
  <si>
    <t xml:space="preserve"> PETCOKE</t>
  </si>
  <si>
    <t>ONONSPEC</t>
  </si>
  <si>
    <t xml:space="preserve"> NONSPEC</t>
  </si>
  <si>
    <t xml:space="preserve"> NUCLEAR</t>
  </si>
  <si>
    <t xml:space="preserve">   HYDRO</t>
  </si>
  <si>
    <t>GEOTHERM</t>
  </si>
  <si>
    <t xml:space="preserve">   SOLAR</t>
  </si>
  <si>
    <t xml:space="preserve">    TIDE</t>
  </si>
  <si>
    <t xml:space="preserve">    WIND</t>
  </si>
  <si>
    <t>HEATPUMP</t>
  </si>
  <si>
    <t xml:space="preserve">  BOILER</t>
  </si>
  <si>
    <t xml:space="preserve">   OTHER</t>
  </si>
  <si>
    <t xml:space="preserve">  ELECTR</t>
  </si>
  <si>
    <t xml:space="preserve">    HEAT</t>
  </si>
  <si>
    <t xml:space="preserve"> Production (6)</t>
  </si>
  <si>
    <t xml:space="preserve"> From Other Sources( 8)</t>
  </si>
  <si>
    <t xml:space="preserve"> Import (1)</t>
  </si>
  <si>
    <t>Export (1)</t>
  </si>
  <si>
    <t xml:space="preserve"> Intl. Marine Bunkers</t>
  </si>
  <si>
    <t xml:space="preserve"> Stock Changes (7)</t>
  </si>
  <si>
    <t xml:space="preserve"> Domestic Supply</t>
  </si>
  <si>
    <t xml:space="preserve"> Transfers</t>
  </si>
  <si>
    <t xml:space="preserve"> Statistical Differences</t>
  </si>
  <si>
    <t xml:space="preserve"> Transformation Sector</t>
  </si>
  <si>
    <t xml:space="preserve"> Electricity Plant (11)</t>
  </si>
  <si>
    <t xml:space="preserve"> Autoproducer Electricity Plant</t>
  </si>
  <si>
    <t xml:space="preserve"> CHP Plant</t>
  </si>
  <si>
    <t xml:space="preserve"> Autoproducer CHP Plant</t>
  </si>
  <si>
    <t>Heat Plant</t>
  </si>
  <si>
    <t xml:space="preserve"> Autoproducer Heat Plant</t>
  </si>
  <si>
    <t xml:space="preserve"> Heat pumps</t>
  </si>
  <si>
    <t xml:space="preserve"> Electric Boilers</t>
  </si>
  <si>
    <t xml:space="preserve"> Patent Fuel Plants</t>
  </si>
  <si>
    <t xml:space="preserve"> Coke Ovens</t>
  </si>
  <si>
    <t xml:space="preserve"> Gas Works</t>
  </si>
  <si>
    <t xml:space="preserve"> Blast Furnaces</t>
  </si>
  <si>
    <t xml:space="preserve"> Petrochemical Industry</t>
  </si>
  <si>
    <t xml:space="preserve"> BKB production</t>
  </si>
  <si>
    <t xml:space="preserve"> Oil Refineries</t>
  </si>
  <si>
    <t xml:space="preserve"> Liquefaction</t>
  </si>
  <si>
    <t xml:space="preserve"> Non-specified (Transformation)</t>
  </si>
  <si>
    <t xml:space="preserve"> Energy Sector</t>
  </si>
  <si>
    <t xml:space="preserve"> Coal Mines</t>
  </si>
  <si>
    <t xml:space="preserve"> Oil and Gas Extraction</t>
  </si>
  <si>
    <t xml:space="preserve"> BKB</t>
  </si>
  <si>
    <t xml:space="preserve"> Ownuse in Elec., CHP and Heat plant (2)</t>
  </si>
  <si>
    <t xml:space="preserve"> Used for Pump Storage</t>
  </si>
  <si>
    <t xml:space="preserve"> Nuclear Industry</t>
  </si>
  <si>
    <t xml:space="preserve"> Non-specified (Energy)</t>
  </si>
  <si>
    <t xml:space="preserve"> Distribution Losses(3)</t>
  </si>
  <si>
    <t xml:space="preserve"> Final Consumption</t>
  </si>
  <si>
    <t xml:space="preserve"> Industry Sector</t>
  </si>
  <si>
    <t xml:space="preserve"> Iron and Steel (9)</t>
  </si>
  <si>
    <t xml:space="preserve"> Chemical and Petrochemical (9)</t>
  </si>
  <si>
    <t xml:space="preserve"> Non-Ferrous Metals</t>
  </si>
  <si>
    <t xml:space="preserve"> Non-Metallic Minerals (9)</t>
  </si>
  <si>
    <t xml:space="preserve"> Transport Equipment</t>
  </si>
  <si>
    <t xml:space="preserve"> Machinery (9)</t>
  </si>
  <si>
    <t xml:space="preserve"> Mining and Quarrying (9)</t>
  </si>
  <si>
    <t xml:space="preserve"> Food and Tobacco (9)</t>
  </si>
  <si>
    <t xml:space="preserve"> Paper Pulp and Print (9)</t>
  </si>
  <si>
    <t xml:space="preserve"> Wood and Wood Products</t>
  </si>
  <si>
    <t xml:space="preserve"> Construction</t>
  </si>
  <si>
    <t xml:space="preserve"> Textile and Leather</t>
  </si>
  <si>
    <t xml:space="preserve"> Non-specified (Industry) (9)</t>
  </si>
  <si>
    <t xml:space="preserve"> Transport Sector</t>
  </si>
  <si>
    <t xml:space="preserve"> International Civil Aviation</t>
  </si>
  <si>
    <t xml:space="preserve"> Domestic Air Transport</t>
  </si>
  <si>
    <t xml:space="preserve"> Road</t>
  </si>
  <si>
    <t xml:space="preserve"> Rail</t>
  </si>
  <si>
    <t xml:space="preserve"> Pipeline Transport </t>
  </si>
  <si>
    <t xml:space="preserve"> Internal Navigation </t>
  </si>
  <si>
    <t xml:space="preserve"> Non-specified (Transport)</t>
  </si>
  <si>
    <t xml:space="preserve"> Other Sectors</t>
  </si>
  <si>
    <t xml:space="preserve"> Agriculture(4) </t>
  </si>
  <si>
    <t xml:space="preserve"> Commerce and Public Services(4)  </t>
  </si>
  <si>
    <t xml:space="preserve"> Residential(4) </t>
  </si>
  <si>
    <t xml:space="preserve"> Non-specified (Other) (4) </t>
  </si>
  <si>
    <t xml:space="preserve"> Non-Energy Use</t>
  </si>
  <si>
    <t xml:space="preserve"> Memo:Non-Energy Use Ind/Transf/Ener</t>
  </si>
  <si>
    <t xml:space="preserve"> Memo:Non-Energy Use in Transport</t>
  </si>
  <si>
    <t xml:space="preserve"> Memo:Non-Energy Use in Oth.Sect.</t>
  </si>
  <si>
    <t xml:space="preserve"> Memo:Feedst.Use in Petchem. Ind.</t>
  </si>
  <si>
    <t xml:space="preserve"> Elect.Output in GWh</t>
  </si>
  <si>
    <t xml:space="preserve"> Elect.Output-public elec. Plant (5)</t>
  </si>
  <si>
    <t xml:space="preserve"> Elect.Output-autoprod. elec. Plant (5)</t>
  </si>
  <si>
    <t xml:space="preserve"> Elect.Output-public CHP plant</t>
  </si>
  <si>
    <t xml:space="preserve"> Elect.Output-autoprod. CHP plant</t>
  </si>
  <si>
    <t xml:space="preserve"> Heat Output-public CHP plant</t>
  </si>
  <si>
    <t xml:space="preserve"> Heat Output-autoproducer CHP plant</t>
  </si>
  <si>
    <t xml:space="preserve"> Heat Output-public heat plant</t>
  </si>
  <si>
    <t xml:space="preserve"> Heat Output-autoprod. heat plant</t>
  </si>
  <si>
    <t xml:space="preserve"> Heat Output in TJ</t>
  </si>
  <si>
    <t xml:space="preserve"> Pumped Hydro Production</t>
  </si>
  <si>
    <t xml:space="preserve"> Memo: Gas vented</t>
  </si>
  <si>
    <t xml:space="preserve"> Memo: Gas flared</t>
  </si>
  <si>
    <t xml:space="preserve"> Memo: Energy use for Gold Mining</t>
  </si>
  <si>
    <t xml:space="preserve"> Memo: Energy use for Other Mining</t>
  </si>
  <si>
    <t xml:space="preserve"> Memo: Coal from underground operations</t>
  </si>
  <si>
    <t>2015bR</t>
  </si>
  <si>
    <t>2019bR</t>
  </si>
  <si>
    <t>Coal plant Spend (SATIM)</t>
  </si>
  <si>
    <t>HFO spend</t>
  </si>
  <si>
    <t>Coal plant spend on coal</t>
  </si>
  <si>
    <t>Eskom reported (Financial year)</t>
  </si>
  <si>
    <t>Eskom (from leaked coal data)</t>
  </si>
  <si>
    <t xml:space="preserve">Units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</si>
</sst>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 * #,##0.00_ ;_ * \-#,##0.00_ ;_ * &quot;-&quot;??_ ;_ @_ "/>
    <numFmt numFmtId="169" formatCode="#,##0.0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name val="Bookman Old Style"/>
      <family val="1"/>
    </font>
    <font>
      <b/>
      <sz val="9"/>
      <name val="Bookman Old Style"/>
      <family val="1"/>
    </font>
    <font>
      <b/>
      <u/>
      <sz val="10"/>
      <name val="Arial"/>
      <family val="2"/>
    </font>
    <font>
      <b/>
      <sz val="12"/>
      <name val="Calibri"/>
      <family val="2"/>
    </font>
    <font>
      <b/>
      <sz val="8"/>
      <name val="Bookman Old Style"/>
      <family val="1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</font>
    <font>
      <b/>
      <sz val="11"/>
      <color theme="1"/>
      <name val="&quot;Verdana Pro Light&quot;"/>
    </font>
    <font>
      <sz val="12"/>
      <color theme="1"/>
      <name val="&quot;Verdana Pro Light&quot;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&quot;Verdana Pro Light&quot;"/>
    </font>
    <font>
      <b/>
      <sz val="11"/>
      <color rgb="FF000000"/>
      <name val="Calibri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301">
    <xf numFmtId="0" fontId="0" fillId="0" borderId="0" xfId="0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6" fillId="0" borderId="0" xfId="5" applyFont="1"/>
    <xf numFmtId="0" fontId="7" fillId="0" borderId="0" xfId="5" applyFont="1"/>
    <xf numFmtId="0" fontId="5" fillId="0" borderId="0" xfId="5"/>
    <xf numFmtId="0" fontId="8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0" fontId="6" fillId="4" borderId="0" xfId="5" applyFont="1" applyFill="1" applyAlignment="1">
      <alignment horizontal="center"/>
    </xf>
    <xf numFmtId="0" fontId="7" fillId="0" borderId="0" xfId="5" applyFont="1" applyAlignment="1">
      <alignment horizontal="center"/>
    </xf>
    <xf numFmtId="0" fontId="5" fillId="0" borderId="0" xfId="5" applyAlignment="1">
      <alignment horizontal="center"/>
    </xf>
    <xf numFmtId="0" fontId="10" fillId="0" borderId="0" xfId="5" applyFont="1"/>
    <xf numFmtId="4" fontId="11" fillId="0" borderId="0" xfId="5" applyNumberFormat="1" applyFont="1"/>
    <xf numFmtId="11" fontId="10" fillId="0" borderId="0" xfId="6" applyNumberFormat="1" applyFont="1"/>
    <xf numFmtId="168" fontId="10" fillId="0" borderId="0" xfId="6" applyFont="1"/>
    <xf numFmtId="0" fontId="8" fillId="0" borderId="0" xfId="5" applyFont="1"/>
    <xf numFmtId="4" fontId="12" fillId="0" borderId="0" xfId="5" applyNumberFormat="1" applyFont="1"/>
    <xf numFmtId="0" fontId="9" fillId="0" borderId="0" xfId="5" applyFont="1"/>
    <xf numFmtId="168" fontId="6" fillId="0" borderId="0" xfId="6" applyFont="1"/>
    <xf numFmtId="0" fontId="13" fillId="0" borderId="0" xfId="5" applyFont="1"/>
    <xf numFmtId="0" fontId="14" fillId="0" borderId="0" xfId="5" applyFont="1" applyAlignment="1">
      <alignment horizontal="center" vertical="top" wrapText="1"/>
    </xf>
    <xf numFmtId="4" fontId="15" fillId="0" borderId="0" xfId="5" applyNumberFormat="1" applyFont="1"/>
    <xf numFmtId="0" fontId="16" fillId="0" borderId="0" xfId="5" applyFont="1"/>
    <xf numFmtId="3" fontId="19" fillId="0" borderId="0" xfId="0" applyNumberFormat="1" applyFont="1"/>
    <xf numFmtId="1" fontId="19" fillId="0" borderId="0" xfId="0" applyNumberFormat="1" applyFont="1"/>
    <xf numFmtId="3" fontId="20" fillId="0" borderId="0" xfId="0" applyNumberFormat="1" applyFont="1"/>
    <xf numFmtId="1" fontId="20" fillId="0" borderId="0" xfId="0" applyNumberFormat="1" applyFont="1"/>
    <xf numFmtId="3" fontId="21" fillId="0" borderId="0" xfId="0" applyNumberFormat="1" applyFont="1"/>
    <xf numFmtId="4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169" fontId="21" fillId="0" borderId="0" xfId="0" applyNumberFormat="1" applyFont="1" applyAlignment="1">
      <alignment horizontal="right"/>
    </xf>
    <xf numFmtId="0" fontId="19" fillId="0" borderId="0" xfId="0" applyFont="1"/>
    <xf numFmtId="0" fontId="24" fillId="0" borderId="0" xfId="7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23" fillId="0" borderId="1" xfId="0" applyFont="1" applyBorder="1"/>
    <xf numFmtId="0" fontId="0" fillId="0" borderId="4" xfId="0" applyBorder="1"/>
    <xf numFmtId="0" fontId="4" fillId="0" borderId="3" xfId="0" applyFont="1" applyBorder="1"/>
    <xf numFmtId="164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65" fontId="0" fillId="0" borderId="14" xfId="0" applyNumberForma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4" fillId="0" borderId="18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17" xfId="0" applyFont="1" applyBorder="1"/>
    <xf numFmtId="0" fontId="4" fillId="0" borderId="18" xfId="0" applyFont="1" applyBorder="1"/>
    <xf numFmtId="0" fontId="0" fillId="0" borderId="10" xfId="0" applyBorder="1"/>
    <xf numFmtId="0" fontId="0" fillId="0" borderId="12" xfId="0" applyBorder="1"/>
    <xf numFmtId="166" fontId="0" fillId="0" borderId="13" xfId="0" applyNumberFormat="1" applyBorder="1"/>
    <xf numFmtId="166" fontId="0" fillId="0" borderId="14" xfId="0" applyNumberFormat="1" applyBorder="1"/>
    <xf numFmtId="165" fontId="3" fillId="3" borderId="13" xfId="3" applyNumberFormat="1" applyBorder="1"/>
    <xf numFmtId="166" fontId="2" fillId="2" borderId="14" xfId="2" applyNumberFormat="1" applyBorder="1"/>
    <xf numFmtId="165" fontId="0" fillId="0" borderId="13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165" fontId="0" fillId="0" borderId="26" xfId="0" applyNumberFormat="1" applyBorder="1"/>
    <xf numFmtId="0" fontId="0" fillId="0" borderId="29" xfId="0" applyBorder="1"/>
    <xf numFmtId="2" fontId="0" fillId="0" borderId="26" xfId="0" applyNumberFormat="1" applyBorder="1"/>
    <xf numFmtId="164" fontId="4" fillId="0" borderId="28" xfId="0" applyNumberFormat="1" applyFont="1" applyBorder="1"/>
    <xf numFmtId="164" fontId="0" fillId="0" borderId="26" xfId="0" applyNumberFormat="1" applyBorder="1"/>
    <xf numFmtId="0" fontId="4" fillId="0" borderId="28" xfId="0" applyFont="1" applyBorder="1"/>
    <xf numFmtId="2" fontId="0" fillId="0" borderId="14" xfId="0" applyNumberFormat="1" applyBorder="1"/>
    <xf numFmtId="167" fontId="0" fillId="0" borderId="19" xfId="1" applyNumberFormat="1" applyFont="1" applyBorder="1"/>
    <xf numFmtId="167" fontId="0" fillId="0" borderId="21" xfId="1" applyNumberFormat="1" applyFont="1" applyBorder="1"/>
    <xf numFmtId="0" fontId="0" fillId="0" borderId="11" xfId="0" applyBorder="1"/>
    <xf numFmtId="0" fontId="4" fillId="0" borderId="32" xfId="0" applyFont="1" applyBorder="1"/>
    <xf numFmtId="0" fontId="4" fillId="0" borderId="34" xfId="0" applyFont="1" applyBorder="1"/>
    <xf numFmtId="0" fontId="4" fillId="0" borderId="6" xfId="0" applyFont="1" applyBorder="1"/>
    <xf numFmtId="0" fontId="4" fillId="0" borderId="13" xfId="0" applyFont="1" applyBorder="1"/>
    <xf numFmtId="0" fontId="4" fillId="0" borderId="14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45" xfId="0" applyFont="1" applyBorder="1"/>
    <xf numFmtId="0" fontId="27" fillId="0" borderId="34" xfId="0" applyFont="1" applyBorder="1"/>
    <xf numFmtId="0" fontId="27" fillId="0" borderId="31" xfId="0" applyFont="1" applyBorder="1"/>
    <xf numFmtId="0" fontId="27" fillId="0" borderId="6" xfId="0" applyFont="1" applyBorder="1"/>
    <xf numFmtId="0" fontId="28" fillId="0" borderId="47" xfId="0" applyFont="1" applyBorder="1"/>
    <xf numFmtId="0" fontId="28" fillId="0" borderId="48" xfId="0" applyFont="1" applyBorder="1"/>
    <xf numFmtId="0" fontId="28" fillId="0" borderId="49" xfId="0" applyFont="1" applyBorder="1"/>
    <xf numFmtId="0" fontId="28" fillId="0" borderId="46" xfId="0" applyFont="1" applyBorder="1"/>
    <xf numFmtId="0" fontId="28" fillId="0" borderId="50" xfId="0" applyFont="1" applyBorder="1"/>
    <xf numFmtId="165" fontId="27" fillId="0" borderId="15" xfId="0" applyNumberFormat="1" applyFont="1" applyBorder="1"/>
    <xf numFmtId="165" fontId="27" fillId="0" borderId="5" xfId="0" applyNumberFormat="1" applyFont="1" applyBorder="1"/>
    <xf numFmtId="165" fontId="27" fillId="0" borderId="16" xfId="0" applyNumberFormat="1" applyFont="1" applyBorder="1"/>
    <xf numFmtId="165" fontId="27" fillId="0" borderId="24" xfId="0" applyNumberFormat="1" applyFont="1" applyBorder="1"/>
    <xf numFmtId="165" fontId="27" fillId="0" borderId="27" xfId="0" applyNumberFormat="1" applyFont="1" applyBorder="1"/>
    <xf numFmtId="0" fontId="27" fillId="0" borderId="17" xfId="0" applyFont="1" applyBorder="1"/>
    <xf numFmtId="165" fontId="28" fillId="0" borderId="17" xfId="0" applyNumberFormat="1" applyFont="1" applyBorder="1"/>
    <xf numFmtId="165" fontId="28" fillId="0" borderId="9" xfId="0" applyNumberFormat="1" applyFont="1" applyBorder="1"/>
    <xf numFmtId="165" fontId="28" fillId="0" borderId="18" xfId="0" applyNumberFormat="1" applyFont="1" applyBorder="1"/>
    <xf numFmtId="165" fontId="28" fillId="0" borderId="35" xfId="0" applyNumberFormat="1" applyFont="1" applyBorder="1"/>
    <xf numFmtId="165" fontId="28" fillId="0" borderId="28" xfId="0" applyNumberFormat="1" applyFont="1" applyBorder="1"/>
    <xf numFmtId="0" fontId="27" fillId="0" borderId="13" xfId="0" applyFont="1" applyBorder="1"/>
    <xf numFmtId="165" fontId="28" fillId="0" borderId="13" xfId="0" applyNumberFormat="1" applyFont="1" applyBorder="1"/>
    <xf numFmtId="165" fontId="28" fillId="0" borderId="2" xfId="0" applyNumberFormat="1" applyFont="1" applyBorder="1"/>
    <xf numFmtId="165" fontId="28" fillId="0" borderId="14" xfId="0" applyNumberFormat="1" applyFont="1" applyBorder="1"/>
    <xf numFmtId="165" fontId="28" fillId="0" borderId="23" xfId="0" applyNumberFormat="1" applyFont="1" applyBorder="1"/>
    <xf numFmtId="165" fontId="28" fillId="0" borderId="26" xfId="0" applyNumberFormat="1" applyFont="1" applyBorder="1"/>
    <xf numFmtId="0" fontId="27" fillId="0" borderId="15" xfId="0" applyFont="1" applyBorder="1"/>
    <xf numFmtId="0" fontId="28" fillId="0" borderId="19" xfId="0" applyFont="1" applyBorder="1"/>
    <xf numFmtId="165" fontId="28" fillId="0" borderId="19" xfId="0" applyNumberFormat="1" applyFont="1" applyBorder="1"/>
    <xf numFmtId="165" fontId="28" fillId="0" borderId="40" xfId="0" applyNumberFormat="1" applyFont="1" applyBorder="1"/>
    <xf numFmtId="165" fontId="28" fillId="0" borderId="21" xfId="0" applyNumberFormat="1" applyFont="1" applyBorder="1"/>
    <xf numFmtId="165" fontId="28" fillId="0" borderId="37" xfId="0" applyNumberFormat="1" applyFont="1" applyBorder="1"/>
    <xf numFmtId="165" fontId="28" fillId="0" borderId="29" xfId="0" applyNumberFormat="1" applyFont="1" applyBorder="1"/>
    <xf numFmtId="0" fontId="28" fillId="0" borderId="21" xfId="0" applyFont="1" applyBorder="1"/>
    <xf numFmtId="0" fontId="27" fillId="0" borderId="1" xfId="0" applyFont="1" applyBorder="1"/>
    <xf numFmtId="2" fontId="28" fillId="0" borderId="1" xfId="0" applyNumberFormat="1" applyFont="1" applyBorder="1"/>
    <xf numFmtId="0" fontId="28" fillId="0" borderId="20" xfId="0" applyFont="1" applyBorder="1"/>
    <xf numFmtId="2" fontId="28" fillId="0" borderId="20" xfId="0" applyNumberFormat="1" applyFont="1" applyBorder="1"/>
    <xf numFmtId="0" fontId="27" fillId="0" borderId="4" xfId="0" applyFont="1" applyBorder="1"/>
    <xf numFmtId="2" fontId="28" fillId="0" borderId="4" xfId="0" applyNumberFormat="1" applyFont="1" applyBorder="1"/>
    <xf numFmtId="0" fontId="27" fillId="0" borderId="3" xfId="0" applyFont="1" applyBorder="1"/>
    <xf numFmtId="2" fontId="27" fillId="0" borderId="3" xfId="0" applyNumberFormat="1" applyFont="1" applyBorder="1"/>
    <xf numFmtId="0" fontId="28" fillId="0" borderId="54" xfId="0" applyFont="1" applyBorder="1"/>
    <xf numFmtId="165" fontId="27" fillId="0" borderId="8" xfId="0" applyNumberFormat="1" applyFont="1" applyBorder="1"/>
    <xf numFmtId="165" fontId="28" fillId="0" borderId="39" xfId="0" applyNumberFormat="1" applyFont="1" applyBorder="1"/>
    <xf numFmtId="165" fontId="28" fillId="0" borderId="7" xfId="0" applyNumberFormat="1" applyFont="1" applyBorder="1"/>
    <xf numFmtId="165" fontId="28" fillId="0" borderId="38" xfId="0" applyNumberFormat="1" applyFont="1" applyBorder="1"/>
    <xf numFmtId="0" fontId="27" fillId="0" borderId="18" xfId="0" applyFont="1" applyBorder="1"/>
    <xf numFmtId="0" fontId="27" fillId="0" borderId="14" xfId="0" applyFont="1" applyBorder="1"/>
    <xf numFmtId="0" fontId="27" fillId="0" borderId="16" xfId="0" applyFont="1" applyBorder="1"/>
    <xf numFmtId="2" fontId="27" fillId="0" borderId="56" xfId="0" applyNumberFormat="1" applyFont="1" applyBorder="1"/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1" fontId="28" fillId="0" borderId="21" xfId="0" applyNumberFormat="1" applyFont="1" applyBorder="1"/>
    <xf numFmtId="1" fontId="27" fillId="0" borderId="57" xfId="0" applyNumberFormat="1" applyFont="1" applyBorder="1"/>
    <xf numFmtId="1" fontId="28" fillId="0" borderId="18" xfId="0" applyNumberFormat="1" applyFont="1" applyBorder="1"/>
    <xf numFmtId="1" fontId="28" fillId="0" borderId="14" xfId="0" applyNumberFormat="1" applyFont="1" applyBorder="1"/>
    <xf numFmtId="1" fontId="27" fillId="0" borderId="16" xfId="0" applyNumberFormat="1" applyFont="1" applyBorder="1"/>
    <xf numFmtId="1" fontId="0" fillId="0" borderId="0" xfId="0" applyNumberFormat="1"/>
    <xf numFmtId="0" fontId="29" fillId="0" borderId="1" xfId="0" quotePrefix="1" applyFont="1" applyBorder="1" applyAlignment="1">
      <alignment horizontal="center"/>
    </xf>
    <xf numFmtId="0" fontId="27" fillId="0" borderId="17" xfId="0" applyFont="1" applyBorder="1" applyAlignment="1">
      <alignment horizontal="left"/>
    </xf>
    <xf numFmtId="0" fontId="27" fillId="0" borderId="4" xfId="0" applyFont="1" applyBorder="1" applyAlignment="1">
      <alignment horizontal="center"/>
    </xf>
    <xf numFmtId="0" fontId="0" fillId="0" borderId="58" xfId="0" applyBorder="1"/>
    <xf numFmtId="0" fontId="0" fillId="0" borderId="59" xfId="0" applyBorder="1"/>
    <xf numFmtId="0" fontId="4" fillId="0" borderId="1" xfId="0" applyFont="1" applyBorder="1"/>
    <xf numFmtId="0" fontId="23" fillId="0" borderId="59" xfId="0" applyFont="1" applyBorder="1"/>
    <xf numFmtId="164" fontId="4" fillId="0" borderId="58" xfId="0" applyNumberFormat="1" applyFont="1" applyBorder="1"/>
    <xf numFmtId="0" fontId="0" fillId="0" borderId="60" xfId="0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164" fontId="4" fillId="0" borderId="1" xfId="0" applyNumberFormat="1" applyFont="1" applyBorder="1"/>
    <xf numFmtId="0" fontId="0" fillId="0" borderId="66" xfId="0" applyBorder="1"/>
    <xf numFmtId="2" fontId="4" fillId="0" borderId="13" xfId="0" applyNumberFormat="1" applyFont="1" applyBorder="1"/>
    <xf numFmtId="2" fontId="4" fillId="0" borderId="26" xfId="0" applyNumberFormat="1" applyFont="1" applyBorder="1"/>
    <xf numFmtId="0" fontId="4" fillId="0" borderId="59" xfId="0" applyFont="1" applyBorder="1"/>
    <xf numFmtId="2" fontId="4" fillId="0" borderId="17" xfId="0" applyNumberFormat="1" applyFont="1" applyBorder="1"/>
    <xf numFmtId="2" fontId="4" fillId="0" borderId="18" xfId="0" applyNumberFormat="1" applyFont="1" applyBorder="1"/>
    <xf numFmtId="2" fontId="4" fillId="0" borderId="28" xfId="0" applyNumberFormat="1" applyFont="1" applyBorder="1"/>
    <xf numFmtId="0" fontId="4" fillId="0" borderId="56" xfId="0" applyFont="1" applyBorder="1"/>
    <xf numFmtId="0" fontId="4" fillId="0" borderId="68" xfId="0" applyFont="1" applyBorder="1"/>
    <xf numFmtId="0" fontId="4" fillId="0" borderId="58" xfId="0" applyFont="1" applyBorder="1"/>
    <xf numFmtId="1" fontId="4" fillId="0" borderId="1" xfId="0" applyNumberFormat="1" applyFont="1" applyBorder="1"/>
    <xf numFmtId="165" fontId="4" fillId="0" borderId="14" xfId="0" applyNumberFormat="1" applyFont="1" applyBorder="1"/>
    <xf numFmtId="3" fontId="32" fillId="0" borderId="0" xfId="0" applyNumberFormat="1" applyFont="1"/>
    <xf numFmtId="4" fontId="32" fillId="0" borderId="0" xfId="0" applyNumberFormat="1" applyFont="1" applyAlignment="1">
      <alignment horizontal="right"/>
    </xf>
    <xf numFmtId="1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2" fontId="0" fillId="0" borderId="21" xfId="0" applyNumberFormat="1" applyBorder="1"/>
    <xf numFmtId="0" fontId="27" fillId="0" borderId="10" xfId="0" applyFont="1" applyBorder="1"/>
    <xf numFmtId="0" fontId="28" fillId="0" borderId="61" xfId="0" applyFont="1" applyBorder="1"/>
    <xf numFmtId="0" fontId="27" fillId="0" borderId="13" xfId="0" applyFont="1" applyBorder="1" applyAlignment="1">
      <alignment horizontal="left"/>
    </xf>
    <xf numFmtId="0" fontId="28" fillId="0" borderId="13" xfId="0" applyFont="1" applyBorder="1"/>
    <xf numFmtId="165" fontId="27" fillId="0" borderId="14" xfId="0" applyNumberFormat="1" applyFont="1" applyBorder="1"/>
    <xf numFmtId="0" fontId="28" fillId="0" borderId="1" xfId="0" applyFont="1" applyBorder="1"/>
    <xf numFmtId="0" fontId="27" fillId="0" borderId="1" xfId="0" applyFont="1" applyBorder="1" applyAlignment="1">
      <alignment horizontal="center"/>
    </xf>
    <xf numFmtId="165" fontId="27" fillId="0" borderId="18" xfId="0" applyNumberFormat="1" applyFont="1" applyBorder="1"/>
    <xf numFmtId="165" fontId="28" fillId="0" borderId="63" xfId="0" applyNumberFormat="1" applyFont="1" applyBorder="1"/>
    <xf numFmtId="0" fontId="4" fillId="0" borderId="63" xfId="0" applyFont="1" applyBorder="1"/>
    <xf numFmtId="165" fontId="3" fillId="3" borderId="61" xfId="3" applyNumberFormat="1" applyBorder="1"/>
    <xf numFmtId="166" fontId="2" fillId="2" borderId="63" xfId="2" applyNumberFormat="1" applyBorder="1"/>
    <xf numFmtId="2" fontId="0" fillId="0" borderId="64" xfId="0" applyNumberFormat="1" applyBorder="1"/>
    <xf numFmtId="2" fontId="0" fillId="0" borderId="63" xfId="0" applyNumberFormat="1" applyBorder="1"/>
    <xf numFmtId="165" fontId="4" fillId="0" borderId="18" xfId="0" applyNumberFormat="1" applyFont="1" applyBorder="1"/>
    <xf numFmtId="165" fontId="4" fillId="0" borderId="57" xfId="0" applyNumberFormat="1" applyFont="1" applyBorder="1"/>
    <xf numFmtId="164" fontId="4" fillId="0" borderId="56" xfId="0" applyNumberFormat="1" applyFont="1" applyBorder="1"/>
    <xf numFmtId="165" fontId="27" fillId="0" borderId="1" xfId="0" applyNumberFormat="1" applyFont="1" applyBorder="1"/>
    <xf numFmtId="165" fontId="28" fillId="0" borderId="1" xfId="0" applyNumberFormat="1" applyFont="1" applyBorder="1"/>
    <xf numFmtId="165" fontId="28" fillId="0" borderId="20" xfId="0" applyNumberFormat="1" applyFont="1" applyBorder="1"/>
    <xf numFmtId="165" fontId="27" fillId="0" borderId="4" xfId="0" applyNumberFormat="1" applyFont="1" applyBorder="1"/>
    <xf numFmtId="165" fontId="27" fillId="0" borderId="3" xfId="0" applyNumberFormat="1" applyFont="1" applyBorder="1"/>
    <xf numFmtId="0" fontId="28" fillId="0" borderId="62" xfId="0" applyFont="1" applyBorder="1"/>
    <xf numFmtId="165" fontId="28" fillId="0" borderId="62" xfId="0" applyNumberFormat="1" applyFont="1" applyBorder="1"/>
    <xf numFmtId="0" fontId="27" fillId="0" borderId="11" xfId="0" applyFont="1" applyBorder="1"/>
    <xf numFmtId="165" fontId="27" fillId="0" borderId="11" xfId="0" applyNumberFormat="1" applyFont="1" applyBorder="1"/>
    <xf numFmtId="165" fontId="27" fillId="0" borderId="12" xfId="0" applyNumberFormat="1" applyFont="1" applyBorder="1"/>
    <xf numFmtId="165" fontId="27" fillId="0" borderId="56" xfId="0" applyNumberFormat="1" applyFont="1" applyBorder="1"/>
    <xf numFmtId="165" fontId="27" fillId="0" borderId="57" xfId="0" applyNumberFormat="1" applyFont="1" applyBorder="1"/>
    <xf numFmtId="0" fontId="28" fillId="0" borderId="33" xfId="0" applyFont="1" applyBorder="1"/>
    <xf numFmtId="0" fontId="28" fillId="0" borderId="34" xfId="0" applyFont="1" applyBorder="1"/>
    <xf numFmtId="165" fontId="0" fillId="0" borderId="0" xfId="0" applyNumberFormat="1"/>
    <xf numFmtId="0" fontId="35" fillId="0" borderId="6" xfId="0" applyFont="1" applyBorder="1"/>
    <xf numFmtId="0" fontId="35" fillId="0" borderId="70" xfId="0" applyFont="1" applyBorder="1"/>
    <xf numFmtId="0" fontId="35" fillId="0" borderId="32" xfId="0" applyFont="1" applyBorder="1"/>
    <xf numFmtId="0" fontId="35" fillId="0" borderId="34" xfId="0" applyFont="1" applyBorder="1"/>
    <xf numFmtId="0" fontId="35" fillId="0" borderId="31" xfId="0" applyFont="1" applyBorder="1"/>
    <xf numFmtId="165" fontId="35" fillId="0" borderId="69" xfId="0" applyNumberFormat="1" applyFont="1" applyBorder="1"/>
    <xf numFmtId="165" fontId="35" fillId="0" borderId="53" xfId="0" applyNumberFormat="1" applyFont="1" applyBorder="1"/>
    <xf numFmtId="0" fontId="35" fillId="0" borderId="17" xfId="0" applyFont="1" applyBorder="1" applyAlignment="1">
      <alignment horizontal="left"/>
    </xf>
    <xf numFmtId="0" fontId="35" fillId="0" borderId="18" xfId="0" applyFont="1" applyBorder="1" applyAlignment="1">
      <alignment horizontal="center"/>
    </xf>
    <xf numFmtId="165" fontId="35" fillId="0" borderId="28" xfId="0" applyNumberFormat="1" applyFont="1" applyBorder="1"/>
    <xf numFmtId="165" fontId="35" fillId="0" borderId="35" xfId="0" applyNumberFormat="1" applyFont="1" applyBorder="1"/>
    <xf numFmtId="0" fontId="35" fillId="0" borderId="13" xfId="0" applyFont="1" applyBorder="1" applyAlignment="1">
      <alignment horizontal="left"/>
    </xf>
    <xf numFmtId="0" fontId="35" fillId="0" borderId="14" xfId="0" applyFont="1" applyBorder="1" applyAlignment="1">
      <alignment horizontal="center"/>
    </xf>
    <xf numFmtId="165" fontId="35" fillId="0" borderId="26" xfId="0" applyNumberFormat="1" applyFont="1" applyBorder="1"/>
    <xf numFmtId="165" fontId="35" fillId="0" borderId="23" xfId="0" applyNumberFormat="1" applyFont="1" applyBorder="1"/>
    <xf numFmtId="0" fontId="36" fillId="0" borderId="13" xfId="0" applyFont="1" applyBorder="1"/>
    <xf numFmtId="0" fontId="36" fillId="0" borderId="14" xfId="0" applyFont="1" applyBorder="1"/>
    <xf numFmtId="165" fontId="36" fillId="0" borderId="26" xfId="0" applyNumberFormat="1" applyFont="1" applyBorder="1"/>
    <xf numFmtId="165" fontId="36" fillId="0" borderId="23" xfId="0" applyNumberFormat="1" applyFont="1" applyBorder="1"/>
    <xf numFmtId="0" fontId="35" fillId="0" borderId="14" xfId="0" applyFont="1" applyBorder="1"/>
    <xf numFmtId="0" fontId="35" fillId="0" borderId="13" xfId="0" applyFont="1" applyBorder="1"/>
    <xf numFmtId="165" fontId="35" fillId="0" borderId="27" xfId="0" applyNumberFormat="1" applyFont="1" applyBorder="1"/>
    <xf numFmtId="165" fontId="35" fillId="0" borderId="24" xfId="0" applyNumberFormat="1" applyFont="1" applyBorder="1"/>
    <xf numFmtId="0" fontId="35" fillId="0" borderId="17" xfId="0" applyFont="1" applyBorder="1"/>
    <xf numFmtId="0" fontId="35" fillId="0" borderId="18" xfId="0" applyFont="1" applyBorder="1"/>
    <xf numFmtId="0" fontId="36" fillId="0" borderId="15" xfId="0" applyFont="1" applyBorder="1"/>
    <xf numFmtId="0" fontId="36" fillId="0" borderId="16" xfId="0" applyFont="1" applyBorder="1"/>
    <xf numFmtId="165" fontId="36" fillId="0" borderId="27" xfId="0" applyNumberFormat="1" applyFont="1" applyBorder="1"/>
    <xf numFmtId="165" fontId="36" fillId="0" borderId="24" xfId="0" applyNumberFormat="1" applyFont="1" applyBorder="1"/>
    <xf numFmtId="0" fontId="36" fillId="0" borderId="19" xfId="0" applyFont="1" applyBorder="1"/>
    <xf numFmtId="0" fontId="36" fillId="0" borderId="21" xfId="0" applyFont="1" applyBorder="1"/>
    <xf numFmtId="165" fontId="36" fillId="0" borderId="29" xfId="0" applyNumberFormat="1" applyFont="1" applyBorder="1"/>
    <xf numFmtId="165" fontId="36" fillId="0" borderId="37" xfId="0" applyNumberFormat="1" applyFont="1" applyBorder="1"/>
    <xf numFmtId="0" fontId="35" fillId="0" borderId="32" xfId="0" applyFont="1" applyBorder="1" applyAlignment="1">
      <alignment horizontal="left"/>
    </xf>
    <xf numFmtId="0" fontId="35" fillId="0" borderId="34" xfId="0" applyFont="1" applyBorder="1" applyAlignment="1">
      <alignment horizontal="left"/>
    </xf>
    <xf numFmtId="0" fontId="35" fillId="0" borderId="15" xfId="0" applyFont="1" applyBorder="1" applyAlignment="1">
      <alignment horizontal="left"/>
    </xf>
    <xf numFmtId="0" fontId="35" fillId="0" borderId="16" xfId="0" applyFont="1" applyBorder="1" applyAlignment="1">
      <alignment horizontal="left"/>
    </xf>
    <xf numFmtId="0" fontId="36" fillId="0" borderId="7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52" xfId="0" applyFont="1" applyBorder="1" applyAlignment="1">
      <alignment horizontal="left"/>
    </xf>
    <xf numFmtId="0" fontId="4" fillId="0" borderId="53" xfId="0" applyFont="1" applyBorder="1" applyAlignment="1">
      <alignment horizontal="left"/>
    </xf>
    <xf numFmtId="0" fontId="27" fillId="0" borderId="30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7" fillId="0" borderId="30" xfId="0" applyFont="1" applyBorder="1" applyAlignment="1">
      <alignment horizontal="left"/>
    </xf>
    <xf numFmtId="0" fontId="27" fillId="0" borderId="31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0" fontId="27" fillId="0" borderId="18" xfId="0" applyFont="1" applyBorder="1" applyAlignment="1">
      <alignment horizontal="left"/>
    </xf>
    <xf numFmtId="0" fontId="27" fillId="0" borderId="52" xfId="0" applyFont="1" applyBorder="1" applyAlignment="1">
      <alignment horizontal="center"/>
    </xf>
    <xf numFmtId="0" fontId="27" fillId="0" borderId="53" xfId="0" applyFont="1" applyBorder="1" applyAlignment="1">
      <alignment horizontal="center"/>
    </xf>
    <xf numFmtId="0" fontId="27" fillId="0" borderId="5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0" fontId="27" fillId="0" borderId="41" xfId="0" applyFont="1" applyBorder="1" applyAlignment="1">
      <alignment horizontal="center"/>
    </xf>
    <xf numFmtId="0" fontId="27" fillId="0" borderId="42" xfId="0" applyFont="1" applyBorder="1" applyAlignment="1">
      <alignment horizontal="center"/>
    </xf>
    <xf numFmtId="0" fontId="27" fillId="0" borderId="32" xfId="0" applyFont="1" applyBorder="1" applyAlignment="1">
      <alignment horizontal="left"/>
    </xf>
    <xf numFmtId="0" fontId="27" fillId="0" borderId="3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7" fillId="0" borderId="55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43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35" fillId="0" borderId="71" xfId="0" applyFont="1" applyBorder="1" applyAlignment="1">
      <alignment horizontal="left"/>
    </xf>
    <xf numFmtId="0" fontId="35" fillId="0" borderId="72" xfId="0" applyFont="1" applyBorder="1" applyAlignment="1">
      <alignment horizontal="left"/>
    </xf>
    <xf numFmtId="0" fontId="27" fillId="0" borderId="32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55" xfId="0" applyFont="1" applyBorder="1" applyAlignment="1">
      <alignment horizontal="left"/>
    </xf>
    <xf numFmtId="0" fontId="27" fillId="0" borderId="56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34" xfId="0" applyFont="1" applyBorder="1" applyAlignment="1">
      <alignment horizontal="center"/>
    </xf>
    <xf numFmtId="0" fontId="9" fillId="0" borderId="0" xfId="5" applyFont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</cellXfs>
  <cellStyles count="8">
    <cellStyle name="Bad" xfId="3" builtinId="27"/>
    <cellStyle name="Comma" xfId="1" builtinId="3"/>
    <cellStyle name="Comma 2" xfId="6" xr:uid="{8D1B5C31-BA1F-48A8-9C54-C347B013A54B}"/>
    <cellStyle name="Good" xfId="2" builtinId="26"/>
    <cellStyle name="Hyperlink" xfId="7" builtinId="8"/>
    <cellStyle name="Normal" xfId="0" builtinId="0"/>
    <cellStyle name="Normal 2" xfId="4" xr:uid="{1CF99B29-34B6-4D9D-848D-465648749B3A}"/>
    <cellStyle name="Normal 3" xfId="5" xr:uid="{9B061283-35E2-454E-8732-94E3ACD0A1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592666</xdr:colOff>
      <xdr:row>4</xdr:row>
      <xdr:rowOff>74084</xdr:rowOff>
    </xdr:from>
    <xdr:to>
      <xdr:col>37</xdr:col>
      <xdr:colOff>578908</xdr:colOff>
      <xdr:row>37</xdr:row>
      <xdr:rowOff>151342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7555E-7461-4628-9B2D-94C5A4BDC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645584"/>
          <a:ext cx="6738409" cy="6516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533400</xdr:colOff>
      <xdr:row>2</xdr:row>
      <xdr:rowOff>180975</xdr:rowOff>
    </xdr:from>
    <xdr:to>
      <xdr:col>51</xdr:col>
      <xdr:colOff>5579</xdr:colOff>
      <xdr:row>20</xdr:row>
      <xdr:rowOff>59912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610F626C-FB30-44D8-9E85-862DCD19E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5075" y="561975"/>
          <a:ext cx="6171429" cy="3304762"/>
        </a:xfrm>
        <a:prstGeom prst="rect">
          <a:avLst/>
        </a:prstGeom>
      </xdr:spPr>
    </xdr:pic>
    <xdr:clientData/>
  </xdr:twoCellAnchor>
  <xdr:oneCellAnchor>
    <xdr:from>
      <xdr:col>51</xdr:col>
      <xdr:colOff>152400</xdr:colOff>
      <xdr:row>4</xdr:row>
      <xdr:rowOff>85725</xdr:rowOff>
    </xdr:from>
    <xdr:ext cx="3238500" cy="14097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98E0B627-76FA-4844-87FC-EB207755AF9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1403925" y="657225"/>
          <a:ext cx="3238500" cy="1409700"/>
        </a:xfrm>
        <a:prstGeom prst="rect">
          <a:avLst/>
        </a:prstGeom>
        <a:noFill/>
      </xdr:spPr>
    </xdr:pic>
    <xdr:clientData fLocksWithSheet="0"/>
  </xdr:oneCellAnchor>
  <xdr:oneCellAnchor>
    <xdr:from>
      <xdr:col>55</xdr:col>
      <xdr:colOff>142875</xdr:colOff>
      <xdr:row>4</xdr:row>
      <xdr:rowOff>57150</xdr:rowOff>
    </xdr:from>
    <xdr:ext cx="2333625" cy="1466850"/>
    <xdr:pic>
      <xdr:nvPicPr>
        <xdr:cNvPr id="5" name="image5.png" title="Image">
          <a:extLst>
            <a:ext uri="{FF2B5EF4-FFF2-40B4-BE49-F238E27FC236}">
              <a16:creationId xmlns:a16="http://schemas.microsoft.com/office/drawing/2014/main" id="{CDE542C7-0519-4B2C-80E5-0409D6A0811A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832800" y="628650"/>
          <a:ext cx="2333625" cy="1466850"/>
        </a:xfrm>
        <a:prstGeom prst="rect">
          <a:avLst/>
        </a:prstGeom>
        <a:noFill/>
      </xdr:spPr>
    </xdr:pic>
    <xdr:clientData fLocksWithSheet="0"/>
  </xdr:oneCellAnchor>
  <xdr:oneCellAnchor>
    <xdr:from>
      <xdr:col>56</xdr:col>
      <xdr:colOff>180975</xdr:colOff>
      <xdr:row>27</xdr:row>
      <xdr:rowOff>0</xdr:rowOff>
    </xdr:from>
    <xdr:ext cx="3829050" cy="2162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49013141-989D-4B23-B647-0C348CAF08C9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480500" y="5029200"/>
          <a:ext cx="3829050" cy="2162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41</xdr:col>
      <xdr:colOff>0</xdr:colOff>
      <xdr:row>33</xdr:row>
      <xdr:rowOff>0</xdr:rowOff>
    </xdr:from>
    <xdr:to>
      <xdr:col>50</xdr:col>
      <xdr:colOff>548171</xdr:colOff>
      <xdr:row>56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359F284-4DDD-498C-8BDD-70CD82D39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55525" y="4267200"/>
          <a:ext cx="6034571" cy="4505325"/>
        </a:xfrm>
        <a:prstGeom prst="rect">
          <a:avLst/>
        </a:prstGeom>
      </xdr:spPr>
    </xdr:pic>
    <xdr:clientData/>
  </xdr:twoCellAnchor>
  <xdr:oneCellAnchor>
    <xdr:from>
      <xdr:col>53</xdr:col>
      <xdr:colOff>266700</xdr:colOff>
      <xdr:row>44</xdr:row>
      <xdr:rowOff>38100</xdr:rowOff>
    </xdr:from>
    <xdr:ext cx="6534150" cy="1409700"/>
    <xdr:pic>
      <xdr:nvPicPr>
        <xdr:cNvPr id="8" name="image2.png" title="Image">
          <a:extLst>
            <a:ext uri="{FF2B5EF4-FFF2-40B4-BE49-F238E27FC236}">
              <a16:creationId xmlns:a16="http://schemas.microsoft.com/office/drawing/2014/main" id="{2CAFD824-1DF8-4233-957F-508228BD15A9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109900" y="6553200"/>
          <a:ext cx="6534150" cy="14097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41</xdr:col>
      <xdr:colOff>0</xdr:colOff>
      <xdr:row>59</xdr:row>
      <xdr:rowOff>0</xdr:rowOff>
    </xdr:from>
    <xdr:to>
      <xdr:col>50</xdr:col>
      <xdr:colOff>542171</xdr:colOff>
      <xdr:row>77</xdr:row>
      <xdr:rowOff>171000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67D4BD-B309-4BB0-AC96-5B24E720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441275" y="8943975"/>
          <a:ext cx="6028571" cy="360000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83</xdr:row>
      <xdr:rowOff>0</xdr:rowOff>
    </xdr:from>
    <xdr:to>
      <xdr:col>49</xdr:col>
      <xdr:colOff>161295</xdr:colOff>
      <xdr:row>102</xdr:row>
      <xdr:rowOff>104309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D04B8A-72C9-4C63-9ECA-11CB053AA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441525" y="13515975"/>
          <a:ext cx="5038095" cy="3723809"/>
        </a:xfrm>
        <a:prstGeom prst="rect">
          <a:avLst/>
        </a:prstGeom>
      </xdr:spPr>
    </xdr:pic>
    <xdr:clientData/>
  </xdr:twoCellAnchor>
  <xdr:twoCellAnchor editAs="oneCell">
    <xdr:from>
      <xdr:col>41</xdr:col>
      <xdr:colOff>38100</xdr:colOff>
      <xdr:row>105</xdr:row>
      <xdr:rowOff>57150</xdr:rowOff>
    </xdr:from>
    <xdr:to>
      <xdr:col>53</xdr:col>
      <xdr:colOff>459243</xdr:colOff>
      <xdr:row>135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8AC599-095B-4FF9-B194-B4A610862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479625" y="17764125"/>
          <a:ext cx="8790443" cy="581977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105</xdr:row>
      <xdr:rowOff>0</xdr:rowOff>
    </xdr:from>
    <xdr:to>
      <xdr:col>72</xdr:col>
      <xdr:colOff>294019</xdr:colOff>
      <xdr:row>126</xdr:row>
      <xdr:rowOff>28071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B3B1A0-BE22-4B31-8AF6-B5D12B6C3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585525" y="17706975"/>
          <a:ext cx="10047619" cy="4028571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137</xdr:row>
      <xdr:rowOff>0</xdr:rowOff>
    </xdr:from>
    <xdr:to>
      <xdr:col>56</xdr:col>
      <xdr:colOff>459119</xdr:colOff>
      <xdr:row>158</xdr:row>
      <xdr:rowOff>28071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3FBCB4-DED8-4DFE-8A08-7FF2E72A6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051125" y="23802975"/>
          <a:ext cx="10047619" cy="40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660401</xdr:colOff>
      <xdr:row>34</xdr:row>
      <xdr:rowOff>101600</xdr:rowOff>
    </xdr:from>
    <xdr:to>
      <xdr:col>14</xdr:col>
      <xdr:colOff>1315627</xdr:colOff>
      <xdr:row>71</xdr:row>
      <xdr:rowOff>63500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1D84A4-F8A7-05F3-5505-41B8B234B2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-1" r="49282"/>
        <a:stretch/>
      </xdr:blipFill>
      <xdr:spPr>
        <a:xfrm>
          <a:off x="3962401" y="6515100"/>
          <a:ext cx="12707526" cy="6845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13307924-80A8-40B9-A8F5-D31EABEA2FDF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1-06-14T07:24:22.47" personId="{13307924-80A8-40B9-A8F5-D31EABEA2FDF}" id="{EEC41876-6A01-40AD-9F60-84D0E17163A5}">
    <text>Including Trade and Transport Margins</text>
  </threadedComment>
  <threadedComment ref="T12" dT="2021-06-14T07:23:37.80" personId="{13307924-80A8-40B9-A8F5-D31EABEA2FDF}" id="{9E655B5C-DF83-48D3-816B-5275DF1D964D}">
    <text>this is iron and steel + ferroalloys</text>
  </threadedComment>
  <threadedComment ref="E16" dT="2021-06-11T13:22:51.23" personId="{13307924-80A8-40B9-A8F5-D31EABEA2FDF}" id="{858DA16C-3ADB-4F68-90DA-5A2967C70D0C}">
    <text>this would include PGM</text>
  </threadedComment>
  <threadedComment ref="L16" dT="2021-06-13T12:18:12.41" personId="{13307924-80A8-40B9-A8F5-D31EABEA2FDF}" id="{F41A2D37-BD0B-4B72-AAE0-1F0212CAC2E0}">
    <text>See table 69 from SAMI (col AP in this sheet) and XMP 2012 and 2013 and XMP2017.</text>
  </threadedComment>
  <threadedComment ref="O18" dT="2021-06-11T14:08:12.72" personId="{13307924-80A8-40B9-A8F5-D31EABEA2FDF}" id="{120523CA-DAB0-4AF3-AD06-88C2982E49D5}">
    <text>O3BC study 2009 has 16.3 PJ</text>
  </threadedComment>
  <threadedComment ref="G19" dT="2021-06-11T15:31:29.28" personId="{13307924-80A8-40B9-A8F5-D31EABEA2FDF}" id="{870C75DA-4809-4417-90DE-126B760DEBBC}">
    <text>higher price because of extra long distances</text>
  </threadedComment>
  <threadedComment ref="M19" dT="2021-06-13T12:05:53.92" personId="{13307924-80A8-40B9-A8F5-D31EABEA2FDF}" id="{77741800-7564-4677-A600-740AFA505CE7}">
    <text>Industries</text>
  </threadedComment>
  <threadedComment ref="M20" dT="2022-04-13T08:39:23.84" personId="{13307924-80A8-40B9-A8F5-D31EABEA2FDF}" id="{243855F1-5A00-4946-94C1-ED36455EE8C7}">
    <text>Merchant and domestic</text>
  </threadedComment>
  <threadedComment ref="J24" dT="2021-06-11T15:52:23.27" personId="{13307924-80A8-40B9-A8F5-D31EABEA2FDF}" id="{83837D7F-E120-4021-8E4B-7AD01A838030}">
    <text>not strictly from SUT - this is our current (and DMRE and DFFE's estimate).</text>
  </threadedComment>
  <threadedComment ref="U24" dT="2021-06-11T13:28:55.99" personId="{13307924-80A8-40B9-A8F5-D31EABEA2FDF}" id="{76AE6714-B14F-4E52-8CF8-621A85EBFB2D}">
    <text>something weird here - drops to 15 in 2021</text>
  </threadedComment>
  <threadedComment ref="E28" dT="2022-04-06T19:04:27.99" personId="{13307924-80A8-40B9-A8F5-D31EABEA2FDF}" id="{3C47DB2C-6B40-47E7-B874-003859571491}">
    <text>This value is too low.</text>
  </threadedComment>
  <threadedComment ref="G28" dT="2022-04-06T19:04:44.08" personId="{13307924-80A8-40B9-A8F5-D31EABEA2FDF}" id="{A4EC4103-5B05-47EF-9C32-3476F4E0CB09}">
    <text>the value in 2019 is around 24 R/GJ</text>
  </threadedComment>
  <threadedComment ref="K28" dT="2021-06-11T13:44:16.83" personId="{13307924-80A8-40B9-A8F5-D31EABEA2FDF}" id="{4524F4B7-A607-46A8-AD57-6D5DDEDA7B98}">
    <text>this is a function of CV - Eskom had 19.87 but coal data for 2019 seems to indicate lower values</text>
  </threadedComment>
  <threadedComment ref="R28" dT="2021-06-11T14:03:31.91" personId="{13307924-80A8-40B9-A8F5-D31EABEA2FDF}" id="{8E4A6CF8-3676-4A55-B9F0-E0BF79F54B3A}">
    <text>Purchased (according to Alwyn van der Merwe</text>
  </threadedComment>
  <threadedComment ref="W32" dT="2022-04-06T19:30:14.03" personId="{13307924-80A8-40B9-A8F5-D31EABEA2FDF}" id="{CAEEDA11-E7A2-4A16-84E1-1AE269612CCD}">
    <text>does not include coal that gets gasified.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" dT="2021-06-13T12:18:12.41" personId="{13307924-80A8-40B9-A8F5-D31EABEA2FDF}" id="{F41A2D37-BD0B-4B73-AAE0-1F0212CAC2E0}">
    <text>See table 69 from SAMI (col AP in this sheet) and XMP 2012 and 2013 and XMP2017.</text>
  </threadedComment>
  <threadedComment ref="I10" dT="2021-06-11T14:08:12.72" personId="{13307924-80A8-40B9-A8F5-D31EABEA2FDF}" id="{120523CA-DAB0-4AF4-AD06-88C2982E49D5}">
    <text>O3BC study 2009 has 16.3 PJ</text>
  </threadedComment>
  <threadedComment ref="N11" dT="2021-06-14T07:23:37.80" personId="{13307924-80A8-40B9-A8F5-D31EABEA2FDF}" id="{9E655B5C-DF83-48D4-816B-5275DF1D964D}">
    <text>this is iron and steel + ferroalloys</text>
  </threadedComment>
  <threadedComment ref="G16" dT="2021-06-13T12:05:53.92" personId="{13307924-80A8-40B9-A8F5-D31EABEA2FDF}" id="{77741800-7564-4678-A600-740AFA505CE7}">
    <text>Industries</text>
  </threadedComment>
  <threadedComment ref="D19" dT="2021-06-11T15:52:23.27" personId="{13307924-80A8-40B9-A8F5-D31EABEA2FDF}" id="{83837D7F-E120-4022-8E4B-7AD01A838030}">
    <text>not strictly from SUT - this is our current (and DMRE and DFFE's estimate).</text>
  </threadedComment>
  <threadedComment ref="E21" dT="2021-06-11T13:44:16.83" personId="{13307924-80A8-40B9-A8F5-D31EABEA2FDF}" id="{4524F4B7-A607-46A9-AD57-6D5DDEDA7B98}">
    <text>this is a function of CV - Eskom had 19.87 but coal data for 2019 seems to indicate lower values</text>
  </threadedComment>
  <threadedComment ref="L21" dT="2021-06-11T14:03:31.91" personId="{13307924-80A8-40B9-A8F5-D31EABEA2FDF}" id="{8E4A6CF8-3676-4A56-B9F0-E0BF79F54B3A}">
    <text>Purchased (according to Alwyn van der Merwe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9" dT="2021-06-13T12:18:12.41" personId="{13307924-80A8-40B9-A8F5-D31EABEA2FDF}" id="{F41A2D37-BD0B-4B74-AAE0-1F0212CAC2E0}">
    <text>See table 69 from SAMI (col AP in this sheet) and XMP 2012 and 2013 and XMP2017.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21" dT="2021-06-11T15:52:23.27" personId="{13307924-80A8-40B9-A8F5-D31EABEA2FDF}" id="{83837D7F-E120-4023-8E4B-7AD01A838030}">
    <text>not strictly from SUT - this is our current (and DMRE and DFFE's estimate).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mr.gov.za/resource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20C1-45BD-4128-9DB1-FA2076926A66}">
  <sheetPr codeName="Sheet1"/>
  <dimension ref="A1:BL105"/>
  <sheetViews>
    <sheetView showZeros="0" zoomScale="60" zoomScaleNormal="60" workbookViewId="0">
      <selection activeCell="V25" sqref="V25"/>
    </sheetView>
  </sheetViews>
  <sheetFormatPr defaultRowHeight="14.4"/>
  <cols>
    <col min="3" max="3" width="30.33203125" bestFit="1" customWidth="1"/>
    <col min="4" max="4" width="17.33203125" customWidth="1"/>
    <col min="5" max="7" width="15.109375" customWidth="1"/>
    <col min="8" max="8" width="16" bestFit="1" customWidth="1"/>
    <col min="9" max="9" width="8.109375" bestFit="1" customWidth="1"/>
    <col min="10" max="10" width="16" bestFit="1" customWidth="1"/>
    <col min="11" max="11" width="22" bestFit="1" customWidth="1"/>
    <col min="12" max="12" width="19" bestFit="1" customWidth="1"/>
    <col min="13" max="13" width="15.6640625" bestFit="1" customWidth="1"/>
    <col min="14" max="14" width="16" bestFit="1" customWidth="1"/>
    <col min="15" max="15" width="21" bestFit="1" customWidth="1"/>
    <col min="16" max="16" width="18.44140625" bestFit="1" customWidth="1"/>
    <col min="17" max="17" width="13.44140625" bestFit="1" customWidth="1"/>
    <col min="18" max="18" width="10.33203125" bestFit="1" customWidth="1"/>
    <col min="19" max="19" width="11.44140625" bestFit="1" customWidth="1"/>
    <col min="20" max="20" width="13.33203125" bestFit="1" customWidth="1"/>
    <col min="21" max="21" width="18.6640625" bestFit="1" customWidth="1"/>
    <col min="22" max="22" width="18.33203125" bestFit="1" customWidth="1"/>
    <col min="23" max="23" width="13.44140625" bestFit="1" customWidth="1"/>
    <col min="52" max="52" width="24.33203125" bestFit="1" customWidth="1"/>
  </cols>
  <sheetData>
    <row r="1" spans="1:56">
      <c r="A1" s="1" t="s">
        <v>0</v>
      </c>
    </row>
    <row r="2" spans="1:56">
      <c r="AB2" t="s">
        <v>1</v>
      </c>
    </row>
    <row r="3" spans="1:56" ht="15" thickBot="1">
      <c r="AB3" t="s">
        <v>2</v>
      </c>
      <c r="AZ3" t="s">
        <v>3</v>
      </c>
      <c r="BD3" t="s">
        <v>4</v>
      </c>
    </row>
    <row r="4" spans="1:56" ht="15" thickBot="1">
      <c r="C4" s="260" t="s">
        <v>5</v>
      </c>
      <c r="D4" s="261"/>
      <c r="E4" s="257" t="s">
        <v>6</v>
      </c>
      <c r="F4" s="258"/>
      <c r="G4" s="258"/>
      <c r="H4" s="258"/>
      <c r="I4" s="258"/>
      <c r="J4" s="259"/>
      <c r="K4" s="81" t="s">
        <v>7</v>
      </c>
      <c r="L4" s="82" t="s">
        <v>8</v>
      </c>
      <c r="M4" s="81" t="s">
        <v>9</v>
      </c>
      <c r="N4" s="82" t="s">
        <v>10</v>
      </c>
      <c r="O4" s="83" t="s">
        <v>11</v>
      </c>
      <c r="P4" s="83" t="s">
        <v>12</v>
      </c>
      <c r="Q4" s="83" t="s">
        <v>13</v>
      </c>
      <c r="R4" s="83" t="s">
        <v>14</v>
      </c>
      <c r="S4" s="83" t="s">
        <v>15</v>
      </c>
      <c r="T4" s="83" t="s">
        <v>16</v>
      </c>
      <c r="U4" s="81" t="s">
        <v>7</v>
      </c>
      <c r="V4" s="82" t="s">
        <v>17</v>
      </c>
      <c r="W4" s="83" t="s">
        <v>13</v>
      </c>
    </row>
    <row r="5" spans="1:56">
      <c r="C5" s="59"/>
      <c r="D5" s="60"/>
      <c r="E5" s="166"/>
      <c r="F5" s="80" t="s">
        <v>18</v>
      </c>
      <c r="G5" s="80" t="s">
        <v>19</v>
      </c>
      <c r="H5" s="80"/>
      <c r="I5" s="80" t="s">
        <v>19</v>
      </c>
      <c r="J5" s="60"/>
      <c r="K5" s="59"/>
      <c r="L5" s="60"/>
      <c r="M5" s="59"/>
      <c r="N5" s="60"/>
      <c r="O5" s="68"/>
      <c r="P5" s="68"/>
      <c r="Q5" s="68"/>
      <c r="R5" s="68"/>
      <c r="S5" s="68"/>
      <c r="T5" s="68"/>
      <c r="U5" s="59"/>
      <c r="V5" s="60"/>
      <c r="W5" s="68"/>
    </row>
    <row r="6" spans="1:56" ht="15" thickBot="1">
      <c r="C6" s="262" t="s">
        <v>20</v>
      </c>
      <c r="D6" s="263"/>
      <c r="E6" s="155" t="s">
        <v>21</v>
      </c>
      <c r="F6" s="55" t="s">
        <v>22</v>
      </c>
      <c r="G6" s="55" t="s">
        <v>23</v>
      </c>
      <c r="H6" s="55" t="s">
        <v>24</v>
      </c>
      <c r="I6" s="55" t="s">
        <v>25</v>
      </c>
      <c r="J6" s="56" t="s">
        <v>26</v>
      </c>
      <c r="K6" s="54" t="s">
        <v>26</v>
      </c>
      <c r="L6" s="56" t="s">
        <v>26</v>
      </c>
      <c r="M6" s="54" t="s">
        <v>26</v>
      </c>
      <c r="N6" s="56" t="s">
        <v>26</v>
      </c>
      <c r="O6" s="72" t="s">
        <v>26</v>
      </c>
      <c r="P6" s="72" t="s">
        <v>26</v>
      </c>
      <c r="Q6" s="72" t="s">
        <v>26</v>
      </c>
      <c r="R6" s="72" t="s">
        <v>26</v>
      </c>
      <c r="S6" s="72" t="s">
        <v>26</v>
      </c>
      <c r="T6" s="72" t="s">
        <v>26</v>
      </c>
      <c r="U6" s="54" t="s">
        <v>24</v>
      </c>
      <c r="V6" s="56" t="s">
        <v>24</v>
      </c>
      <c r="W6" s="72" t="s">
        <v>24</v>
      </c>
    </row>
    <row r="7" spans="1:56" ht="15" thickBot="1">
      <c r="C7" s="264" t="s">
        <v>27</v>
      </c>
      <c r="D7" s="265"/>
      <c r="E7" s="174">
        <f>SUM(E10:E24)</f>
        <v>17239.759999999998</v>
      </c>
      <c r="F7" s="173">
        <f>SUM(F10:F24)</f>
        <v>309</v>
      </c>
      <c r="G7" s="173">
        <f>SUM(G10:G24)</f>
        <v>430</v>
      </c>
      <c r="H7" s="200">
        <f>SUM(H10:H24)</f>
        <v>437.26335728715731</v>
      </c>
      <c r="I7" s="173">
        <f>SUM(I10:I24)</f>
        <v>11305</v>
      </c>
      <c r="J7" s="199">
        <f>SUM(J8,J21)</f>
        <v>16.713856776297597</v>
      </c>
      <c r="K7" s="199">
        <f t="shared" ref="K7:T7" si="0">SUM(K8,K21)</f>
        <v>21.31310835058661</v>
      </c>
      <c r="L7" s="199">
        <f t="shared" si="0"/>
        <v>19.336595951463099</v>
      </c>
      <c r="M7" s="199">
        <f t="shared" si="0"/>
        <v>25.453100000000003</v>
      </c>
      <c r="N7" s="199">
        <f t="shared" si="0"/>
        <v>25.43</v>
      </c>
      <c r="O7" s="199">
        <f t="shared" si="0"/>
        <v>1.2273061881757534</v>
      </c>
      <c r="P7" s="199">
        <f t="shared" si="0"/>
        <v>16.305713125</v>
      </c>
      <c r="Q7" s="199">
        <f t="shared" si="0"/>
        <v>18.822222222222223</v>
      </c>
      <c r="R7" s="199">
        <f t="shared" si="0"/>
        <v>0</v>
      </c>
      <c r="S7" s="199">
        <f t="shared" si="0"/>
        <v>0</v>
      </c>
      <c r="T7" s="199">
        <f t="shared" si="0"/>
        <v>30.023280000000003</v>
      </c>
      <c r="U7" s="199">
        <f t="shared" ref="U7" si="1">SUM(U8,U21)</f>
        <v>546.68999999999994</v>
      </c>
      <c r="V7" s="199">
        <f>SUM(V8,V21)</f>
        <v>494.38880808080796</v>
      </c>
      <c r="W7" s="199">
        <f t="shared" ref="W7" si="2">SUM(W8,W21)</f>
        <v>508.2</v>
      </c>
    </row>
    <row r="8" spans="1:56" ht="15" thickTop="1">
      <c r="C8" s="163" t="s">
        <v>28</v>
      </c>
      <c r="D8" s="164"/>
      <c r="E8" s="175"/>
      <c r="F8" s="44"/>
      <c r="G8" s="44"/>
      <c r="H8" s="45">
        <f>SUM(H9,H12:H20)</f>
        <v>384.34411919191916</v>
      </c>
      <c r="I8" s="44"/>
      <c r="J8" s="171">
        <f>SUM(J9,J12:J20)</f>
        <v>15.23387088564504</v>
      </c>
      <c r="K8" s="170">
        <f>SUM(K9,K12:K20)</f>
        <v>19.108293535771796</v>
      </c>
      <c r="L8" s="170">
        <f t="shared" ref="L8:W8" si="3">SUM(L9,L12:L20)</f>
        <v>17.816966321833469</v>
      </c>
      <c r="M8" s="170">
        <f t="shared" si="3"/>
        <v>25.383100000000002</v>
      </c>
      <c r="N8" s="170">
        <f t="shared" si="3"/>
        <v>25.36</v>
      </c>
      <c r="O8" s="170">
        <f t="shared" si="3"/>
        <v>1.2273061881757534</v>
      </c>
      <c r="P8" s="170">
        <f t="shared" si="3"/>
        <v>15.008675</v>
      </c>
      <c r="Q8" s="170">
        <f t="shared" si="3"/>
        <v>7.6296296296296298</v>
      </c>
      <c r="R8" s="170">
        <f t="shared" si="3"/>
        <v>0</v>
      </c>
      <c r="S8" s="170">
        <f t="shared" si="3"/>
        <v>0</v>
      </c>
      <c r="T8" s="170">
        <f t="shared" si="3"/>
        <v>30.023280000000003</v>
      </c>
      <c r="U8" s="170">
        <f t="shared" si="3"/>
        <v>487.15999999999997</v>
      </c>
      <c r="V8" s="170">
        <f t="shared" si="3"/>
        <v>453.35880808080799</v>
      </c>
      <c r="W8" s="172">
        <f t="shared" si="3"/>
        <v>206</v>
      </c>
    </row>
    <row r="9" spans="1:56">
      <c r="C9" s="157" t="s">
        <v>29</v>
      </c>
      <c r="D9" s="156"/>
      <c r="E9" s="169"/>
      <c r="F9" s="152"/>
      <c r="G9" s="152"/>
      <c r="H9" s="165">
        <f>SUM(H10:H11)</f>
        <v>32.417999999999999</v>
      </c>
      <c r="I9" s="152"/>
      <c r="J9" s="167">
        <f>SUM(J10:J11)</f>
        <v>1.5437142857142856</v>
      </c>
      <c r="K9" s="167">
        <f>SUM(K10:K11)</f>
        <v>1.5857142857142856</v>
      </c>
      <c r="L9" s="167">
        <f t="shared" ref="L9:W9" si="4">SUM(L10:L11)</f>
        <v>1.5857142857142856</v>
      </c>
      <c r="M9" s="167">
        <f t="shared" si="4"/>
        <v>1.25</v>
      </c>
      <c r="N9" s="167">
        <f t="shared" si="4"/>
        <v>1.7</v>
      </c>
      <c r="O9" s="167">
        <f t="shared" si="4"/>
        <v>7.1428571428571425E-2</v>
      </c>
      <c r="P9" s="167">
        <f t="shared" si="4"/>
        <v>1.8328530000000001</v>
      </c>
      <c r="Q9" s="167">
        <f t="shared" si="4"/>
        <v>0</v>
      </c>
      <c r="R9" s="167">
        <f t="shared" si="4"/>
        <v>0</v>
      </c>
      <c r="S9" s="167">
        <f t="shared" si="4"/>
        <v>0</v>
      </c>
      <c r="T9" s="167">
        <f t="shared" si="4"/>
        <v>0</v>
      </c>
      <c r="U9" s="167">
        <f t="shared" si="4"/>
        <v>33.299999999999997</v>
      </c>
      <c r="V9" s="167">
        <f t="shared" si="4"/>
        <v>33.299999999999997</v>
      </c>
      <c r="W9" s="168">
        <f t="shared" si="4"/>
        <v>0</v>
      </c>
    </row>
    <row r="10" spans="1:56">
      <c r="C10" s="46"/>
      <c r="D10" s="47" t="s">
        <v>30</v>
      </c>
      <c r="E10" s="151">
        <f>SUMIF(CoalBalance!$C$40:$C$102,D10,CoalBalance!$G$40:$G$102)</f>
        <v>486.27</v>
      </c>
      <c r="F10" s="36">
        <v>21</v>
      </c>
      <c r="G10" s="36">
        <v>15</v>
      </c>
      <c r="H10" s="37">
        <f>E10/G10</f>
        <v>32.417999999999999</v>
      </c>
      <c r="I10" s="38">
        <f>G10*F10</f>
        <v>315</v>
      </c>
      <c r="J10" s="50">
        <f>E10/I10</f>
        <v>1.5437142857142856</v>
      </c>
      <c r="K10" s="61">
        <f>SUM(U10:U11)/F10</f>
        <v>1.5857142857142856</v>
      </c>
      <c r="L10" s="62">
        <f>K10</f>
        <v>1.5857142857142856</v>
      </c>
      <c r="M10" s="46">
        <v>1.25</v>
      </c>
      <c r="N10" s="47">
        <v>1.7</v>
      </c>
      <c r="O10" s="71">
        <f>1.5/F10</f>
        <v>7.1428571428571425E-2</v>
      </c>
      <c r="P10" s="73">
        <f>'Commodity flow native units'!F47/1000000</f>
        <v>1.8328530000000001</v>
      </c>
      <c r="Q10" s="75" t="str">
        <f t="shared" ref="Q10:Q24" si="5">IF(W10&lt;&gt;"",W10/F10,"")</f>
        <v/>
      </c>
      <c r="R10" s="69"/>
      <c r="S10" s="69"/>
      <c r="T10" s="69"/>
      <c r="U10" s="46">
        <v>24.46</v>
      </c>
      <c r="V10" s="77">
        <f t="shared" ref="V10:V33" si="6">L10*F10</f>
        <v>33.299999999999997</v>
      </c>
      <c r="W10" s="69"/>
    </row>
    <row r="11" spans="1:56">
      <c r="C11" s="46"/>
      <c r="D11" s="47" t="s">
        <v>31</v>
      </c>
      <c r="E11" s="151"/>
      <c r="F11" s="36"/>
      <c r="G11" s="36"/>
      <c r="H11" s="36"/>
      <c r="I11" s="36"/>
      <c r="J11" s="47"/>
      <c r="K11" s="46"/>
      <c r="L11" s="47"/>
      <c r="M11" s="46"/>
      <c r="N11" s="47"/>
      <c r="O11" s="71"/>
      <c r="P11" s="73"/>
      <c r="Q11" s="75" t="str">
        <f t="shared" si="5"/>
        <v/>
      </c>
      <c r="R11" s="69"/>
      <c r="S11" s="69"/>
      <c r="T11" s="69"/>
      <c r="U11" s="46">
        <v>8.84</v>
      </c>
      <c r="V11" s="77">
        <f t="shared" si="6"/>
        <v>0</v>
      </c>
      <c r="W11" s="69"/>
    </row>
    <row r="12" spans="1:56">
      <c r="C12" s="46" t="s">
        <v>32</v>
      </c>
      <c r="D12" s="85"/>
      <c r="E12" s="151">
        <f>SUMIF(CoalBalance!$C$40:$C$102,C12,CoalBalance!$G$40:$G$102)</f>
        <v>3576.96</v>
      </c>
      <c r="F12" s="36">
        <v>28</v>
      </c>
      <c r="G12" s="36">
        <v>50</v>
      </c>
      <c r="H12" s="37">
        <f>E12/G12</f>
        <v>71.539199999999994</v>
      </c>
      <c r="I12" s="38">
        <f>G12*F12</f>
        <v>1400</v>
      </c>
      <c r="J12" s="50">
        <f>E12/I12</f>
        <v>2.5549714285714287</v>
      </c>
      <c r="K12" s="65">
        <f>U12/F12</f>
        <v>2.8717857142857142</v>
      </c>
      <c r="L12" s="62">
        <f>K12</f>
        <v>2.8717857142857142</v>
      </c>
      <c r="M12" s="46">
        <v>2.91</v>
      </c>
      <c r="N12" s="47">
        <v>3.1</v>
      </c>
      <c r="O12" s="71"/>
      <c r="P12" s="73">
        <f>'Commodity flow native units'!F46/1000000</f>
        <v>2.8047740000000001</v>
      </c>
      <c r="Q12" s="75" t="str">
        <f>IF(W12&lt;&gt;"",W12/F12,"")</f>
        <v/>
      </c>
      <c r="R12" s="69"/>
      <c r="S12" s="69"/>
      <c r="T12" s="73">
        <f>BB63</f>
        <v>5.7109500000000004</v>
      </c>
      <c r="U12" s="46">
        <v>80.41</v>
      </c>
      <c r="V12" s="77">
        <f>L12*F12</f>
        <v>80.41</v>
      </c>
      <c r="W12" s="69"/>
    </row>
    <row r="13" spans="1:56">
      <c r="C13" s="46" t="s">
        <v>33</v>
      </c>
      <c r="D13" s="85"/>
      <c r="E13" s="151">
        <f>SUMIF(CoalBalance!$C$40:$C$102,C13,CoalBalance!$G$40:$G$102)</f>
        <v>18.95</v>
      </c>
      <c r="F13" s="36">
        <v>27</v>
      </c>
      <c r="G13" s="36">
        <v>45</v>
      </c>
      <c r="H13" s="37">
        <f>E13/G13</f>
        <v>0.4211111111111111</v>
      </c>
      <c r="I13" s="38">
        <f>G13*F13</f>
        <v>1215</v>
      </c>
      <c r="J13" s="50">
        <f>E13/I13</f>
        <v>1.5596707818930041E-2</v>
      </c>
      <c r="K13" s="65">
        <f>U13/F13</f>
        <v>1.6666666666666666E-2</v>
      </c>
      <c r="L13" s="62">
        <f>K13</f>
        <v>1.6666666666666666E-2</v>
      </c>
      <c r="M13" s="46"/>
      <c r="N13" s="47"/>
      <c r="O13" s="71"/>
      <c r="P13" s="73">
        <f>'Commodity flow native units'!F48/1000000</f>
        <v>0.12893299999999999</v>
      </c>
      <c r="Q13" s="75" t="str">
        <f>IF(W13&lt;&gt;"",W13/F13,"")</f>
        <v/>
      </c>
      <c r="R13" s="69"/>
      <c r="S13" s="69"/>
      <c r="T13" s="69"/>
      <c r="U13" s="46">
        <v>0.45</v>
      </c>
      <c r="V13" s="77">
        <f>L13*F13</f>
        <v>0.45</v>
      </c>
      <c r="W13" s="69"/>
    </row>
    <row r="14" spans="1:56">
      <c r="C14" s="46" t="s">
        <v>34</v>
      </c>
      <c r="D14" s="85"/>
      <c r="E14" s="151">
        <f>SUMIF(CoalBalance!$C$40:$C$102,C14,CoalBalance!$G$40:$G$102)</f>
        <v>1192.8</v>
      </c>
      <c r="F14" s="36">
        <v>20</v>
      </c>
      <c r="G14" s="36">
        <v>25</v>
      </c>
      <c r="H14" s="37">
        <f>E14/G14</f>
        <v>47.711999999999996</v>
      </c>
      <c r="I14" s="38">
        <f>G14*F14</f>
        <v>500</v>
      </c>
      <c r="J14" s="50">
        <f>E14/I14</f>
        <v>2.3855999999999997</v>
      </c>
      <c r="K14" s="65">
        <f>U14/F14</f>
        <v>2.4460000000000002</v>
      </c>
      <c r="L14" s="62">
        <f>K14</f>
        <v>2.4460000000000002</v>
      </c>
      <c r="M14" s="46">
        <v>1.236</v>
      </c>
      <c r="N14" s="47">
        <v>1.3</v>
      </c>
      <c r="O14" s="71"/>
      <c r="P14" s="73">
        <f>'Commodity flow native units'!F49/1000000</f>
        <v>1.6260110000000001</v>
      </c>
      <c r="Q14" s="75" t="str">
        <f>IF(W14&lt;&gt;"",W14/F14,"")</f>
        <v/>
      </c>
      <c r="R14" s="69"/>
      <c r="S14" s="69"/>
      <c r="T14" s="69"/>
      <c r="U14" s="46">
        <v>48.92</v>
      </c>
      <c r="V14" s="77">
        <f>L14*F14</f>
        <v>48.92</v>
      </c>
      <c r="W14" s="69"/>
    </row>
    <row r="15" spans="1:56">
      <c r="C15" s="46" t="s">
        <v>35</v>
      </c>
      <c r="D15" s="85"/>
      <c r="E15" s="150">
        <f>SUMIF(CoalBalance!$C$40:$C$102,C15,CoalBalance!$G$40:$G$102)</f>
        <v>0</v>
      </c>
      <c r="F15" s="41"/>
      <c r="G15" s="41"/>
      <c r="H15" s="41"/>
      <c r="I15" s="41"/>
      <c r="J15" s="49"/>
      <c r="K15" s="48"/>
      <c r="L15" s="49"/>
      <c r="M15" s="48"/>
      <c r="N15" s="49"/>
      <c r="O15" s="70"/>
      <c r="P15" s="70"/>
      <c r="Q15" s="70"/>
      <c r="R15" s="70"/>
      <c r="S15" s="70"/>
      <c r="T15" s="70"/>
      <c r="U15" s="48"/>
      <c r="V15" s="49"/>
      <c r="W15" s="70"/>
    </row>
    <row r="16" spans="1:56">
      <c r="C16" s="46" t="s">
        <v>36</v>
      </c>
      <c r="D16" s="85"/>
      <c r="E16" s="151">
        <f>SUMIF(CoalBalance!$C$40:$C$102,C16,CoalBalance!$G$40:$G$102)</f>
        <v>3560.55</v>
      </c>
      <c r="F16" s="36">
        <v>28</v>
      </c>
      <c r="G16" s="36">
        <v>50</v>
      </c>
      <c r="H16" s="37">
        <f t="shared" ref="H16:H23" si="7">E16/G16</f>
        <v>71.210999999999999</v>
      </c>
      <c r="I16" s="38">
        <f t="shared" ref="I16:I23" si="8">G16*F16</f>
        <v>1400</v>
      </c>
      <c r="J16" s="50">
        <f t="shared" ref="J16:J23" si="9">E16/I16</f>
        <v>2.54325</v>
      </c>
      <c r="K16" s="63">
        <f t="shared" ref="K16:K24" si="10">U16/F16</f>
        <v>1.6353571428571427</v>
      </c>
      <c r="L16" s="64">
        <f>M16</f>
        <v>2.7</v>
      </c>
      <c r="M16" s="46">
        <v>2.7</v>
      </c>
      <c r="N16" s="47">
        <v>1.6</v>
      </c>
      <c r="O16" s="71"/>
      <c r="P16" s="73"/>
      <c r="Q16" s="75" t="str">
        <f t="shared" si="5"/>
        <v/>
      </c>
      <c r="R16" s="69"/>
      <c r="S16" s="69"/>
      <c r="T16" s="69"/>
      <c r="U16" s="46">
        <v>45.79</v>
      </c>
      <c r="V16" s="77">
        <f>L16*F16</f>
        <v>75.600000000000009</v>
      </c>
      <c r="W16" s="69"/>
    </row>
    <row r="17" spans="3:64">
      <c r="C17" s="46" t="s">
        <v>37</v>
      </c>
      <c r="D17" s="85"/>
      <c r="E17" s="151">
        <f>SUMIF(CoalBalance!$C$40:$C$102,C17,CoalBalance!$G$40:$G$102)</f>
        <v>1229.06</v>
      </c>
      <c r="F17" s="36">
        <v>23</v>
      </c>
      <c r="G17" s="36">
        <v>35</v>
      </c>
      <c r="H17" s="37">
        <f>E17/G17</f>
        <v>35.116</v>
      </c>
      <c r="I17" s="38">
        <f>G17*F17</f>
        <v>805</v>
      </c>
      <c r="J17" s="50">
        <f>E17/I17</f>
        <v>1.5267826086956522</v>
      </c>
      <c r="K17" s="65">
        <f>U17/F17</f>
        <v>1.6586956521739129</v>
      </c>
      <c r="L17" s="62">
        <f>K17</f>
        <v>1.6586956521739129</v>
      </c>
      <c r="M17" s="46">
        <v>4.7100000000000003E-2</v>
      </c>
      <c r="N17" s="47">
        <v>0.06</v>
      </c>
      <c r="O17" s="71">
        <f>3.5/F17</f>
        <v>0.15217391304347827</v>
      </c>
      <c r="P17" s="73">
        <f>'Commodity flow native units'!F52/1000000</f>
        <v>5.2187999999999998E-2</v>
      </c>
      <c r="Q17" s="75" t="str">
        <f>IF(W17&lt;&gt;"",W17/F17,"")</f>
        <v/>
      </c>
      <c r="R17" s="69"/>
      <c r="S17" s="69"/>
      <c r="T17" s="69"/>
      <c r="U17" s="46">
        <v>38.15</v>
      </c>
      <c r="V17" s="77">
        <f>L17*F17</f>
        <v>38.15</v>
      </c>
      <c r="W17" s="69"/>
    </row>
    <row r="18" spans="3:64">
      <c r="C18" s="46" t="s">
        <v>38</v>
      </c>
      <c r="D18" s="85"/>
      <c r="E18" s="151">
        <f>SUMIF(CoalBalance!$C$40:$C$102,C18,CoalBalance!$G$40:$G$102)</f>
        <v>741.88000000000011</v>
      </c>
      <c r="F18" s="36">
        <v>27</v>
      </c>
      <c r="G18" s="36">
        <v>45</v>
      </c>
      <c r="H18" s="37">
        <f t="shared" si="7"/>
        <v>16.486222222222224</v>
      </c>
      <c r="I18" s="38">
        <f t="shared" si="8"/>
        <v>1215</v>
      </c>
      <c r="J18" s="50">
        <f t="shared" si="9"/>
        <v>0.61060082304526753</v>
      </c>
      <c r="K18" s="65">
        <f>U18/F18</f>
        <v>0.60259259259259257</v>
      </c>
      <c r="L18" s="62">
        <f t="shared" ref="L18" si="11">K18</f>
        <v>0.60259259259259257</v>
      </c>
      <c r="M18" s="46"/>
      <c r="N18" s="47"/>
      <c r="O18" s="71">
        <f>23.1/F18</f>
        <v>0.85555555555555562</v>
      </c>
      <c r="P18" s="73">
        <f>'Commodity flow native units'!F15/1000000</f>
        <v>0.28007500000000002</v>
      </c>
      <c r="Q18" s="75" t="str">
        <f t="shared" si="5"/>
        <v/>
      </c>
      <c r="R18" s="69"/>
      <c r="S18" s="69"/>
      <c r="T18" s="69"/>
      <c r="U18" s="46">
        <v>16.27</v>
      </c>
      <c r="V18" s="77">
        <f t="shared" si="6"/>
        <v>16.27</v>
      </c>
      <c r="W18" s="69"/>
    </row>
    <row r="19" spans="3:64">
      <c r="C19" s="46" t="s">
        <v>39</v>
      </c>
      <c r="D19" s="85"/>
      <c r="E19" s="151">
        <f>SUMIF(CoalBalance!$C$40:$C$102,C19,CoalBalance!$G$40:$G$102)</f>
        <v>3224.23</v>
      </c>
      <c r="F19" s="36">
        <v>27</v>
      </c>
      <c r="G19" s="36">
        <v>55</v>
      </c>
      <c r="H19" s="37">
        <f>E19/G19</f>
        <v>58.622363636363637</v>
      </c>
      <c r="I19" s="38">
        <f>G19*F19</f>
        <v>1485</v>
      </c>
      <c r="J19" s="50">
        <f>E19/I19</f>
        <v>2.1711986531986533</v>
      </c>
      <c r="K19" s="63">
        <f>U19/F19</f>
        <v>1.6822222222222223</v>
      </c>
      <c r="L19" s="64">
        <f>J19</f>
        <v>2.1711986531986533</v>
      </c>
      <c r="M19" s="46">
        <v>4.9400000000000004</v>
      </c>
      <c r="N19" s="47">
        <v>4.8</v>
      </c>
      <c r="O19" s="71">
        <f>2.9/F19</f>
        <v>0.10740740740740741</v>
      </c>
      <c r="P19" s="73"/>
      <c r="Q19" s="75" t="str">
        <f>IF(W19&lt;&gt;"",W19/F19,"")</f>
        <v/>
      </c>
      <c r="R19" s="69"/>
      <c r="S19" s="69"/>
      <c r="T19" s="73">
        <f>BB61</f>
        <v>8.3579300000000014</v>
      </c>
      <c r="U19" s="46">
        <v>45.42</v>
      </c>
      <c r="V19" s="77">
        <f>L19*F19</f>
        <v>58.622363636363637</v>
      </c>
      <c r="W19" s="69"/>
      <c r="AZ19" s="26" t="s">
        <v>40</v>
      </c>
      <c r="BA19" s="26" t="s">
        <v>41</v>
      </c>
      <c r="BB19" s="27" t="s">
        <v>42</v>
      </c>
      <c r="BC19" s="26" t="s">
        <v>43</v>
      </c>
      <c r="BD19" s="26" t="s">
        <v>44</v>
      </c>
    </row>
    <row r="20" spans="3:64" ht="15.6">
      <c r="C20" s="46" t="s">
        <v>45</v>
      </c>
      <c r="D20" s="85"/>
      <c r="E20" s="151">
        <f>SUMIF(CoalBalance!$C$40:$C$102,C20,CoalBalance!$G$40:$G$102)</f>
        <v>2286.8199999999997</v>
      </c>
      <c r="F20" s="36">
        <v>27</v>
      </c>
      <c r="G20" s="36">
        <v>45</v>
      </c>
      <c r="H20" s="37">
        <f>E20/G20</f>
        <v>50.818222222222218</v>
      </c>
      <c r="I20" s="38">
        <f>G20*F20</f>
        <v>1215</v>
      </c>
      <c r="J20" s="50">
        <f>E20/I20</f>
        <v>1.8821563786008229</v>
      </c>
      <c r="K20" s="63">
        <f>U20/F20</f>
        <v>6.6092592592592592</v>
      </c>
      <c r="L20" s="64">
        <f>J20*2</f>
        <v>3.7643127572016457</v>
      </c>
      <c r="M20" s="46">
        <v>12.3</v>
      </c>
      <c r="N20" s="47">
        <v>12.8</v>
      </c>
      <c r="O20" s="71">
        <f>1.1/F20</f>
        <v>4.0740740740740744E-2</v>
      </c>
      <c r="P20" s="73">
        <f>('Commodity flow native units'!F58+'Commodity flow native units'!F66+'Commodity flow native units'!F71)/1000000</f>
        <v>8.2838410000000007</v>
      </c>
      <c r="Q20" s="75">
        <f>IF(W20&lt;&gt;"",W20/F20,"")</f>
        <v>7.6296296296296298</v>
      </c>
      <c r="R20" s="69"/>
      <c r="S20" s="69"/>
      <c r="T20" s="73">
        <f>BB67+BB64</f>
        <v>15.954400000000001</v>
      </c>
      <c r="U20" s="46">
        <v>178.45</v>
      </c>
      <c r="V20" s="77">
        <f>L20*F20</f>
        <v>101.63644444444444</v>
      </c>
      <c r="W20" s="69">
        <v>206</v>
      </c>
      <c r="AZ20" s="28" t="s">
        <v>46</v>
      </c>
      <c r="BA20" s="29">
        <v>115.3</v>
      </c>
      <c r="BB20" s="30">
        <v>37930</v>
      </c>
      <c r="BC20" s="31">
        <v>329</v>
      </c>
      <c r="BD20" s="32">
        <f>BC20*BA20</f>
        <v>37933.699999999997</v>
      </c>
    </row>
    <row r="21" spans="3:64" s="1" customFormat="1">
      <c r="C21" s="84" t="s">
        <v>47</v>
      </c>
      <c r="D21" s="85"/>
      <c r="E21" s="169"/>
      <c r="F21" s="152"/>
      <c r="G21" s="152"/>
      <c r="H21" s="165">
        <f>SUM(H22:H24)</f>
        <v>26.459619047619046</v>
      </c>
      <c r="I21" s="176"/>
      <c r="J21" s="177">
        <f>SUM(J22:J24)</f>
        <v>1.4799858906525574</v>
      </c>
      <c r="K21" s="177">
        <f>SUM(K22:K24)</f>
        <v>2.2048148148148146</v>
      </c>
      <c r="L21" s="177">
        <f t="shared" ref="L21:W21" si="12">SUM(L22:L24)</f>
        <v>1.5196296296296297</v>
      </c>
      <c r="M21" s="177">
        <f t="shared" si="12"/>
        <v>7.0000000000000007E-2</v>
      </c>
      <c r="N21" s="177">
        <f t="shared" si="12"/>
        <v>7.0000000000000007E-2</v>
      </c>
      <c r="O21" s="177">
        <f t="shared" si="12"/>
        <v>0</v>
      </c>
      <c r="P21" s="177">
        <f t="shared" si="12"/>
        <v>1.297038125</v>
      </c>
      <c r="Q21" s="177">
        <f t="shared" si="12"/>
        <v>11.192592592592591</v>
      </c>
      <c r="R21" s="177">
        <f t="shared" si="12"/>
        <v>0</v>
      </c>
      <c r="S21" s="177">
        <f t="shared" si="12"/>
        <v>0</v>
      </c>
      <c r="T21" s="177">
        <f t="shared" si="12"/>
        <v>0</v>
      </c>
      <c r="U21" s="177">
        <f t="shared" si="12"/>
        <v>59.53</v>
      </c>
      <c r="V21" s="177">
        <f t="shared" si="12"/>
        <v>41.03</v>
      </c>
      <c r="W21" s="177">
        <f t="shared" si="12"/>
        <v>302.2</v>
      </c>
    </row>
    <row r="22" spans="3:64">
      <c r="C22" s="46" t="s">
        <v>48</v>
      </c>
      <c r="D22" s="85"/>
      <c r="E22" s="151">
        <f>SUMIF(CoalBalance!$C$40:$C$102,C22,CoalBalance!$G$40:$G$102)</f>
        <v>899.16</v>
      </c>
      <c r="F22" s="36">
        <v>27</v>
      </c>
      <c r="G22" s="36">
        <v>35</v>
      </c>
      <c r="H22" s="37">
        <f t="shared" si="7"/>
        <v>25.690285714285714</v>
      </c>
      <c r="I22" s="38">
        <f t="shared" si="8"/>
        <v>945</v>
      </c>
      <c r="J22" s="50">
        <f t="shared" si="9"/>
        <v>0.9514920634920635</v>
      </c>
      <c r="K22" s="65">
        <f t="shared" si="10"/>
        <v>0.99</v>
      </c>
      <c r="L22" s="62">
        <f>K22</f>
        <v>0.99</v>
      </c>
      <c r="M22" s="46"/>
      <c r="N22" s="47"/>
      <c r="O22" s="69"/>
      <c r="P22" s="73">
        <f>'Commodity flow native units'!F69/1000000</f>
        <v>0.61151456250000003</v>
      </c>
      <c r="Q22" s="75">
        <f t="shared" si="5"/>
        <v>10.57037037037037</v>
      </c>
      <c r="R22" s="69"/>
      <c r="S22" s="69"/>
      <c r="T22" s="69"/>
      <c r="U22" s="46">
        <v>26.73</v>
      </c>
      <c r="V22" s="77">
        <f t="shared" si="6"/>
        <v>26.73</v>
      </c>
      <c r="W22" s="69">
        <v>285.39999999999998</v>
      </c>
    </row>
    <row r="23" spans="3:64" ht="15.6">
      <c r="C23" s="46" t="s">
        <v>49</v>
      </c>
      <c r="D23" s="85"/>
      <c r="E23" s="151">
        <f>SUMIF(CoalBalance!$C$40:$C$102,C23,CoalBalance!$G$40:$G$102)</f>
        <v>23.08</v>
      </c>
      <c r="F23" s="36">
        <v>27</v>
      </c>
      <c r="G23" s="36">
        <v>30</v>
      </c>
      <c r="H23" s="37">
        <f t="shared" si="7"/>
        <v>0.76933333333333331</v>
      </c>
      <c r="I23" s="38">
        <f t="shared" si="8"/>
        <v>810</v>
      </c>
      <c r="J23" s="50">
        <f t="shared" si="9"/>
        <v>2.8493827160493826E-2</v>
      </c>
      <c r="K23" s="65">
        <f t="shared" si="10"/>
        <v>2.9629629629629631E-2</v>
      </c>
      <c r="L23" s="62">
        <f>K23</f>
        <v>2.9629629629629631E-2</v>
      </c>
      <c r="M23" s="46">
        <v>7.0000000000000007E-2</v>
      </c>
      <c r="N23" s="47">
        <v>7.0000000000000007E-2</v>
      </c>
      <c r="O23" s="69"/>
      <c r="P23" s="73">
        <f>'Commodity flow native units'!F68/1000000</f>
        <v>7.4009000000000005E-2</v>
      </c>
      <c r="Q23" s="73">
        <f t="shared" si="5"/>
        <v>3.7037037037037035E-2</v>
      </c>
      <c r="R23" s="69"/>
      <c r="S23" s="69"/>
      <c r="T23" s="69"/>
      <c r="U23" s="46">
        <v>0.8</v>
      </c>
      <c r="V23" s="77">
        <f t="shared" si="6"/>
        <v>0.8</v>
      </c>
      <c r="W23" s="69">
        <v>1</v>
      </c>
      <c r="AZ23" s="24" t="s">
        <v>9</v>
      </c>
      <c r="BA23" s="25"/>
      <c r="BB23" s="24"/>
      <c r="BC23" s="24"/>
      <c r="BE23" t="s">
        <v>50</v>
      </c>
    </row>
    <row r="24" spans="3:64">
      <c r="C24" s="158" t="s">
        <v>51</v>
      </c>
      <c r="D24" s="193"/>
      <c r="E24" s="162"/>
      <c r="F24" s="159">
        <v>27</v>
      </c>
      <c r="G24" s="159"/>
      <c r="H24" s="159"/>
      <c r="I24" s="159"/>
      <c r="J24" s="160">
        <v>0.5</v>
      </c>
      <c r="K24" s="194">
        <f t="shared" si="10"/>
        <v>1.1851851851851851</v>
      </c>
      <c r="L24" s="195">
        <v>0.5</v>
      </c>
      <c r="M24" s="158"/>
      <c r="N24" s="160"/>
      <c r="O24" s="161"/>
      <c r="P24" s="196">
        <f>'Commodity flow native units'!F70/1000000</f>
        <v>0.61151456250000003</v>
      </c>
      <c r="Q24" s="196">
        <f t="shared" si="5"/>
        <v>0.58518518518518525</v>
      </c>
      <c r="R24" s="161"/>
      <c r="S24" s="161"/>
      <c r="T24" s="161"/>
      <c r="U24" s="158">
        <v>32</v>
      </c>
      <c r="V24" s="197">
        <f>L24*F24</f>
        <v>13.5</v>
      </c>
      <c r="W24" s="161">
        <v>15.8</v>
      </c>
    </row>
    <row r="25" spans="3:64" ht="16.2" thickBot="1">
      <c r="C25" s="255" t="s">
        <v>52</v>
      </c>
      <c r="D25" s="256"/>
      <c r="E25" s="43">
        <f ca="1">SUM(E10:E32)</f>
        <v>61544.659999999996</v>
      </c>
      <c r="F25" s="42"/>
      <c r="G25" s="42"/>
      <c r="H25" s="43">
        <f t="shared" ref="H25:W25" si="13">SUM(H8,H21,H26)</f>
        <v>-2702.2046474556487</v>
      </c>
      <c r="I25" s="43">
        <f t="shared" si="13"/>
        <v>0</v>
      </c>
      <c r="J25" s="43">
        <f t="shared" si="13"/>
        <v>-144.25319195488896</v>
      </c>
      <c r="K25" s="43">
        <f t="shared" si="13"/>
        <v>-140.66589356879919</v>
      </c>
      <c r="L25" s="43">
        <f>SUM(L8,L21,L26)</f>
        <v>-142.64240596792271</v>
      </c>
      <c r="M25" s="43">
        <f t="shared" si="13"/>
        <v>-128.54689999999999</v>
      </c>
      <c r="N25" s="43">
        <f t="shared" si="13"/>
        <v>-125.47</v>
      </c>
      <c r="O25" s="43">
        <f t="shared" si="13"/>
        <v>1.2273061881757534</v>
      </c>
      <c r="P25" s="43">
        <f t="shared" si="13"/>
        <v>-145.70767087499999</v>
      </c>
      <c r="Q25" s="43">
        <f t="shared" si="13"/>
        <v>-113.0239160878443</v>
      </c>
      <c r="R25" s="43">
        <f t="shared" si="13"/>
        <v>-116.55</v>
      </c>
      <c r="S25" s="43">
        <f t="shared" si="13"/>
        <v>-158</v>
      </c>
      <c r="T25" s="43">
        <f t="shared" si="13"/>
        <v>-121.18092000000001</v>
      </c>
      <c r="U25" s="43">
        <f t="shared" si="13"/>
        <v>-2562.9699999999998</v>
      </c>
      <c r="V25" s="43">
        <f>SUM(V8,V21,V26)</f>
        <v>-2615.271191919192</v>
      </c>
      <c r="W25" s="51">
        <f t="shared" si="13"/>
        <v>-2005.0999999999997</v>
      </c>
      <c r="AZ25" s="28" t="s">
        <v>53</v>
      </c>
      <c r="BA25" s="33">
        <v>1.2493570000000001</v>
      </c>
      <c r="BB25" s="30">
        <v>486</v>
      </c>
      <c r="BC25" s="32">
        <v>389</v>
      </c>
      <c r="BD25" s="32">
        <f>BC25*BA25</f>
        <v>485.99987300000004</v>
      </c>
    </row>
    <row r="26" spans="3:64" s="1" customFormat="1" ht="16.2" thickTop="1">
      <c r="C26" s="57" t="s">
        <v>54</v>
      </c>
      <c r="D26" s="58"/>
      <c r="E26" s="175"/>
      <c r="F26" s="44"/>
      <c r="G26" s="44"/>
      <c r="H26" s="45">
        <f>SUM(H27,H31)</f>
        <v>-3113.0083856951869</v>
      </c>
      <c r="I26" s="44"/>
      <c r="J26" s="198">
        <f>SUM(J27,J31)</f>
        <v>-160.96704873118657</v>
      </c>
      <c r="K26" s="198">
        <f>SUM(K27,K31)</f>
        <v>-161.97900191938581</v>
      </c>
      <c r="L26" s="198">
        <f t="shared" ref="L26:W26" si="14">SUM(L27,L31)</f>
        <v>-161.97900191938581</v>
      </c>
      <c r="M26" s="198">
        <f t="shared" si="14"/>
        <v>-154</v>
      </c>
      <c r="N26" s="198">
        <f t="shared" si="14"/>
        <v>-150.9</v>
      </c>
      <c r="O26" s="198">
        <f t="shared" si="14"/>
        <v>0</v>
      </c>
      <c r="P26" s="198">
        <f t="shared" si="14"/>
        <v>-162.013384</v>
      </c>
      <c r="Q26" s="198">
        <f t="shared" si="14"/>
        <v>-131.84613831006652</v>
      </c>
      <c r="R26" s="198">
        <f t="shared" si="14"/>
        <v>-116.55</v>
      </c>
      <c r="S26" s="198">
        <f t="shared" si="14"/>
        <v>-158</v>
      </c>
      <c r="T26" s="198">
        <f t="shared" si="14"/>
        <v>-151.20420000000001</v>
      </c>
      <c r="U26" s="198">
        <f t="shared" si="14"/>
        <v>-3109.66</v>
      </c>
      <c r="V26" s="198">
        <f>SUM(V27,V31)</f>
        <v>-3109.66</v>
      </c>
      <c r="W26" s="198">
        <f t="shared" si="14"/>
        <v>-2513.2999999999997</v>
      </c>
      <c r="AZ26" s="178" t="s">
        <v>55</v>
      </c>
      <c r="BA26" s="179">
        <v>12.3</v>
      </c>
      <c r="BB26" s="180">
        <v>5718.3</v>
      </c>
      <c r="BC26" s="181">
        <v>465</v>
      </c>
      <c r="BD26" s="182">
        <f>BC26*BA26</f>
        <v>5719.5</v>
      </c>
      <c r="BL26" s="1">
        <f>5.7-3.1</f>
        <v>2.6</v>
      </c>
    </row>
    <row r="27" spans="3:64" ht="15.6">
      <c r="C27" s="46" t="s">
        <v>56</v>
      </c>
      <c r="D27" s="47"/>
      <c r="E27" s="151"/>
      <c r="F27" s="36"/>
      <c r="G27" s="36"/>
      <c r="H27" s="37">
        <f>SUM(H28:H30)</f>
        <v>-2285.4543749999998</v>
      </c>
      <c r="I27" s="36"/>
      <c r="J27" s="50">
        <f>SUM(J28:J30)</f>
        <v>-121.25716338112959</v>
      </c>
      <c r="K27" s="50">
        <f>SUM(K28:K30)</f>
        <v>-122.36000000000001</v>
      </c>
      <c r="L27" s="50">
        <f t="shared" ref="L27:W27" si="15">SUM(L28:L30)</f>
        <v>-122.36000000000001</v>
      </c>
      <c r="M27" s="50">
        <f t="shared" si="15"/>
        <v>-115</v>
      </c>
      <c r="N27" s="50">
        <f t="shared" si="15"/>
        <v>-112</v>
      </c>
      <c r="O27" s="50">
        <f t="shared" si="15"/>
        <v>0</v>
      </c>
      <c r="P27" s="50">
        <f t="shared" si="15"/>
        <v>-122.69024</v>
      </c>
      <c r="Q27" s="50">
        <f t="shared" si="15"/>
        <v>-117.65707880910682</v>
      </c>
      <c r="R27" s="50">
        <f t="shared" si="15"/>
        <v>-116.55</v>
      </c>
      <c r="S27" s="50">
        <f t="shared" si="15"/>
        <v>-119</v>
      </c>
      <c r="T27" s="50">
        <f t="shared" si="15"/>
        <v>-111.89836</v>
      </c>
      <c r="U27" s="50">
        <f t="shared" si="15"/>
        <v>-2284</v>
      </c>
      <c r="V27" s="50">
        <f t="shared" si="15"/>
        <v>-2284</v>
      </c>
      <c r="W27" s="50">
        <f t="shared" si="15"/>
        <v>-2217.6</v>
      </c>
      <c r="AZ27" s="28"/>
      <c r="BA27" s="29"/>
      <c r="BB27" s="30"/>
      <c r="BC27" s="31"/>
      <c r="BD27" s="32"/>
    </row>
    <row r="28" spans="3:64" ht="15.6">
      <c r="C28" s="46"/>
      <c r="D28" s="47" t="s">
        <v>14</v>
      </c>
      <c r="E28" s="153">
        <f>SUMIF(CoalBalance!$C$40:$C$102,C27,CoalBalance!$G$40:$G$102)</f>
        <v>36567.269999999997</v>
      </c>
      <c r="F28" s="39">
        <f>U28/K28</f>
        <v>18.847994718600429</v>
      </c>
      <c r="G28" s="40">
        <v>16</v>
      </c>
      <c r="H28" s="37">
        <f>-E28/G28</f>
        <v>-2285.4543749999998</v>
      </c>
      <c r="I28" s="38">
        <f>G28*F28</f>
        <v>301.56791549760686</v>
      </c>
      <c r="J28" s="50">
        <f>-E28/I28</f>
        <v>-121.25716338112959</v>
      </c>
      <c r="K28" s="46">
        <f>-(120-K30)</f>
        <v>-121.18</v>
      </c>
      <c r="L28" s="47">
        <f>K28</f>
        <v>-121.18</v>
      </c>
      <c r="M28" s="46">
        <v>-115</v>
      </c>
      <c r="N28" s="47">
        <v>-112</v>
      </c>
      <c r="O28" s="69"/>
      <c r="P28" s="73">
        <f>-'Commodity flow native units'!F14/1000000</f>
        <v>-122.69024</v>
      </c>
      <c r="Q28" s="75">
        <f>IF(W28&lt;&gt;"",W28/F28,"")</f>
        <v>-117.65707880910682</v>
      </c>
      <c r="R28" s="69">
        <f>-BA47</f>
        <v>-116.55</v>
      </c>
      <c r="S28" s="69">
        <f>-(50+39+30)</f>
        <v>-119</v>
      </c>
      <c r="T28" s="73">
        <f>-BB62</f>
        <v>-111.89836</v>
      </c>
      <c r="U28" s="46">
        <f>-2284</f>
        <v>-2284</v>
      </c>
      <c r="V28" s="77">
        <f t="shared" si="6"/>
        <v>-2284</v>
      </c>
      <c r="W28" s="69">
        <v>-2217.6</v>
      </c>
      <c r="AZ28" s="28" t="s">
        <v>57</v>
      </c>
      <c r="BA28" s="29">
        <v>39</v>
      </c>
      <c r="BB28" s="30">
        <v>15160</v>
      </c>
      <c r="BC28" s="31">
        <v>389</v>
      </c>
      <c r="BD28" s="32">
        <f>BC28*BA28</f>
        <v>15171</v>
      </c>
    </row>
    <row r="29" spans="3:64" ht="15.6">
      <c r="C29" s="84"/>
      <c r="D29" s="47"/>
      <c r="E29" s="151"/>
      <c r="F29" s="39"/>
      <c r="G29" s="36"/>
      <c r="H29" s="37"/>
      <c r="I29" s="38"/>
      <c r="J29" s="50"/>
      <c r="K29" s="46"/>
      <c r="L29" s="47"/>
      <c r="M29" s="46"/>
      <c r="N29" s="47"/>
      <c r="O29" s="69"/>
      <c r="P29" s="73"/>
      <c r="Q29" s="75" t="str">
        <f t="shared" ref="Q29:Q30" si="16">IF(W29&lt;&gt;"",W29/F29,"")</f>
        <v/>
      </c>
      <c r="R29" s="69"/>
      <c r="S29" s="69"/>
      <c r="T29" s="73"/>
      <c r="U29" s="46"/>
      <c r="V29" s="77"/>
      <c r="W29" s="69"/>
      <c r="AZ29" s="28"/>
      <c r="BA29" s="29"/>
      <c r="BB29" s="30"/>
      <c r="BC29" s="31"/>
      <c r="BD29" s="32"/>
    </row>
    <row r="30" spans="3:64" ht="15.6">
      <c r="C30" s="84"/>
      <c r="D30" s="47" t="s">
        <v>58</v>
      </c>
      <c r="E30" s="151"/>
      <c r="F30" s="36"/>
      <c r="G30" s="36"/>
      <c r="H30" s="36"/>
      <c r="I30" s="36"/>
      <c r="J30" s="47"/>
      <c r="K30" s="46">
        <v>-1.18</v>
      </c>
      <c r="L30" s="47">
        <f>K30</f>
        <v>-1.18</v>
      </c>
      <c r="M30" s="46"/>
      <c r="N30" s="47"/>
      <c r="O30" s="69"/>
      <c r="P30" s="73"/>
      <c r="Q30" s="75" t="str">
        <f t="shared" si="16"/>
        <v/>
      </c>
      <c r="R30" s="69"/>
      <c r="S30" s="69"/>
      <c r="T30" s="69"/>
      <c r="U30" s="46"/>
      <c r="V30" s="77">
        <f t="shared" si="6"/>
        <v>0</v>
      </c>
      <c r="W30" s="69"/>
      <c r="AZ30" s="28" t="s">
        <v>59</v>
      </c>
      <c r="BA30" s="29">
        <v>4.9400000000000004</v>
      </c>
      <c r="BB30" s="30">
        <v>2756.2</v>
      </c>
      <c r="BC30" s="31">
        <v>558</v>
      </c>
      <c r="BD30" s="32">
        <f t="shared" ref="BD30:BD41" si="17">BC30*BA30</f>
        <v>2756.5200000000004</v>
      </c>
    </row>
    <row r="31" spans="3:64" ht="15.6">
      <c r="C31" s="46" t="s">
        <v>60</v>
      </c>
      <c r="D31" s="47"/>
      <c r="E31" s="151"/>
      <c r="F31" s="36"/>
      <c r="G31" s="36"/>
      <c r="H31" s="37">
        <f>SUM(H32:H33)</f>
        <v>-827.55401069518723</v>
      </c>
      <c r="I31" s="36"/>
      <c r="J31" s="50">
        <f>SUM(J32:J33)</f>
        <v>-39.709885350056972</v>
      </c>
      <c r="K31" s="50">
        <f>SUM(K32:K33)</f>
        <v>-39.619001919385802</v>
      </c>
      <c r="L31" s="50">
        <f>SUM(L32:L33)</f>
        <v>-39.619001919385802</v>
      </c>
      <c r="M31" s="50">
        <f t="shared" ref="M31:W31" si="18">SUM(M32:M33)</f>
        <v>-39</v>
      </c>
      <c r="N31" s="50">
        <f t="shared" si="18"/>
        <v>-38.9</v>
      </c>
      <c r="O31" s="50">
        <f t="shared" si="18"/>
        <v>0</v>
      </c>
      <c r="P31" s="50">
        <f t="shared" si="18"/>
        <v>-39.323143999999999</v>
      </c>
      <c r="Q31" s="50">
        <f t="shared" si="18"/>
        <v>-14.189059500959692</v>
      </c>
      <c r="R31" s="50">
        <f t="shared" si="18"/>
        <v>0</v>
      </c>
      <c r="S31" s="50">
        <f t="shared" si="18"/>
        <v>-39</v>
      </c>
      <c r="T31" s="50">
        <f t="shared" si="18"/>
        <v>-39.305840000000003</v>
      </c>
      <c r="U31" s="50">
        <f t="shared" si="18"/>
        <v>-825.66000000000008</v>
      </c>
      <c r="V31" s="50">
        <f t="shared" si="18"/>
        <v>-825.66000000000008</v>
      </c>
      <c r="W31" s="50">
        <f t="shared" si="18"/>
        <v>-295.7</v>
      </c>
      <c r="AZ31" s="28"/>
      <c r="BA31" s="29"/>
      <c r="BB31" s="30"/>
      <c r="BC31" s="31"/>
      <c r="BD31" s="32"/>
    </row>
    <row r="32" spans="3:64" ht="15.6">
      <c r="C32" s="46"/>
      <c r="D32" s="47" t="s">
        <v>61</v>
      </c>
      <c r="E32" s="151">
        <f>SUMIF(CoalBalance!$C$40:$C$102,D32,CoalBalance!$G$40:$G$102)</f>
        <v>7737.63</v>
      </c>
      <c r="F32" s="36">
        <v>20.84</v>
      </c>
      <c r="G32" s="36">
        <v>9.35</v>
      </c>
      <c r="H32" s="37">
        <f>-E32/G32</f>
        <v>-827.55401069518723</v>
      </c>
      <c r="I32" s="38">
        <f>G32*F32</f>
        <v>194.85399999999998</v>
      </c>
      <c r="J32" s="50">
        <f>-E32/I32</f>
        <v>-39.709885350056972</v>
      </c>
      <c r="K32" s="66">
        <f>SUM(U32:U33)/F32</f>
        <v>-39.619001919385802</v>
      </c>
      <c r="L32" s="67">
        <f>K32</f>
        <v>-39.619001919385802</v>
      </c>
      <c r="M32" s="46">
        <v>-39</v>
      </c>
      <c r="N32" s="47">
        <v>-38.9</v>
      </c>
      <c r="O32" s="69"/>
      <c r="P32" s="73">
        <f>-'Commodity flow native units'!F29/1000000</f>
        <v>-39.323143999999999</v>
      </c>
      <c r="Q32" s="75">
        <f>IF(W32&lt;&gt;"",W32/F32,"")</f>
        <v>-14.189059500959692</v>
      </c>
      <c r="R32" s="69"/>
      <c r="S32" s="69">
        <v>-39</v>
      </c>
      <c r="T32" s="73">
        <f>-BB66</f>
        <v>-39.305840000000003</v>
      </c>
      <c r="U32" s="46">
        <v>-786.33</v>
      </c>
      <c r="V32" s="77">
        <f>--L32*F32</f>
        <v>-825.66000000000008</v>
      </c>
      <c r="W32" s="69">
        <v>-295.7</v>
      </c>
      <c r="AZ32" s="28" t="s">
        <v>62</v>
      </c>
      <c r="BA32" s="29">
        <v>2.91</v>
      </c>
      <c r="BB32" s="30">
        <v>2150.6</v>
      </c>
      <c r="BC32" s="31">
        <v>739</v>
      </c>
      <c r="BD32" s="32">
        <f t="shared" si="17"/>
        <v>2150.4900000000002</v>
      </c>
    </row>
    <row r="33" spans="3:56" ht="16.2" thickBot="1">
      <c r="C33" s="54"/>
      <c r="D33" s="56" t="s">
        <v>63</v>
      </c>
      <c r="E33" s="155"/>
      <c r="F33" s="55">
        <f>F32</f>
        <v>20.84</v>
      </c>
      <c r="G33" s="55"/>
      <c r="H33" s="55"/>
      <c r="I33" s="55"/>
      <c r="J33" s="56"/>
      <c r="K33" s="54"/>
      <c r="L33" s="56"/>
      <c r="M33" s="54"/>
      <c r="N33" s="56"/>
      <c r="O33" s="72"/>
      <c r="P33" s="72"/>
      <c r="Q33" s="72"/>
      <c r="R33" s="72"/>
      <c r="S33" s="72"/>
      <c r="T33" s="72"/>
      <c r="U33" s="54">
        <v>-39.33</v>
      </c>
      <c r="V33" s="183">
        <f t="shared" si="6"/>
        <v>0</v>
      </c>
      <c r="W33" s="72"/>
      <c r="AZ33" s="28" t="s">
        <v>64</v>
      </c>
      <c r="BA33" s="29">
        <v>2.7</v>
      </c>
      <c r="BB33" s="30">
        <v>2852.4</v>
      </c>
      <c r="BC33" s="31">
        <v>1041</v>
      </c>
      <c r="BD33" s="32">
        <f t="shared" si="17"/>
        <v>2810.7000000000003</v>
      </c>
    </row>
    <row r="34" spans="3:56" ht="15.6">
      <c r="C34" s="57" t="s">
        <v>65</v>
      </c>
      <c r="D34" s="58"/>
      <c r="E34" s="154"/>
      <c r="F34" s="44">
        <v>24</v>
      </c>
      <c r="G34" s="44"/>
      <c r="H34" s="45"/>
      <c r="I34" s="45"/>
      <c r="J34" s="53"/>
      <c r="K34" s="52">
        <f>U34/F34</f>
        <v>71.958333333333329</v>
      </c>
      <c r="L34" s="53">
        <v>79.8</v>
      </c>
      <c r="M34" s="52"/>
      <c r="N34" s="53"/>
      <c r="O34" s="70"/>
      <c r="P34" s="74">
        <f>-'Commodity flow native units'!F7/1000000</f>
        <v>67.129639999999995</v>
      </c>
      <c r="Q34" s="70"/>
      <c r="R34" s="70"/>
      <c r="S34" s="74"/>
      <c r="T34" s="76">
        <v>79.8</v>
      </c>
      <c r="U34" s="52">
        <v>1727</v>
      </c>
      <c r="V34" s="53">
        <f>L34*F34</f>
        <v>1915.1999999999998</v>
      </c>
      <c r="W34" s="70"/>
      <c r="AZ34" s="28" t="s">
        <v>66</v>
      </c>
      <c r="BA34" s="33">
        <v>1.236</v>
      </c>
      <c r="BB34" s="30">
        <v>595.70000000000005</v>
      </c>
      <c r="BC34" s="31">
        <v>482</v>
      </c>
      <c r="BD34" s="32">
        <f t="shared" si="17"/>
        <v>595.75199999999995</v>
      </c>
    </row>
    <row r="35" spans="3:56" ht="16.2" thickBot="1">
      <c r="C35" s="54" t="s">
        <v>67</v>
      </c>
      <c r="D35" s="56"/>
      <c r="E35" s="155"/>
      <c r="F35" s="55"/>
      <c r="G35" s="55"/>
      <c r="H35" s="55"/>
      <c r="I35" s="55"/>
      <c r="J35" s="56"/>
      <c r="K35" s="54"/>
      <c r="L35" s="56"/>
      <c r="M35" s="54"/>
      <c r="N35" s="56"/>
      <c r="O35" s="72"/>
      <c r="P35" s="72"/>
      <c r="Q35" s="72"/>
      <c r="R35" s="72"/>
      <c r="S35" s="72">
        <f>260-77</f>
        <v>183</v>
      </c>
      <c r="T35" s="72"/>
      <c r="U35" s="78">
        <f>U25*96.25</f>
        <v>-246685.86249999999</v>
      </c>
      <c r="V35" s="79">
        <f>V25*96.25</f>
        <v>-251719.85222222222</v>
      </c>
      <c r="W35" s="72"/>
      <c r="AZ35" s="28"/>
      <c r="BA35" s="33"/>
      <c r="BB35" s="30"/>
      <c r="BC35" s="31"/>
      <c r="BD35" s="32"/>
    </row>
    <row r="36" spans="3:56" ht="15.6">
      <c r="AZ36" s="28" t="s">
        <v>68</v>
      </c>
      <c r="BA36" s="33">
        <v>0.34350000000000003</v>
      </c>
      <c r="BB36" s="30">
        <v>93.4</v>
      </c>
      <c r="BC36" s="31">
        <v>272</v>
      </c>
      <c r="BD36" s="32">
        <f t="shared" si="17"/>
        <v>93.432000000000002</v>
      </c>
    </row>
    <row r="37" spans="3:56" ht="15.6">
      <c r="AZ37" s="28" t="s">
        <v>49</v>
      </c>
      <c r="BA37" s="33">
        <v>6.9800000000000001E-2</v>
      </c>
      <c r="BB37" s="30">
        <v>60.3</v>
      </c>
      <c r="BC37" s="31">
        <v>864</v>
      </c>
      <c r="BD37" s="32">
        <f t="shared" si="17"/>
        <v>60.307200000000002</v>
      </c>
    </row>
    <row r="38" spans="3:56" ht="15.6">
      <c r="AZ38" s="28" t="s">
        <v>69</v>
      </c>
      <c r="BA38" s="33">
        <v>4.7100000000000003E-2</v>
      </c>
      <c r="BB38" s="30">
        <v>39.1</v>
      </c>
      <c r="BC38" s="31">
        <v>830</v>
      </c>
      <c r="BD38" s="32">
        <f t="shared" si="17"/>
        <v>39.093000000000004</v>
      </c>
    </row>
    <row r="39" spans="3:56" ht="15.6">
      <c r="C39" s="1" t="s">
        <v>70</v>
      </c>
      <c r="AZ39" s="28" t="s">
        <v>71</v>
      </c>
      <c r="BA39" s="33">
        <v>2.0999999999999999E-3</v>
      </c>
      <c r="BB39" s="30">
        <v>2.4</v>
      </c>
      <c r="BC39" s="31">
        <v>1140</v>
      </c>
      <c r="BD39" s="32">
        <f t="shared" si="17"/>
        <v>2.3939999999999997</v>
      </c>
    </row>
    <row r="40" spans="3:56" ht="15.6">
      <c r="C40" t="s">
        <v>49</v>
      </c>
      <c r="D40" t="s">
        <v>49</v>
      </c>
      <c r="E40" t="s">
        <v>49</v>
      </c>
      <c r="F40" t="s">
        <v>72</v>
      </c>
      <c r="G40">
        <v>23.08</v>
      </c>
      <c r="AZ40" s="28"/>
      <c r="BA40" s="33"/>
      <c r="BB40" s="30"/>
      <c r="BC40" s="31"/>
      <c r="BD40" s="32"/>
    </row>
    <row r="41" spans="3:56" ht="15.6">
      <c r="C41" t="s">
        <v>49</v>
      </c>
      <c r="D41" t="s">
        <v>49</v>
      </c>
      <c r="E41" t="s">
        <v>73</v>
      </c>
      <c r="F41" t="s">
        <v>74</v>
      </c>
      <c r="G41">
        <v>0</v>
      </c>
      <c r="AZ41" s="28" t="s">
        <v>75</v>
      </c>
      <c r="BA41" s="31">
        <f>SUM(BA20:BA39)</f>
        <v>180.09785699999998</v>
      </c>
      <c r="BB41" s="30">
        <f>SUM(BB20:BB39)</f>
        <v>67844.399999999994</v>
      </c>
      <c r="BC41" s="31">
        <f>BB41/BA41</f>
        <v>376.70853573787946</v>
      </c>
      <c r="BD41" s="32">
        <f t="shared" si="17"/>
        <v>67844.399999999994</v>
      </c>
    </row>
    <row r="42" spans="3:56">
      <c r="C42" t="s">
        <v>49</v>
      </c>
      <c r="D42" t="s">
        <v>49</v>
      </c>
      <c r="E42" t="s">
        <v>76</v>
      </c>
      <c r="F42" t="s">
        <v>77</v>
      </c>
      <c r="G42">
        <v>0</v>
      </c>
    </row>
    <row r="43" spans="3:56">
      <c r="C43" t="s">
        <v>37</v>
      </c>
      <c r="D43" t="s">
        <v>78</v>
      </c>
      <c r="E43" t="s">
        <v>79</v>
      </c>
      <c r="F43" t="s">
        <v>80</v>
      </c>
      <c r="G43">
        <v>8.2899999999999991</v>
      </c>
    </row>
    <row r="44" spans="3:56">
      <c r="C44" t="s">
        <v>37</v>
      </c>
      <c r="D44" t="s">
        <v>78</v>
      </c>
      <c r="E44" t="s">
        <v>81</v>
      </c>
      <c r="F44" t="s">
        <v>82</v>
      </c>
      <c r="G44">
        <v>451.16</v>
      </c>
    </row>
    <row r="45" spans="3:56">
      <c r="C45" t="s">
        <v>36</v>
      </c>
      <c r="D45" t="s">
        <v>78</v>
      </c>
      <c r="E45" t="s">
        <v>83</v>
      </c>
      <c r="F45" t="s">
        <v>84</v>
      </c>
      <c r="G45">
        <v>3560.55</v>
      </c>
    </row>
    <row r="46" spans="3:56" ht="15.6">
      <c r="C46" t="s">
        <v>37</v>
      </c>
      <c r="D46" t="s">
        <v>78</v>
      </c>
      <c r="E46" t="s">
        <v>85</v>
      </c>
      <c r="F46" t="s">
        <v>86</v>
      </c>
      <c r="G46">
        <v>769.61</v>
      </c>
      <c r="BA46" s="34">
        <v>2017</v>
      </c>
    </row>
    <row r="47" spans="3:56" ht="15.6">
      <c r="C47" t="s">
        <v>38</v>
      </c>
      <c r="D47" t="s">
        <v>87</v>
      </c>
      <c r="E47" t="s">
        <v>88</v>
      </c>
      <c r="F47" t="s">
        <v>89</v>
      </c>
      <c r="G47">
        <v>636.07000000000005</v>
      </c>
      <c r="AZ47" s="34" t="s">
        <v>90</v>
      </c>
      <c r="BA47" s="34">
        <f>9/12*115.3+3/12*120.3</f>
        <v>116.55</v>
      </c>
    </row>
    <row r="48" spans="3:56" ht="15.6">
      <c r="C48" t="s">
        <v>38</v>
      </c>
      <c r="D48" t="s">
        <v>87</v>
      </c>
      <c r="E48" t="s">
        <v>91</v>
      </c>
      <c r="F48" t="s">
        <v>92</v>
      </c>
      <c r="G48">
        <v>105.81</v>
      </c>
      <c r="AZ48" s="34" t="s">
        <v>93</v>
      </c>
      <c r="BA48" s="34">
        <v>114.30200000000001</v>
      </c>
    </row>
    <row r="49" spans="3:55" ht="15.6">
      <c r="C49" t="s">
        <v>45</v>
      </c>
      <c r="D49" t="s">
        <v>94</v>
      </c>
      <c r="E49" t="s">
        <v>95</v>
      </c>
      <c r="F49" t="s">
        <v>96</v>
      </c>
      <c r="G49">
        <v>238.98</v>
      </c>
      <c r="AZ49" s="34" t="s">
        <v>97</v>
      </c>
      <c r="BA49" s="34">
        <f>BA47-BA48</f>
        <v>2.2479999999999905</v>
      </c>
    </row>
    <row r="50" spans="3:55">
      <c r="C50" t="s">
        <v>45</v>
      </c>
      <c r="D50" t="s">
        <v>94</v>
      </c>
      <c r="E50" t="s">
        <v>98</v>
      </c>
      <c r="F50" t="s">
        <v>99</v>
      </c>
      <c r="G50">
        <v>73.69</v>
      </c>
    </row>
    <row r="51" spans="3:55" ht="15.6">
      <c r="C51" t="s">
        <v>45</v>
      </c>
      <c r="D51" t="s">
        <v>94</v>
      </c>
      <c r="E51" t="s">
        <v>100</v>
      </c>
      <c r="F51" t="s">
        <v>101</v>
      </c>
      <c r="G51">
        <v>3.97</v>
      </c>
      <c r="AZ51" s="34" t="s">
        <v>102</v>
      </c>
      <c r="BA51" s="34">
        <f>19.81*9/12+20.05*3/12</f>
        <v>19.87</v>
      </c>
    </row>
    <row r="52" spans="3:55">
      <c r="C52" t="s">
        <v>45</v>
      </c>
      <c r="D52" t="s">
        <v>94</v>
      </c>
      <c r="E52" t="s">
        <v>103</v>
      </c>
      <c r="F52" t="s">
        <v>104</v>
      </c>
      <c r="G52">
        <v>1</v>
      </c>
    </row>
    <row r="53" spans="3:55">
      <c r="C53" t="s">
        <v>45</v>
      </c>
      <c r="D53" t="s">
        <v>105</v>
      </c>
      <c r="E53" t="s">
        <v>106</v>
      </c>
      <c r="F53" t="s">
        <v>107</v>
      </c>
      <c r="G53">
        <v>163.19999999999999</v>
      </c>
      <c r="AB53" t="s">
        <v>108</v>
      </c>
    </row>
    <row r="54" spans="3:55">
      <c r="C54" t="s">
        <v>39</v>
      </c>
      <c r="D54" t="s">
        <v>109</v>
      </c>
      <c r="E54" t="s">
        <v>110</v>
      </c>
      <c r="F54" t="s">
        <v>111</v>
      </c>
      <c r="G54">
        <v>3198.31</v>
      </c>
    </row>
    <row r="55" spans="3:55">
      <c r="C55" t="s">
        <v>39</v>
      </c>
      <c r="D55" t="s">
        <v>109</v>
      </c>
      <c r="E55" t="s">
        <v>112</v>
      </c>
      <c r="F55" t="s">
        <v>113</v>
      </c>
      <c r="G55">
        <v>25.92</v>
      </c>
    </row>
    <row r="56" spans="3:55">
      <c r="C56" t="s">
        <v>61</v>
      </c>
      <c r="D56" t="s">
        <v>114</v>
      </c>
      <c r="E56" t="s">
        <v>115</v>
      </c>
      <c r="F56" t="s">
        <v>116</v>
      </c>
      <c r="G56">
        <v>7737.63</v>
      </c>
    </row>
    <row r="57" spans="3:55">
      <c r="C57" t="s">
        <v>30</v>
      </c>
      <c r="D57" t="s">
        <v>117</v>
      </c>
      <c r="E57" t="s">
        <v>118</v>
      </c>
      <c r="F57" t="s">
        <v>119</v>
      </c>
      <c r="G57">
        <v>324.81</v>
      </c>
    </row>
    <row r="58" spans="3:55">
      <c r="C58" t="s">
        <v>30</v>
      </c>
      <c r="D58" t="s">
        <v>117</v>
      </c>
      <c r="E58" t="s">
        <v>120</v>
      </c>
      <c r="F58" t="s">
        <v>121</v>
      </c>
      <c r="G58">
        <v>95.44</v>
      </c>
    </row>
    <row r="59" spans="3:55">
      <c r="C59" t="s">
        <v>30</v>
      </c>
      <c r="D59" t="s">
        <v>117</v>
      </c>
      <c r="E59" t="s">
        <v>122</v>
      </c>
      <c r="F59" t="s">
        <v>123</v>
      </c>
      <c r="G59">
        <v>55.38</v>
      </c>
      <c r="BA59" t="s">
        <v>124</v>
      </c>
      <c r="BB59" t="s">
        <v>26</v>
      </c>
    </row>
    <row r="60" spans="3:55">
      <c r="C60" t="s">
        <v>30</v>
      </c>
      <c r="D60" t="s">
        <v>117</v>
      </c>
      <c r="E60" t="s">
        <v>125</v>
      </c>
      <c r="F60" t="s">
        <v>126</v>
      </c>
      <c r="G60">
        <v>10.64</v>
      </c>
      <c r="BB60">
        <v>181.3</v>
      </c>
      <c r="BC60" t="s">
        <v>127</v>
      </c>
    </row>
    <row r="61" spans="3:55">
      <c r="C61" t="s">
        <v>34</v>
      </c>
      <c r="D61" t="s">
        <v>128</v>
      </c>
      <c r="E61" t="s">
        <v>129</v>
      </c>
      <c r="F61" t="s">
        <v>130</v>
      </c>
      <c r="G61">
        <v>15.95</v>
      </c>
      <c r="AZ61" t="s">
        <v>59</v>
      </c>
      <c r="BA61">
        <v>4.6100000000000003</v>
      </c>
      <c r="BB61" s="2">
        <f>BA61/100*BB$60</f>
        <v>8.3579300000000014</v>
      </c>
    </row>
    <row r="62" spans="3:55">
      <c r="C62" t="s">
        <v>34</v>
      </c>
      <c r="D62" t="s">
        <v>128</v>
      </c>
      <c r="E62" t="s">
        <v>131</v>
      </c>
      <c r="F62" t="s">
        <v>132</v>
      </c>
      <c r="G62">
        <v>1176.8499999999999</v>
      </c>
      <c r="AZ62" t="s">
        <v>46</v>
      </c>
      <c r="BA62">
        <v>61.72</v>
      </c>
      <c r="BB62" s="2">
        <f t="shared" ref="BB62:BB67" si="19">BA62/100*BB$60</f>
        <v>111.89836</v>
      </c>
    </row>
    <row r="63" spans="3:55">
      <c r="C63" t="s">
        <v>32</v>
      </c>
      <c r="D63" t="s">
        <v>133</v>
      </c>
      <c r="E63" t="s">
        <v>134</v>
      </c>
      <c r="F63" t="s">
        <v>135</v>
      </c>
      <c r="G63">
        <v>3576.96</v>
      </c>
      <c r="AZ63" t="s">
        <v>64</v>
      </c>
      <c r="BA63">
        <v>3.15</v>
      </c>
      <c r="BB63" s="2">
        <f t="shared" si="19"/>
        <v>5.7109500000000004</v>
      </c>
    </row>
    <row r="64" spans="3:55">
      <c r="C64" t="s">
        <v>33</v>
      </c>
      <c r="D64" t="s">
        <v>136</v>
      </c>
      <c r="E64" t="s">
        <v>137</v>
      </c>
      <c r="F64" t="s">
        <v>138</v>
      </c>
      <c r="G64">
        <v>18.95</v>
      </c>
      <c r="AZ64" t="s">
        <v>139</v>
      </c>
      <c r="BA64">
        <v>6.86</v>
      </c>
      <c r="BB64" s="2">
        <f t="shared" si="19"/>
        <v>12.437180000000001</v>
      </c>
    </row>
    <row r="65" spans="3:54">
      <c r="C65" t="s">
        <v>45</v>
      </c>
      <c r="D65" t="s">
        <v>140</v>
      </c>
      <c r="E65" t="s">
        <v>141</v>
      </c>
      <c r="F65" t="s">
        <v>142</v>
      </c>
      <c r="G65">
        <v>53.51</v>
      </c>
      <c r="AZ65" t="s">
        <v>143</v>
      </c>
      <c r="BA65">
        <v>0.03</v>
      </c>
      <c r="BB65" s="2">
        <f t="shared" si="19"/>
        <v>5.4390000000000001E-2</v>
      </c>
    </row>
    <row r="66" spans="3:54">
      <c r="C66" t="s">
        <v>45</v>
      </c>
      <c r="D66" t="s">
        <v>140</v>
      </c>
      <c r="E66" t="s">
        <v>144</v>
      </c>
      <c r="F66" t="s">
        <v>145</v>
      </c>
      <c r="G66">
        <v>28.43</v>
      </c>
      <c r="AZ66" t="s">
        <v>146</v>
      </c>
      <c r="BA66">
        <v>21.68</v>
      </c>
      <c r="BB66" s="2">
        <f t="shared" si="19"/>
        <v>39.305840000000003</v>
      </c>
    </row>
    <row r="67" spans="3:54">
      <c r="C67" t="s">
        <v>45</v>
      </c>
      <c r="D67" t="s">
        <v>140</v>
      </c>
      <c r="E67" t="s">
        <v>147</v>
      </c>
      <c r="F67" t="s">
        <v>148</v>
      </c>
      <c r="G67">
        <v>16.059999999999999</v>
      </c>
      <c r="AZ67" t="s">
        <v>149</v>
      </c>
      <c r="BA67">
        <v>1.94</v>
      </c>
      <c r="BB67" s="2">
        <f t="shared" si="19"/>
        <v>3.5172200000000005</v>
      </c>
    </row>
    <row r="68" spans="3:54">
      <c r="C68" t="s">
        <v>45</v>
      </c>
      <c r="D68" t="s">
        <v>150</v>
      </c>
      <c r="E68" t="s">
        <v>151</v>
      </c>
      <c r="F68" t="s">
        <v>152</v>
      </c>
      <c r="G68">
        <v>4.9800000000000004</v>
      </c>
    </row>
    <row r="69" spans="3:54">
      <c r="C69" t="s">
        <v>45</v>
      </c>
      <c r="D69" t="s">
        <v>150</v>
      </c>
      <c r="E69" t="s">
        <v>153</v>
      </c>
      <c r="F69" t="s">
        <v>154</v>
      </c>
      <c r="G69">
        <v>0.42</v>
      </c>
    </row>
    <row r="70" spans="3:54">
      <c r="C70" t="s">
        <v>45</v>
      </c>
      <c r="D70" t="s">
        <v>150</v>
      </c>
      <c r="E70" t="s">
        <v>155</v>
      </c>
      <c r="F70" t="s">
        <v>156</v>
      </c>
      <c r="G70">
        <v>3.13</v>
      </c>
    </row>
    <row r="71" spans="3:54">
      <c r="C71" t="s">
        <v>45</v>
      </c>
      <c r="D71" t="s">
        <v>157</v>
      </c>
      <c r="E71" t="s">
        <v>158</v>
      </c>
      <c r="F71" t="s">
        <v>159</v>
      </c>
      <c r="G71">
        <v>4.29</v>
      </c>
    </row>
    <row r="72" spans="3:54">
      <c r="C72" t="s">
        <v>45</v>
      </c>
      <c r="D72" t="s">
        <v>150</v>
      </c>
      <c r="E72" t="s">
        <v>160</v>
      </c>
      <c r="F72" t="s">
        <v>161</v>
      </c>
      <c r="G72">
        <v>25.65</v>
      </c>
    </row>
    <row r="73" spans="3:54">
      <c r="C73" t="s">
        <v>45</v>
      </c>
      <c r="D73" t="s">
        <v>150</v>
      </c>
      <c r="E73" t="s">
        <v>162</v>
      </c>
      <c r="F73" t="s">
        <v>163</v>
      </c>
      <c r="G73">
        <v>10.07</v>
      </c>
    </row>
    <row r="74" spans="3:54">
      <c r="C74" t="s">
        <v>56</v>
      </c>
      <c r="D74" t="s">
        <v>56</v>
      </c>
      <c r="E74" t="s">
        <v>164</v>
      </c>
      <c r="F74" t="s">
        <v>165</v>
      </c>
      <c r="G74">
        <v>36567.269999999997</v>
      </c>
    </row>
    <row r="75" spans="3:54">
      <c r="C75" t="s">
        <v>45</v>
      </c>
      <c r="D75" t="s">
        <v>150</v>
      </c>
      <c r="E75" t="s">
        <v>166</v>
      </c>
      <c r="F75" t="s">
        <v>167</v>
      </c>
      <c r="G75">
        <v>1525.47</v>
      </c>
    </row>
    <row r="76" spans="3:54">
      <c r="C76" t="s">
        <v>45</v>
      </c>
      <c r="D76" t="s">
        <v>168</v>
      </c>
      <c r="E76" t="s">
        <v>168</v>
      </c>
      <c r="F76" t="s">
        <v>169</v>
      </c>
      <c r="G76">
        <v>0</v>
      </c>
    </row>
    <row r="77" spans="3:54">
      <c r="C77" t="str">
        <f>D77</f>
        <v>Comm&amp;gov</v>
      </c>
      <c r="D77" t="s">
        <v>48</v>
      </c>
      <c r="E77" t="s">
        <v>170</v>
      </c>
      <c r="F77" t="s">
        <v>171</v>
      </c>
      <c r="G77">
        <v>0</v>
      </c>
    </row>
    <row r="78" spans="3:54">
      <c r="C78" t="str">
        <f>D78</f>
        <v>Comm&amp;gov</v>
      </c>
      <c r="D78" t="s">
        <v>48</v>
      </c>
      <c r="E78" t="s">
        <v>172</v>
      </c>
      <c r="F78" t="s">
        <v>173</v>
      </c>
      <c r="G78">
        <v>0</v>
      </c>
    </row>
    <row r="79" spans="3:54">
      <c r="C79" t="str">
        <f>D79</f>
        <v>Comm&amp;gov</v>
      </c>
      <c r="D79" t="s">
        <v>48</v>
      </c>
      <c r="E79" t="s">
        <v>174</v>
      </c>
      <c r="F79" t="s">
        <v>175</v>
      </c>
      <c r="G79">
        <v>0</v>
      </c>
    </row>
    <row r="80" spans="3:54">
      <c r="C80" t="str">
        <f>D80</f>
        <v>Comm&amp;gov</v>
      </c>
      <c r="D80" t="s">
        <v>48</v>
      </c>
      <c r="E80" t="s">
        <v>176</v>
      </c>
      <c r="F80" t="s">
        <v>177</v>
      </c>
      <c r="G80">
        <v>46.55</v>
      </c>
    </row>
    <row r="81" spans="3:7">
      <c r="C81" t="s">
        <v>45</v>
      </c>
      <c r="D81" t="s">
        <v>71</v>
      </c>
      <c r="E81" t="s">
        <v>178</v>
      </c>
      <c r="F81" t="s">
        <v>179</v>
      </c>
      <c r="G81">
        <v>83.72</v>
      </c>
    </row>
    <row r="82" spans="3:7">
      <c r="C82" t="s">
        <v>45</v>
      </c>
      <c r="D82" t="s">
        <v>71</v>
      </c>
      <c r="E82" t="s">
        <v>180</v>
      </c>
      <c r="F82" t="s">
        <v>181</v>
      </c>
      <c r="G82">
        <v>2.82</v>
      </c>
    </row>
    <row r="83" spans="3:7">
      <c r="C83" t="s">
        <v>45</v>
      </c>
      <c r="D83" t="s">
        <v>71</v>
      </c>
      <c r="E83" t="s">
        <v>182</v>
      </c>
      <c r="F83" t="s">
        <v>183</v>
      </c>
      <c r="G83">
        <v>21.02</v>
      </c>
    </row>
    <row r="84" spans="3:7">
      <c r="C84" t="s">
        <v>45</v>
      </c>
      <c r="D84" t="s">
        <v>71</v>
      </c>
      <c r="E84" t="s">
        <v>184</v>
      </c>
      <c r="F84" t="s">
        <v>185</v>
      </c>
      <c r="G84">
        <v>26.41</v>
      </c>
    </row>
    <row r="85" spans="3:7">
      <c r="C85" t="str">
        <f t="shared" ref="C85:C101" si="20">D85</f>
        <v>Comm&amp;gov</v>
      </c>
      <c r="D85" t="s">
        <v>48</v>
      </c>
      <c r="E85" t="s">
        <v>186</v>
      </c>
      <c r="F85" t="s">
        <v>187</v>
      </c>
      <c r="G85">
        <v>1.8</v>
      </c>
    </row>
    <row r="86" spans="3:7">
      <c r="C86" t="str">
        <f t="shared" si="20"/>
        <v>Comm&amp;gov</v>
      </c>
      <c r="D86" t="s">
        <v>48</v>
      </c>
      <c r="E86" t="s">
        <v>188</v>
      </c>
      <c r="F86" t="s">
        <v>189</v>
      </c>
      <c r="G86">
        <v>0</v>
      </c>
    </row>
    <row r="87" spans="3:7">
      <c r="C87" t="str">
        <f t="shared" si="20"/>
        <v>Comm&amp;gov</v>
      </c>
      <c r="D87" t="s">
        <v>48</v>
      </c>
      <c r="E87" t="s">
        <v>190</v>
      </c>
      <c r="F87" t="s">
        <v>191</v>
      </c>
      <c r="G87">
        <v>0</v>
      </c>
    </row>
    <row r="88" spans="3:7">
      <c r="C88" t="str">
        <f t="shared" si="20"/>
        <v>Comm&amp;gov</v>
      </c>
      <c r="D88" t="s">
        <v>48</v>
      </c>
      <c r="E88" t="s">
        <v>192</v>
      </c>
      <c r="F88" t="s">
        <v>193</v>
      </c>
      <c r="G88">
        <v>0</v>
      </c>
    </row>
    <row r="89" spans="3:7">
      <c r="C89" t="str">
        <f t="shared" si="20"/>
        <v>Comm&amp;gov</v>
      </c>
      <c r="D89" t="s">
        <v>48</v>
      </c>
      <c r="E89" t="s">
        <v>194</v>
      </c>
      <c r="F89" t="s">
        <v>195</v>
      </c>
      <c r="G89">
        <v>0</v>
      </c>
    </row>
    <row r="90" spans="3:7">
      <c r="C90" t="str">
        <f t="shared" si="20"/>
        <v>Comm&amp;gov</v>
      </c>
      <c r="D90" t="s">
        <v>48</v>
      </c>
      <c r="E90" t="s">
        <v>196</v>
      </c>
      <c r="F90" t="s">
        <v>197</v>
      </c>
      <c r="G90">
        <v>0</v>
      </c>
    </row>
    <row r="91" spans="3:7">
      <c r="C91" t="str">
        <f t="shared" si="20"/>
        <v>Comm&amp;gov</v>
      </c>
      <c r="D91" t="s">
        <v>48</v>
      </c>
      <c r="E91" t="s">
        <v>198</v>
      </c>
      <c r="F91" t="s">
        <v>199</v>
      </c>
      <c r="G91">
        <v>0</v>
      </c>
    </row>
    <row r="92" spans="3:7">
      <c r="C92" t="str">
        <f t="shared" si="20"/>
        <v>Comm&amp;gov</v>
      </c>
      <c r="D92" t="s">
        <v>48</v>
      </c>
      <c r="E92" t="s">
        <v>200</v>
      </c>
      <c r="F92" t="s">
        <v>201</v>
      </c>
      <c r="G92">
        <v>0</v>
      </c>
    </row>
    <row r="93" spans="3:7">
      <c r="C93" t="str">
        <f t="shared" si="20"/>
        <v>Comm&amp;gov</v>
      </c>
      <c r="D93" t="s">
        <v>48</v>
      </c>
      <c r="E93" t="s">
        <v>202</v>
      </c>
      <c r="F93" t="s">
        <v>203</v>
      </c>
      <c r="G93">
        <v>0</v>
      </c>
    </row>
    <row r="94" spans="3:7">
      <c r="C94" t="str">
        <f t="shared" si="20"/>
        <v>Comm&amp;gov</v>
      </c>
      <c r="D94" t="s">
        <v>48</v>
      </c>
      <c r="E94" t="s">
        <v>204</v>
      </c>
      <c r="F94" t="s">
        <v>205</v>
      </c>
      <c r="G94">
        <v>683.05</v>
      </c>
    </row>
    <row r="95" spans="3:7">
      <c r="C95" t="str">
        <f t="shared" si="20"/>
        <v>Comm&amp;gov</v>
      </c>
      <c r="D95" t="s">
        <v>48</v>
      </c>
      <c r="E95" t="s">
        <v>206</v>
      </c>
      <c r="F95" t="s">
        <v>207</v>
      </c>
      <c r="G95">
        <v>16.04</v>
      </c>
    </row>
    <row r="96" spans="3:7">
      <c r="C96" t="str">
        <f t="shared" si="20"/>
        <v>Comm&amp;gov</v>
      </c>
      <c r="D96" t="s">
        <v>48</v>
      </c>
      <c r="E96" t="s">
        <v>208</v>
      </c>
      <c r="F96" t="s">
        <v>209</v>
      </c>
      <c r="G96">
        <v>56.34</v>
      </c>
    </row>
    <row r="97" spans="3:52">
      <c r="C97" t="str">
        <f t="shared" si="20"/>
        <v>Comm&amp;gov</v>
      </c>
      <c r="D97" t="s">
        <v>48</v>
      </c>
      <c r="E97" t="s">
        <v>210</v>
      </c>
      <c r="F97" t="s">
        <v>211</v>
      </c>
      <c r="G97">
        <v>0.25</v>
      </c>
    </row>
    <row r="98" spans="3:52">
      <c r="C98" t="str">
        <f t="shared" si="20"/>
        <v>Comm&amp;gov</v>
      </c>
      <c r="D98" t="s">
        <v>48</v>
      </c>
      <c r="E98" t="s">
        <v>212</v>
      </c>
      <c r="F98" t="s">
        <v>213</v>
      </c>
      <c r="G98">
        <v>0.81</v>
      </c>
    </row>
    <row r="99" spans="3:52">
      <c r="C99" t="str">
        <f t="shared" si="20"/>
        <v>Comm&amp;gov</v>
      </c>
      <c r="D99" t="s">
        <v>48</v>
      </c>
      <c r="E99" t="s">
        <v>214</v>
      </c>
      <c r="F99" t="s">
        <v>215</v>
      </c>
      <c r="G99">
        <v>16.45</v>
      </c>
    </row>
    <row r="100" spans="3:52">
      <c r="C100" t="str">
        <f t="shared" si="20"/>
        <v>Comm&amp;gov</v>
      </c>
      <c r="D100" t="s">
        <v>48</v>
      </c>
      <c r="E100" t="s">
        <v>216</v>
      </c>
      <c r="F100" t="s">
        <v>217</v>
      </c>
      <c r="G100">
        <v>1.66</v>
      </c>
    </row>
    <row r="101" spans="3:52">
      <c r="C101" t="str">
        <f t="shared" si="20"/>
        <v>Comm&amp;gov</v>
      </c>
      <c r="D101" t="s">
        <v>48</v>
      </c>
      <c r="E101" t="s">
        <v>218</v>
      </c>
      <c r="F101" t="s">
        <v>219</v>
      </c>
      <c r="G101">
        <v>76.209999999999994</v>
      </c>
      <c r="AY101">
        <v>171.8</v>
      </c>
      <c r="AZ101">
        <f>(AY101+AY102)/2</f>
        <v>179.75</v>
      </c>
    </row>
    <row r="102" spans="3:52">
      <c r="C102">
        <f>D102</f>
        <v>0</v>
      </c>
      <c r="E102" t="s">
        <v>220</v>
      </c>
      <c r="F102" t="s">
        <v>221</v>
      </c>
      <c r="G102">
        <v>61544.66</v>
      </c>
      <c r="AY102">
        <v>187.7</v>
      </c>
    </row>
    <row r="105" spans="3:52">
      <c r="AP105" s="35" t="s">
        <v>222</v>
      </c>
    </row>
  </sheetData>
  <mergeCells count="5">
    <mergeCell ref="C25:D25"/>
    <mergeCell ref="E4:J4"/>
    <mergeCell ref="C4:D4"/>
    <mergeCell ref="C6:D6"/>
    <mergeCell ref="C7:D7"/>
  </mergeCells>
  <hyperlinks>
    <hyperlink ref="AP105" r:id="rId1" xr:uid="{6614AA96-3F24-4571-BF3D-B88E6E2AE6D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2657-83A3-4CB8-88F1-422673CF57AA}">
  <dimension ref="B1:N28"/>
  <sheetViews>
    <sheetView showZeros="0" workbookViewId="0">
      <selection activeCell="D2" sqref="D2"/>
    </sheetView>
  </sheetViews>
  <sheetFormatPr defaultRowHeight="14.4"/>
  <cols>
    <col min="2" max="2" width="15.6640625" bestFit="1" customWidth="1"/>
    <col min="3" max="3" width="7.6640625" bestFit="1" customWidth="1"/>
    <col min="4" max="4" width="8.88671875" bestFit="1" customWidth="1"/>
    <col min="5" max="5" width="17.6640625" bestFit="1" customWidth="1"/>
    <col min="6" max="6" width="18.33203125" bestFit="1" customWidth="1"/>
    <col min="7" max="8" width="13.33203125" bestFit="1" customWidth="1"/>
    <col min="9" max="9" width="17.33203125" bestFit="1" customWidth="1"/>
    <col min="10" max="10" width="15.33203125" bestFit="1" customWidth="1"/>
    <col min="11" max="11" width="11.33203125" bestFit="1" customWidth="1"/>
    <col min="12" max="13" width="8.88671875" bestFit="1" customWidth="1"/>
    <col min="14" max="14" width="11" bestFit="1" customWidth="1"/>
  </cols>
  <sheetData>
    <row r="1" spans="2:14" ht="15" thickBot="1"/>
    <row r="2" spans="2:14" ht="15" thickBot="1">
      <c r="B2" s="266" t="s">
        <v>5</v>
      </c>
      <c r="C2" s="267"/>
      <c r="D2" s="86" t="s">
        <v>6</v>
      </c>
      <c r="E2" s="87" t="s">
        <v>7</v>
      </c>
      <c r="F2" s="88" t="s">
        <v>8</v>
      </c>
      <c r="G2" s="87" t="s">
        <v>9</v>
      </c>
      <c r="H2" s="89" t="s">
        <v>10</v>
      </c>
      <c r="I2" s="90" t="s">
        <v>11</v>
      </c>
      <c r="J2" s="91" t="s">
        <v>12</v>
      </c>
      <c r="K2" s="91" t="s">
        <v>13</v>
      </c>
      <c r="L2" s="91" t="s">
        <v>14</v>
      </c>
      <c r="M2" s="91" t="s">
        <v>15</v>
      </c>
      <c r="N2" s="90" t="s">
        <v>16</v>
      </c>
    </row>
    <row r="3" spans="2:14" ht="15" thickBot="1">
      <c r="B3" s="268" t="s">
        <v>20</v>
      </c>
      <c r="C3" s="269"/>
      <c r="D3" s="130" t="s">
        <v>26</v>
      </c>
      <c r="E3" s="92" t="s">
        <v>26</v>
      </c>
      <c r="F3" s="93" t="s">
        <v>26</v>
      </c>
      <c r="G3" s="92" t="s">
        <v>26</v>
      </c>
      <c r="H3" s="94" t="s">
        <v>26</v>
      </c>
      <c r="I3" s="95" t="s">
        <v>26</v>
      </c>
      <c r="J3" s="96" t="s">
        <v>26</v>
      </c>
      <c r="K3" s="96" t="s">
        <v>26</v>
      </c>
      <c r="L3" s="96" t="s">
        <v>26</v>
      </c>
      <c r="M3" s="96" t="s">
        <v>26</v>
      </c>
      <c r="N3" s="95" t="s">
        <v>26</v>
      </c>
    </row>
    <row r="4" spans="2:14">
      <c r="B4" s="270" t="s">
        <v>223</v>
      </c>
      <c r="C4" s="271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5"/>
    </row>
    <row r="5" spans="2:14" ht="15" thickBot="1">
      <c r="B5" s="272" t="s">
        <v>224</v>
      </c>
      <c r="C5" s="273"/>
      <c r="D5" s="131">
        <f>CoalBalance!J7</f>
        <v>16.713856776297597</v>
      </c>
      <c r="E5" s="97">
        <f>CoalBalance!K7</f>
        <v>21.31310835058661</v>
      </c>
      <c r="F5" s="98">
        <f>CoalBalance!L7</f>
        <v>19.336595951463099</v>
      </c>
      <c r="G5" s="97">
        <f>CoalBalance!M7</f>
        <v>25.453100000000003</v>
      </c>
      <c r="H5" s="99">
        <f>CoalBalance!N7</f>
        <v>25.43</v>
      </c>
      <c r="I5" s="100">
        <f>CoalBalance!O7</f>
        <v>1.2273061881757534</v>
      </c>
      <c r="J5" s="101">
        <f>CoalBalance!P7</f>
        <v>16.305713125</v>
      </c>
      <c r="K5" s="101">
        <f>CoalBalance!Q7</f>
        <v>18.822222222222223</v>
      </c>
      <c r="L5" s="101">
        <f>CoalBalance!R7</f>
        <v>0</v>
      </c>
      <c r="M5" s="101">
        <f>CoalBalance!S7</f>
        <v>0</v>
      </c>
      <c r="N5" s="100">
        <f>CoalBalance!T7</f>
        <v>30.023280000000003</v>
      </c>
    </row>
    <row r="6" spans="2:14" ht="15" thickTop="1">
      <c r="B6" s="102" t="s">
        <v>35</v>
      </c>
      <c r="C6" s="135"/>
      <c r="D6" s="132">
        <f>CoalBalance!J15</f>
        <v>0</v>
      </c>
      <c r="E6" s="103">
        <f>CoalBalance!K15</f>
        <v>0</v>
      </c>
      <c r="F6" s="104">
        <f>CoalBalance!L15</f>
        <v>0</v>
      </c>
      <c r="G6" s="103">
        <f>CoalBalance!M15</f>
        <v>0</v>
      </c>
      <c r="H6" s="105">
        <f>CoalBalance!N15</f>
        <v>0</v>
      </c>
      <c r="I6" s="106">
        <f>CoalBalance!O15</f>
        <v>0</v>
      </c>
      <c r="J6" s="107">
        <f>CoalBalance!P15</f>
        <v>0</v>
      </c>
      <c r="K6" s="107">
        <f>CoalBalance!Q15</f>
        <v>0</v>
      </c>
      <c r="L6" s="107">
        <f>CoalBalance!R15</f>
        <v>0</v>
      </c>
      <c r="M6" s="107">
        <f>CoalBalance!S15</f>
        <v>0</v>
      </c>
      <c r="N6" s="106">
        <f>CoalBalance!T15</f>
        <v>0</v>
      </c>
    </row>
    <row r="7" spans="2:14">
      <c r="B7" s="108" t="s">
        <v>30</v>
      </c>
      <c r="C7" s="136"/>
      <c r="D7" s="133">
        <f>CoalBalance!J10</f>
        <v>1.5437142857142856</v>
      </c>
      <c r="E7" s="109">
        <f>CoalBalance!K10</f>
        <v>1.5857142857142856</v>
      </c>
      <c r="F7" s="110">
        <f>CoalBalance!L10</f>
        <v>1.5857142857142856</v>
      </c>
      <c r="G7" s="109">
        <f>CoalBalance!M10</f>
        <v>1.25</v>
      </c>
      <c r="H7" s="111">
        <f>CoalBalance!N10</f>
        <v>1.7</v>
      </c>
      <c r="I7" s="112">
        <f>CoalBalance!O10</f>
        <v>7.1428571428571425E-2</v>
      </c>
      <c r="J7" s="113">
        <f>CoalBalance!P10</f>
        <v>1.8328530000000001</v>
      </c>
      <c r="K7" s="113" t="str">
        <f>CoalBalance!Q10</f>
        <v/>
      </c>
      <c r="L7" s="113">
        <f>CoalBalance!R10</f>
        <v>0</v>
      </c>
      <c r="M7" s="113">
        <f>CoalBalance!S10</f>
        <v>0</v>
      </c>
      <c r="N7" s="112">
        <f>CoalBalance!T10</f>
        <v>0</v>
      </c>
    </row>
    <row r="8" spans="2:14">
      <c r="B8" s="108" t="s">
        <v>31</v>
      </c>
      <c r="C8" s="136"/>
      <c r="D8" s="133">
        <f>CoalBalance!J11</f>
        <v>0</v>
      </c>
      <c r="E8" s="109">
        <f>CoalBalance!K11</f>
        <v>0</v>
      </c>
      <c r="F8" s="110">
        <f>CoalBalance!L11</f>
        <v>0</v>
      </c>
      <c r="G8" s="109">
        <f>CoalBalance!M11</f>
        <v>0</v>
      </c>
      <c r="H8" s="111">
        <f>CoalBalance!N11</f>
        <v>0</v>
      </c>
      <c r="I8" s="112">
        <f>CoalBalance!O11</f>
        <v>0</v>
      </c>
      <c r="J8" s="113">
        <f>CoalBalance!P11</f>
        <v>0</v>
      </c>
      <c r="K8" s="113" t="str">
        <f>CoalBalance!Q11</f>
        <v/>
      </c>
      <c r="L8" s="113">
        <f>CoalBalance!R11</f>
        <v>0</v>
      </c>
      <c r="M8" s="113">
        <f>CoalBalance!S11</f>
        <v>0</v>
      </c>
      <c r="N8" s="112">
        <f>CoalBalance!T11</f>
        <v>0</v>
      </c>
    </row>
    <row r="9" spans="2:14">
      <c r="B9" s="108" t="s">
        <v>36</v>
      </c>
      <c r="C9" s="136"/>
      <c r="D9" s="133">
        <f>CoalBalance!J16</f>
        <v>2.54325</v>
      </c>
      <c r="E9" s="109">
        <f>CoalBalance!K16</f>
        <v>1.6353571428571427</v>
      </c>
      <c r="F9" s="110">
        <f>CoalBalance!L16</f>
        <v>2.7</v>
      </c>
      <c r="G9" s="109">
        <f>CoalBalance!M16</f>
        <v>2.7</v>
      </c>
      <c r="H9" s="111">
        <f>CoalBalance!N16</f>
        <v>1.6</v>
      </c>
      <c r="I9" s="112">
        <f>CoalBalance!O16</f>
        <v>0</v>
      </c>
      <c r="J9" s="113">
        <f>CoalBalance!P16</f>
        <v>0</v>
      </c>
      <c r="K9" s="113" t="str">
        <f>CoalBalance!Q16</f>
        <v/>
      </c>
      <c r="L9" s="113">
        <f>CoalBalance!R16</f>
        <v>0</v>
      </c>
      <c r="M9" s="113">
        <f>CoalBalance!S16</f>
        <v>0</v>
      </c>
      <c r="N9" s="112">
        <f>CoalBalance!T16</f>
        <v>0</v>
      </c>
    </row>
    <row r="10" spans="2:14">
      <c r="B10" s="108" t="s">
        <v>38</v>
      </c>
      <c r="C10" s="136"/>
      <c r="D10" s="133">
        <f>CoalBalance!J18</f>
        <v>0.61060082304526753</v>
      </c>
      <c r="E10" s="109">
        <f>CoalBalance!K18</f>
        <v>0.60259259259259257</v>
      </c>
      <c r="F10" s="110">
        <f>CoalBalance!L18</f>
        <v>0.60259259259259257</v>
      </c>
      <c r="G10" s="109">
        <f>CoalBalance!M18</f>
        <v>0</v>
      </c>
      <c r="H10" s="111">
        <f>CoalBalance!N18</f>
        <v>0</v>
      </c>
      <c r="I10" s="112">
        <f>CoalBalance!O18</f>
        <v>0.85555555555555562</v>
      </c>
      <c r="J10" s="113">
        <f>CoalBalance!P18</f>
        <v>0.28007500000000002</v>
      </c>
      <c r="K10" s="113" t="str">
        <f>CoalBalance!Q18</f>
        <v/>
      </c>
      <c r="L10" s="113">
        <f>CoalBalance!R18</f>
        <v>0</v>
      </c>
      <c r="M10" s="113">
        <f>CoalBalance!S18</f>
        <v>0</v>
      </c>
      <c r="N10" s="112">
        <f>CoalBalance!T18</f>
        <v>0</v>
      </c>
    </row>
    <row r="11" spans="2:14">
      <c r="B11" s="108" t="s">
        <v>32</v>
      </c>
      <c r="C11" s="136"/>
      <c r="D11" s="133">
        <f>CoalBalance!J12</f>
        <v>2.5549714285714287</v>
      </c>
      <c r="E11" s="109">
        <f>CoalBalance!K12</f>
        <v>2.8717857142857142</v>
      </c>
      <c r="F11" s="110">
        <f>CoalBalance!L12</f>
        <v>2.8717857142857142</v>
      </c>
      <c r="G11" s="109">
        <f>CoalBalance!M12</f>
        <v>2.91</v>
      </c>
      <c r="H11" s="111">
        <f>CoalBalance!N12</f>
        <v>3.1</v>
      </c>
      <c r="I11" s="112">
        <f>CoalBalance!O12</f>
        <v>0</v>
      </c>
      <c r="J11" s="113">
        <f>CoalBalance!P12</f>
        <v>2.8047740000000001</v>
      </c>
      <c r="K11" s="113" t="str">
        <f>CoalBalance!Q12</f>
        <v/>
      </c>
      <c r="L11" s="113">
        <f>CoalBalance!R12</f>
        <v>0</v>
      </c>
      <c r="M11" s="113">
        <f>CoalBalance!S12</f>
        <v>0</v>
      </c>
      <c r="N11" s="112">
        <f>CoalBalance!T12</f>
        <v>5.7109500000000004</v>
      </c>
    </row>
    <row r="12" spans="2:14">
      <c r="B12" s="108" t="s">
        <v>37</v>
      </c>
      <c r="C12" s="136"/>
      <c r="D12" s="133">
        <f>CoalBalance!J17</f>
        <v>1.5267826086956522</v>
      </c>
      <c r="E12" s="109">
        <f>CoalBalance!K17</f>
        <v>1.6586956521739129</v>
      </c>
      <c r="F12" s="110">
        <f>CoalBalance!L17</f>
        <v>1.6586956521739129</v>
      </c>
      <c r="G12" s="109">
        <f>CoalBalance!M17</f>
        <v>4.7100000000000003E-2</v>
      </c>
      <c r="H12" s="111">
        <f>CoalBalance!N17</f>
        <v>0.06</v>
      </c>
      <c r="I12" s="112">
        <f>CoalBalance!O17</f>
        <v>0.15217391304347827</v>
      </c>
      <c r="J12" s="113">
        <f>CoalBalance!P17</f>
        <v>5.2187999999999998E-2</v>
      </c>
      <c r="K12" s="113" t="str">
        <f>CoalBalance!Q17</f>
        <v/>
      </c>
      <c r="L12" s="113">
        <f>CoalBalance!R17</f>
        <v>0</v>
      </c>
      <c r="M12" s="113">
        <f>CoalBalance!S17</f>
        <v>0</v>
      </c>
      <c r="N12" s="112">
        <f>CoalBalance!T17</f>
        <v>0</v>
      </c>
    </row>
    <row r="13" spans="2:14">
      <c r="B13" s="108" t="s">
        <v>33</v>
      </c>
      <c r="C13" s="136"/>
      <c r="D13" s="133">
        <f>CoalBalance!J13</f>
        <v>1.5596707818930041E-2</v>
      </c>
      <c r="E13" s="109">
        <f>CoalBalance!K13</f>
        <v>1.6666666666666666E-2</v>
      </c>
      <c r="F13" s="110">
        <f>CoalBalance!L13</f>
        <v>1.6666666666666666E-2</v>
      </c>
      <c r="G13" s="109">
        <f>CoalBalance!M13</f>
        <v>0</v>
      </c>
      <c r="H13" s="111">
        <f>CoalBalance!N13</f>
        <v>0</v>
      </c>
      <c r="I13" s="112">
        <f>CoalBalance!O13</f>
        <v>0</v>
      </c>
      <c r="J13" s="113">
        <f>CoalBalance!P13</f>
        <v>0.12893299999999999</v>
      </c>
      <c r="K13" s="113" t="str">
        <f>CoalBalance!Q13</f>
        <v/>
      </c>
      <c r="L13" s="113">
        <f>CoalBalance!R13</f>
        <v>0</v>
      </c>
      <c r="M13" s="113">
        <f>CoalBalance!S13</f>
        <v>0</v>
      </c>
      <c r="N13" s="112">
        <f>CoalBalance!T13</f>
        <v>0</v>
      </c>
    </row>
    <row r="14" spans="2:14">
      <c r="B14" s="108" t="s">
        <v>34</v>
      </c>
      <c r="C14" s="136"/>
      <c r="D14" s="133">
        <f>CoalBalance!J14</f>
        <v>2.3855999999999997</v>
      </c>
      <c r="E14" s="109">
        <f>CoalBalance!K14</f>
        <v>2.4460000000000002</v>
      </c>
      <c r="F14" s="110">
        <f>CoalBalance!L14</f>
        <v>2.4460000000000002</v>
      </c>
      <c r="G14" s="109">
        <f>CoalBalance!M14</f>
        <v>1.236</v>
      </c>
      <c r="H14" s="111">
        <f>CoalBalance!N14</f>
        <v>1.3</v>
      </c>
      <c r="I14" s="112">
        <f>CoalBalance!O14</f>
        <v>0</v>
      </c>
      <c r="J14" s="113">
        <f>CoalBalance!P14</f>
        <v>1.6260110000000001</v>
      </c>
      <c r="K14" s="113" t="str">
        <f>CoalBalance!Q14</f>
        <v/>
      </c>
      <c r="L14" s="113">
        <f>CoalBalance!R14</f>
        <v>0</v>
      </c>
      <c r="M14" s="113">
        <f>CoalBalance!S14</f>
        <v>0</v>
      </c>
      <c r="N14" s="112">
        <f>CoalBalance!T14</f>
        <v>0</v>
      </c>
    </row>
    <row r="15" spans="2:14">
      <c r="B15" s="108" t="s">
        <v>45</v>
      </c>
      <c r="C15" s="136"/>
      <c r="D15" s="133">
        <f>CoalBalance!J20</f>
        <v>1.8821563786008229</v>
      </c>
      <c r="E15" s="109">
        <f>CoalBalance!K20</f>
        <v>6.6092592592592592</v>
      </c>
      <c r="F15" s="110">
        <f>CoalBalance!L20</f>
        <v>3.7643127572016457</v>
      </c>
      <c r="G15" s="109">
        <f>CoalBalance!M20</f>
        <v>12.3</v>
      </c>
      <c r="H15" s="111">
        <f>CoalBalance!N20</f>
        <v>12.8</v>
      </c>
      <c r="I15" s="112">
        <f>CoalBalance!O20</f>
        <v>4.0740740740740744E-2</v>
      </c>
      <c r="J15" s="113">
        <f>CoalBalance!P20</f>
        <v>8.2838410000000007</v>
      </c>
      <c r="K15" s="113">
        <f>CoalBalance!Q20</f>
        <v>7.6296296296296298</v>
      </c>
      <c r="L15" s="113">
        <f>CoalBalance!R20</f>
        <v>0</v>
      </c>
      <c r="M15" s="113">
        <f>CoalBalance!S20</f>
        <v>0</v>
      </c>
      <c r="N15" s="112">
        <f>CoalBalance!T20</f>
        <v>15.954400000000001</v>
      </c>
    </row>
    <row r="16" spans="2:14">
      <c r="B16" s="108" t="s">
        <v>39</v>
      </c>
      <c r="C16" s="136"/>
      <c r="D16" s="133">
        <f>CoalBalance!J19</f>
        <v>2.1711986531986533</v>
      </c>
      <c r="E16" s="109">
        <f>CoalBalance!K19</f>
        <v>1.6822222222222223</v>
      </c>
      <c r="F16" s="110">
        <f>CoalBalance!L19</f>
        <v>2.1711986531986533</v>
      </c>
      <c r="G16" s="109">
        <f>CoalBalance!M19</f>
        <v>4.9400000000000004</v>
      </c>
      <c r="H16" s="111">
        <f>CoalBalance!N19</f>
        <v>4.8</v>
      </c>
      <c r="I16" s="112">
        <f>CoalBalance!O19</f>
        <v>0.10740740740740741</v>
      </c>
      <c r="J16" s="113">
        <f>CoalBalance!P19</f>
        <v>0</v>
      </c>
      <c r="K16" s="113" t="str">
        <f>CoalBalance!Q19</f>
        <v/>
      </c>
      <c r="L16" s="113">
        <f>CoalBalance!R19</f>
        <v>0</v>
      </c>
      <c r="M16" s="113">
        <f>CoalBalance!S19</f>
        <v>0</v>
      </c>
      <c r="N16" s="112">
        <f>CoalBalance!T19</f>
        <v>8.3579300000000014</v>
      </c>
    </row>
    <row r="17" spans="2:14">
      <c r="B17" s="108" t="s">
        <v>48</v>
      </c>
      <c r="C17" s="136"/>
      <c r="D17" s="133">
        <f>CoalBalance!J22</f>
        <v>0.9514920634920635</v>
      </c>
      <c r="E17" s="109">
        <f>CoalBalance!K22</f>
        <v>0.99</v>
      </c>
      <c r="F17" s="110">
        <f>CoalBalance!L22</f>
        <v>0.99</v>
      </c>
      <c r="G17" s="109">
        <f>CoalBalance!M22</f>
        <v>0</v>
      </c>
      <c r="H17" s="111">
        <f>CoalBalance!N22</f>
        <v>0</v>
      </c>
      <c r="I17" s="112">
        <f>CoalBalance!O22</f>
        <v>0</v>
      </c>
      <c r="J17" s="113">
        <f>CoalBalance!P22</f>
        <v>0.61151456250000003</v>
      </c>
      <c r="K17" s="113">
        <f>CoalBalance!Q22</f>
        <v>10.57037037037037</v>
      </c>
      <c r="L17" s="113">
        <f>CoalBalance!R22</f>
        <v>0</v>
      </c>
      <c r="M17" s="113">
        <f>CoalBalance!S22</f>
        <v>0</v>
      </c>
      <c r="N17" s="112">
        <f>CoalBalance!T22</f>
        <v>0</v>
      </c>
    </row>
    <row r="18" spans="2:14">
      <c r="B18" s="108" t="s">
        <v>49</v>
      </c>
      <c r="C18" s="136"/>
      <c r="D18" s="133">
        <f>CoalBalance!J23</f>
        <v>2.8493827160493826E-2</v>
      </c>
      <c r="E18" s="109">
        <f>CoalBalance!K23</f>
        <v>2.9629629629629631E-2</v>
      </c>
      <c r="F18" s="110">
        <f>CoalBalance!L23</f>
        <v>2.9629629629629631E-2</v>
      </c>
      <c r="G18" s="109">
        <f>CoalBalance!M23</f>
        <v>7.0000000000000007E-2</v>
      </c>
      <c r="H18" s="111">
        <f>CoalBalance!N23</f>
        <v>7.0000000000000007E-2</v>
      </c>
      <c r="I18" s="112">
        <f>CoalBalance!O23</f>
        <v>0</v>
      </c>
      <c r="J18" s="113">
        <f>CoalBalance!P23</f>
        <v>7.4009000000000005E-2</v>
      </c>
      <c r="K18" s="113">
        <f>CoalBalance!Q23</f>
        <v>3.7037037037037035E-2</v>
      </c>
      <c r="L18" s="113">
        <f>CoalBalance!R23</f>
        <v>0</v>
      </c>
      <c r="M18" s="113">
        <f>CoalBalance!S23</f>
        <v>0</v>
      </c>
      <c r="N18" s="112">
        <f>CoalBalance!T23</f>
        <v>0</v>
      </c>
    </row>
    <row r="19" spans="2:14">
      <c r="B19" s="108" t="s">
        <v>51</v>
      </c>
      <c r="C19" s="136"/>
      <c r="D19" s="133">
        <f>CoalBalance!J24</f>
        <v>0.5</v>
      </c>
      <c r="E19" s="109">
        <f>CoalBalance!K24</f>
        <v>1.1851851851851851</v>
      </c>
      <c r="F19" s="110">
        <f>CoalBalance!L24</f>
        <v>0.5</v>
      </c>
      <c r="G19" s="109">
        <f>CoalBalance!M24</f>
        <v>0</v>
      </c>
      <c r="H19" s="111">
        <f>CoalBalance!N24</f>
        <v>0</v>
      </c>
      <c r="I19" s="112">
        <f>CoalBalance!O24</f>
        <v>0</v>
      </c>
      <c r="J19" s="113">
        <f>CoalBalance!P24</f>
        <v>0.61151456250000003</v>
      </c>
      <c r="K19" s="113">
        <f>CoalBalance!Q24</f>
        <v>0.58518518518518525</v>
      </c>
      <c r="L19" s="113">
        <f>CoalBalance!R24</f>
        <v>0</v>
      </c>
      <c r="M19" s="113">
        <f>CoalBalance!S24</f>
        <v>0</v>
      </c>
      <c r="N19" s="112">
        <f>CoalBalance!T24</f>
        <v>0</v>
      </c>
    </row>
    <row r="20" spans="2:14">
      <c r="B20" s="108"/>
      <c r="C20" s="136"/>
      <c r="D20" s="133">
        <f>CoalBalance!J26</f>
        <v>-160.96704873118657</v>
      </c>
      <c r="E20" s="109">
        <f>CoalBalance!K26</f>
        <v>-161.97900191938581</v>
      </c>
      <c r="F20" s="110">
        <f>CoalBalance!L26</f>
        <v>-161.97900191938581</v>
      </c>
      <c r="G20" s="109">
        <f>CoalBalance!M26</f>
        <v>-154</v>
      </c>
      <c r="H20" s="111">
        <f>CoalBalance!N26</f>
        <v>-150.9</v>
      </c>
      <c r="I20" s="112">
        <f>CoalBalance!O26</f>
        <v>0</v>
      </c>
      <c r="J20" s="113">
        <f>CoalBalance!P26</f>
        <v>-162.013384</v>
      </c>
      <c r="K20" s="113">
        <f>CoalBalance!Q26</f>
        <v>-131.84613831006652</v>
      </c>
      <c r="L20" s="113">
        <f>CoalBalance!R26</f>
        <v>-116.55</v>
      </c>
      <c r="M20" s="113">
        <f>CoalBalance!S26</f>
        <v>-158</v>
      </c>
      <c r="N20" s="112">
        <f>CoalBalance!T26</f>
        <v>-151.20420000000001</v>
      </c>
    </row>
    <row r="21" spans="2:14">
      <c r="B21" s="108" t="s">
        <v>56</v>
      </c>
      <c r="C21" s="136" t="s">
        <v>14</v>
      </c>
      <c r="D21" s="133">
        <f>CoalBalance!J28</f>
        <v>-121.25716338112959</v>
      </c>
      <c r="E21" s="109">
        <f>CoalBalance!K28</f>
        <v>-121.18</v>
      </c>
      <c r="F21" s="110">
        <f>CoalBalance!L28</f>
        <v>-121.18</v>
      </c>
      <c r="G21" s="109">
        <f>CoalBalance!M28</f>
        <v>-115</v>
      </c>
      <c r="H21" s="111">
        <f>CoalBalance!N28</f>
        <v>-112</v>
      </c>
      <c r="I21" s="112">
        <f>CoalBalance!O28</f>
        <v>0</v>
      </c>
      <c r="J21" s="113">
        <f>CoalBalance!P28</f>
        <v>-122.69024</v>
      </c>
      <c r="K21" s="113">
        <f>CoalBalance!Q28</f>
        <v>-117.65707880910682</v>
      </c>
      <c r="L21" s="113">
        <f>CoalBalance!R28</f>
        <v>-116.55</v>
      </c>
      <c r="M21" s="113">
        <f>CoalBalance!S28</f>
        <v>-119</v>
      </c>
      <c r="N21" s="112">
        <f>CoalBalance!T28</f>
        <v>-111.89836</v>
      </c>
    </row>
    <row r="22" spans="2:14">
      <c r="B22" s="108"/>
      <c r="C22" s="136"/>
      <c r="D22" s="133">
        <f>CoalBalance!J29</f>
        <v>0</v>
      </c>
      <c r="E22" s="109">
        <f>CoalBalance!K29</f>
        <v>0</v>
      </c>
      <c r="F22" s="110">
        <f>CoalBalance!L29</f>
        <v>0</v>
      </c>
      <c r="G22" s="109">
        <f>CoalBalance!M29</f>
        <v>0</v>
      </c>
      <c r="H22" s="111">
        <f>CoalBalance!N29</f>
        <v>0</v>
      </c>
      <c r="I22" s="112">
        <f>CoalBalance!O29</f>
        <v>0</v>
      </c>
      <c r="J22" s="113">
        <f>CoalBalance!P29</f>
        <v>0</v>
      </c>
      <c r="K22" s="113" t="str">
        <f>CoalBalance!Q29</f>
        <v/>
      </c>
      <c r="L22" s="113">
        <f>CoalBalance!R29</f>
        <v>0</v>
      </c>
      <c r="M22" s="113">
        <f>CoalBalance!S29</f>
        <v>0</v>
      </c>
      <c r="N22" s="112">
        <f>CoalBalance!T29</f>
        <v>0</v>
      </c>
    </row>
    <row r="23" spans="2:14">
      <c r="B23" s="108"/>
      <c r="C23" s="136" t="s">
        <v>58</v>
      </c>
      <c r="D23" s="133">
        <f>CoalBalance!J30</f>
        <v>0</v>
      </c>
      <c r="E23" s="109">
        <f>CoalBalance!K30</f>
        <v>-1.18</v>
      </c>
      <c r="F23" s="110">
        <f>CoalBalance!L30</f>
        <v>-1.18</v>
      </c>
      <c r="G23" s="109">
        <f>CoalBalance!M30</f>
        <v>0</v>
      </c>
      <c r="H23" s="111">
        <f>CoalBalance!N30</f>
        <v>0</v>
      </c>
      <c r="I23" s="112">
        <f>CoalBalance!O30</f>
        <v>0</v>
      </c>
      <c r="J23" s="113">
        <f>CoalBalance!P30</f>
        <v>0</v>
      </c>
      <c r="K23" s="113" t="str">
        <f>CoalBalance!Q30</f>
        <v/>
      </c>
      <c r="L23" s="113">
        <f>CoalBalance!R30</f>
        <v>0</v>
      </c>
      <c r="M23" s="113">
        <f>CoalBalance!S30</f>
        <v>0</v>
      </c>
      <c r="N23" s="112">
        <f>CoalBalance!T30</f>
        <v>0</v>
      </c>
    </row>
    <row r="24" spans="2:14">
      <c r="B24" s="108" t="s">
        <v>61</v>
      </c>
      <c r="C24" s="136"/>
      <c r="D24" s="133">
        <f>CoalBalance!J32</f>
        <v>-39.709885350056972</v>
      </c>
      <c r="E24" s="109">
        <f>CoalBalance!K32</f>
        <v>-39.619001919385802</v>
      </c>
      <c r="F24" s="110">
        <f>CoalBalance!L32</f>
        <v>-39.619001919385802</v>
      </c>
      <c r="G24" s="109">
        <f>CoalBalance!M32</f>
        <v>-39</v>
      </c>
      <c r="H24" s="111">
        <f>CoalBalance!N32</f>
        <v>-38.9</v>
      </c>
      <c r="I24" s="112">
        <f>CoalBalance!O32</f>
        <v>0</v>
      </c>
      <c r="J24" s="113">
        <f>CoalBalance!P32</f>
        <v>-39.323143999999999</v>
      </c>
      <c r="K24" s="113">
        <f>CoalBalance!Q32</f>
        <v>-14.189059500959692</v>
      </c>
      <c r="L24" s="113">
        <f>CoalBalance!R32</f>
        <v>0</v>
      </c>
      <c r="M24" s="113">
        <f>CoalBalance!S32</f>
        <v>-39</v>
      </c>
      <c r="N24" s="112">
        <f>CoalBalance!T32</f>
        <v>-39.305840000000003</v>
      </c>
    </row>
    <row r="25" spans="2:14">
      <c r="B25" s="108" t="s">
        <v>63</v>
      </c>
      <c r="C25" s="136"/>
      <c r="D25" s="133">
        <f>CoalBalance!J33</f>
        <v>0</v>
      </c>
      <c r="E25" s="109">
        <f>CoalBalance!K33</f>
        <v>0</v>
      </c>
      <c r="F25" s="110">
        <f>CoalBalance!L33</f>
        <v>0</v>
      </c>
      <c r="G25" s="109">
        <f>CoalBalance!M33</f>
        <v>0</v>
      </c>
      <c r="H25" s="111">
        <f>CoalBalance!N33</f>
        <v>0</v>
      </c>
      <c r="I25" s="112">
        <f>CoalBalance!O33</f>
        <v>0</v>
      </c>
      <c r="J25" s="113">
        <f>CoalBalance!P33</f>
        <v>0</v>
      </c>
      <c r="K25" s="113">
        <f>CoalBalance!Q33</f>
        <v>0</v>
      </c>
      <c r="L25" s="113">
        <f>CoalBalance!R33</f>
        <v>0</v>
      </c>
      <c r="M25" s="113">
        <f>CoalBalance!S33</f>
        <v>0</v>
      </c>
      <c r="N25" s="112">
        <f>CoalBalance!T33</f>
        <v>0</v>
      </c>
    </row>
    <row r="26" spans="2:14" ht="15" thickBot="1">
      <c r="B26" s="114" t="s">
        <v>225</v>
      </c>
      <c r="C26" s="137"/>
      <c r="D26" s="131">
        <f>CoalBalance!J25</f>
        <v>-144.25319195488896</v>
      </c>
      <c r="E26" s="97">
        <f>CoalBalance!K25</f>
        <v>-140.66589356879919</v>
      </c>
      <c r="F26" s="98">
        <f>CoalBalance!L25</f>
        <v>-142.64240596792271</v>
      </c>
      <c r="G26" s="97">
        <f>CoalBalance!M25</f>
        <v>-128.54689999999999</v>
      </c>
      <c r="H26" s="99">
        <f>CoalBalance!N25</f>
        <v>-125.47</v>
      </c>
      <c r="I26" s="100">
        <f>CoalBalance!O25</f>
        <v>1.2273061881757534</v>
      </c>
      <c r="J26" s="101">
        <f>CoalBalance!P25</f>
        <v>-145.70767087499999</v>
      </c>
      <c r="K26" s="101">
        <f>CoalBalance!Q25</f>
        <v>-113.0239160878443</v>
      </c>
      <c r="L26" s="101">
        <f>CoalBalance!R25</f>
        <v>-116.55</v>
      </c>
      <c r="M26" s="101">
        <f>CoalBalance!S25</f>
        <v>-158</v>
      </c>
      <c r="N26" s="100">
        <f>CoalBalance!T25</f>
        <v>-121.18092000000001</v>
      </c>
    </row>
    <row r="27" spans="2:14" ht="15" thickTop="1">
      <c r="B27" s="102" t="s">
        <v>65</v>
      </c>
      <c r="C27" s="135"/>
      <c r="D27" s="132">
        <f>CoalBalance!J34</f>
        <v>0</v>
      </c>
      <c r="E27" s="103">
        <f>CoalBalance!K34</f>
        <v>71.958333333333329</v>
      </c>
      <c r="F27" s="104">
        <f>CoalBalance!L34</f>
        <v>79.8</v>
      </c>
      <c r="G27" s="103">
        <f>CoalBalance!M34</f>
        <v>0</v>
      </c>
      <c r="H27" s="105">
        <f>CoalBalance!N34</f>
        <v>0</v>
      </c>
      <c r="I27" s="106">
        <f>CoalBalance!O34</f>
        <v>0</v>
      </c>
      <c r="J27" s="107">
        <f>CoalBalance!P34</f>
        <v>67.129639999999995</v>
      </c>
      <c r="K27" s="107">
        <f>CoalBalance!Q34</f>
        <v>0</v>
      </c>
      <c r="L27" s="107">
        <f>CoalBalance!R34</f>
        <v>0</v>
      </c>
      <c r="M27" s="107">
        <f>CoalBalance!S34</f>
        <v>0</v>
      </c>
      <c r="N27" s="106">
        <f>CoalBalance!T34</f>
        <v>79.8</v>
      </c>
    </row>
    <row r="28" spans="2:14" ht="15" thickBot="1">
      <c r="B28" s="115" t="s">
        <v>67</v>
      </c>
      <c r="C28" s="121"/>
      <c r="D28" s="134">
        <f>CoalBalance!J35</f>
        <v>0</v>
      </c>
      <c r="E28" s="116">
        <f>CoalBalance!K35</f>
        <v>0</v>
      </c>
      <c r="F28" s="117">
        <f>CoalBalance!L35</f>
        <v>0</v>
      </c>
      <c r="G28" s="116">
        <f>CoalBalance!M35</f>
        <v>0</v>
      </c>
      <c r="H28" s="118">
        <f>CoalBalance!N35</f>
        <v>0</v>
      </c>
      <c r="I28" s="119">
        <f>CoalBalance!O35</f>
        <v>0</v>
      </c>
      <c r="J28" s="120">
        <f>CoalBalance!P35</f>
        <v>0</v>
      </c>
      <c r="K28" s="120">
        <f>CoalBalance!Q35</f>
        <v>0</v>
      </c>
      <c r="L28" s="120">
        <f>CoalBalance!R35</f>
        <v>0</v>
      </c>
      <c r="M28" s="120">
        <f>CoalBalance!S35</f>
        <v>183</v>
      </c>
      <c r="N28" s="119">
        <f>CoalBalance!T35</f>
        <v>0</v>
      </c>
    </row>
  </sheetData>
  <mergeCells count="5">
    <mergeCell ref="B2:C2"/>
    <mergeCell ref="B3:C3"/>
    <mergeCell ref="B4:C4"/>
    <mergeCell ref="B5:C5"/>
    <mergeCell ref="D4:N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E9E3-89D0-4054-A397-FC27B68B75D5}">
  <dimension ref="A1:L28"/>
  <sheetViews>
    <sheetView showZeros="0" zoomScale="110" zoomScaleNormal="110" workbookViewId="0">
      <selection activeCell="F9" sqref="F9"/>
    </sheetView>
  </sheetViews>
  <sheetFormatPr defaultRowHeight="14.4"/>
  <cols>
    <col min="2" max="2" width="18.109375" bestFit="1" customWidth="1"/>
    <col min="3" max="3" width="7.6640625" bestFit="1" customWidth="1"/>
    <col min="4" max="4" width="8.109375" bestFit="1" customWidth="1"/>
    <col min="5" max="5" width="8.33203125" bestFit="1" customWidth="1"/>
    <col min="9" max="9" width="24.109375" bestFit="1" customWidth="1"/>
    <col min="11" max="11" width="16.109375" bestFit="1" customWidth="1"/>
  </cols>
  <sheetData>
    <row r="1" spans="1:12" ht="15" thickBot="1"/>
    <row r="2" spans="1:12" ht="15" thickBot="1">
      <c r="B2" s="278" t="s">
        <v>226</v>
      </c>
      <c r="C2" s="279"/>
      <c r="D2" s="285" t="s">
        <v>227</v>
      </c>
      <c r="E2" s="286"/>
    </row>
    <row r="3" spans="1:12" ht="15" thickBot="1">
      <c r="B3" s="280" t="s">
        <v>20</v>
      </c>
      <c r="C3" s="281"/>
      <c r="D3" s="139" t="s">
        <v>26</v>
      </c>
      <c r="E3" s="140" t="s">
        <v>24</v>
      </c>
    </row>
    <row r="4" spans="1:12">
      <c r="B4" s="270" t="s">
        <v>223</v>
      </c>
      <c r="C4" s="282"/>
      <c r="D4" s="287"/>
      <c r="E4" s="288"/>
    </row>
    <row r="5" spans="1:12" ht="15" thickBot="1">
      <c r="B5" s="283" t="s">
        <v>224</v>
      </c>
      <c r="C5" s="284"/>
      <c r="D5" s="138">
        <f>CoalBalance!L7</f>
        <v>19.336595951463099</v>
      </c>
      <c r="E5" s="142">
        <f>CoalBalance!V7</f>
        <v>494.38880808080796</v>
      </c>
      <c r="F5" s="146">
        <f>SUM(E7:E19)</f>
        <v>494.38880808080802</v>
      </c>
      <c r="I5" s="277" t="s">
        <v>228</v>
      </c>
      <c r="J5" s="277"/>
      <c r="K5" s="277"/>
      <c r="L5" s="277"/>
    </row>
    <row r="6" spans="1:12" ht="15" thickTop="1">
      <c r="B6" s="102" t="s">
        <v>35</v>
      </c>
      <c r="C6" s="126"/>
      <c r="D6" s="127">
        <f>CoalBalance!L15</f>
        <v>0</v>
      </c>
      <c r="E6" s="143">
        <f>CoalBalance!V15</f>
        <v>0</v>
      </c>
      <c r="I6" s="276">
        <f>E26</f>
        <v>-2615.271191919192</v>
      </c>
      <c r="J6" s="147" t="s">
        <v>229</v>
      </c>
      <c r="K6" s="36" t="s">
        <v>35</v>
      </c>
      <c r="L6" s="38">
        <f>E6</f>
        <v>0</v>
      </c>
    </row>
    <row r="7" spans="1:12">
      <c r="A7">
        <v>33</v>
      </c>
      <c r="B7" s="108" t="s">
        <v>30</v>
      </c>
      <c r="C7" s="122"/>
      <c r="D7" s="123">
        <f>CoalBalance!L10</f>
        <v>1.5857142857142856</v>
      </c>
      <c r="E7" s="144">
        <f>CoalBalance!V10</f>
        <v>33.299999999999997</v>
      </c>
      <c r="I7" s="276"/>
      <c r="J7" s="147" t="s">
        <v>229</v>
      </c>
      <c r="K7" s="36" t="s">
        <v>30</v>
      </c>
      <c r="L7" s="38">
        <f t="shared" ref="L7:L19" si="0">E7</f>
        <v>33.299999999999997</v>
      </c>
    </row>
    <row r="8" spans="1:12">
      <c r="A8">
        <v>33</v>
      </c>
      <c r="B8" s="108" t="s">
        <v>31</v>
      </c>
      <c r="C8" s="122"/>
      <c r="D8" s="123">
        <f>CoalBalance!L11</f>
        <v>0</v>
      </c>
      <c r="E8" s="144">
        <f>CoalBalance!V11</f>
        <v>0</v>
      </c>
      <c r="I8" s="276"/>
      <c r="J8" s="147" t="s">
        <v>229</v>
      </c>
      <c r="K8" s="36" t="s">
        <v>31</v>
      </c>
      <c r="L8" s="38">
        <f t="shared" si="0"/>
        <v>0</v>
      </c>
    </row>
    <row r="9" spans="1:12">
      <c r="A9">
        <v>352</v>
      </c>
      <c r="B9" s="108" t="s">
        <v>36</v>
      </c>
      <c r="C9" s="122"/>
      <c r="D9" s="123">
        <f>CoalBalance!L16</f>
        <v>2.7</v>
      </c>
      <c r="E9" s="144">
        <f>CoalBalance!V16</f>
        <v>75.600000000000009</v>
      </c>
      <c r="I9" s="276"/>
      <c r="J9" s="147" t="s">
        <v>229</v>
      </c>
      <c r="K9" s="36" t="s">
        <v>36</v>
      </c>
      <c r="L9" s="38">
        <f t="shared" si="0"/>
        <v>75.600000000000009</v>
      </c>
    </row>
    <row r="10" spans="1:12">
      <c r="A10">
        <v>30</v>
      </c>
      <c r="B10" s="108" t="s">
        <v>38</v>
      </c>
      <c r="C10" s="122"/>
      <c r="D10" s="123">
        <f>CoalBalance!L18</f>
        <v>0.60259259259259257</v>
      </c>
      <c r="E10" s="144">
        <f>CoalBalance!V18</f>
        <v>16.27</v>
      </c>
      <c r="I10" s="276"/>
      <c r="J10" s="147" t="s">
        <v>229</v>
      </c>
      <c r="K10" s="36" t="s">
        <v>38</v>
      </c>
      <c r="L10" s="38">
        <f t="shared" si="0"/>
        <v>16.27</v>
      </c>
    </row>
    <row r="11" spans="1:12">
      <c r="A11">
        <v>351</v>
      </c>
      <c r="B11" s="108" t="s">
        <v>32</v>
      </c>
      <c r="C11" s="122"/>
      <c r="D11" s="123">
        <f>CoalBalance!L12</f>
        <v>2.8717857142857142</v>
      </c>
      <c r="E11" s="144">
        <f>CoalBalance!V12</f>
        <v>80.41</v>
      </c>
      <c r="I11" s="276"/>
      <c r="J11" s="147" t="s">
        <v>229</v>
      </c>
      <c r="K11" s="36" t="s">
        <v>32</v>
      </c>
      <c r="L11" s="38">
        <f t="shared" si="0"/>
        <v>80.41</v>
      </c>
    </row>
    <row r="12" spans="1:12">
      <c r="A12">
        <v>2</v>
      </c>
      <c r="B12" s="108" t="s">
        <v>37</v>
      </c>
      <c r="C12" s="122"/>
      <c r="D12" s="123">
        <f>CoalBalance!L17</f>
        <v>1.6586956521739129</v>
      </c>
      <c r="E12" s="144">
        <f>CoalBalance!V17</f>
        <v>38.15</v>
      </c>
      <c r="I12" s="276"/>
      <c r="J12" s="147" t="s">
        <v>229</v>
      </c>
      <c r="K12" s="36" t="s">
        <v>37</v>
      </c>
      <c r="L12" s="38">
        <f t="shared" si="0"/>
        <v>38.15</v>
      </c>
    </row>
    <row r="13" spans="1:12">
      <c r="A13">
        <v>352</v>
      </c>
      <c r="B13" s="108" t="s">
        <v>33</v>
      </c>
      <c r="C13" s="122"/>
      <c r="D13" s="123">
        <f>CoalBalance!L13</f>
        <v>1.6666666666666666E-2</v>
      </c>
      <c r="E13" s="144">
        <f>CoalBalance!V13</f>
        <v>0.45</v>
      </c>
      <c r="I13" s="276"/>
      <c r="J13" s="147" t="s">
        <v>229</v>
      </c>
      <c r="K13" s="36" t="s">
        <v>33</v>
      </c>
      <c r="L13" s="38">
        <f t="shared" si="0"/>
        <v>0.45</v>
      </c>
    </row>
    <row r="14" spans="1:12">
      <c r="A14">
        <v>34</v>
      </c>
      <c r="B14" s="108" t="s">
        <v>34</v>
      </c>
      <c r="C14" s="122"/>
      <c r="D14" s="123">
        <f>CoalBalance!L14</f>
        <v>2.4460000000000002</v>
      </c>
      <c r="E14" s="144">
        <f>CoalBalance!V14</f>
        <v>48.92</v>
      </c>
      <c r="I14" s="276"/>
      <c r="J14" s="147" t="s">
        <v>229</v>
      </c>
      <c r="K14" s="36" t="s">
        <v>34</v>
      </c>
      <c r="L14" s="38">
        <f t="shared" si="0"/>
        <v>48.92</v>
      </c>
    </row>
    <row r="15" spans="1:12">
      <c r="A15" t="s">
        <v>230</v>
      </c>
      <c r="B15" s="108" t="s">
        <v>45</v>
      </c>
      <c r="C15" s="122"/>
      <c r="D15" s="123">
        <f>CoalBalance!L20</f>
        <v>3.7643127572016457</v>
      </c>
      <c r="E15" s="144">
        <f>CoalBalance!V20</f>
        <v>101.63644444444444</v>
      </c>
      <c r="I15" s="276"/>
      <c r="J15" s="147" t="s">
        <v>229</v>
      </c>
      <c r="K15" s="36" t="s">
        <v>45</v>
      </c>
      <c r="L15" s="38">
        <f t="shared" si="0"/>
        <v>101.63644444444444</v>
      </c>
    </row>
    <row r="16" spans="1:12">
      <c r="A16">
        <v>323</v>
      </c>
      <c r="B16" s="108" t="s">
        <v>39</v>
      </c>
      <c r="C16" s="122"/>
      <c r="D16" s="123">
        <f>CoalBalance!L19</f>
        <v>2.1711986531986533</v>
      </c>
      <c r="E16" s="144">
        <f>CoalBalance!V19</f>
        <v>58.622363636363637</v>
      </c>
      <c r="I16" s="276"/>
      <c r="J16" s="147" t="s">
        <v>229</v>
      </c>
      <c r="K16" s="36" t="s">
        <v>39</v>
      </c>
      <c r="L16" s="38">
        <f t="shared" si="0"/>
        <v>58.622363636363637</v>
      </c>
    </row>
    <row r="17" spans="2:12">
      <c r="B17" s="108" t="s">
        <v>48</v>
      </c>
      <c r="C17" s="122"/>
      <c r="D17" s="123">
        <f>CoalBalance!L22</f>
        <v>0.99</v>
      </c>
      <c r="E17" s="144">
        <f>CoalBalance!V22</f>
        <v>26.73</v>
      </c>
      <c r="I17" s="276"/>
      <c r="J17" s="147" t="s">
        <v>229</v>
      </c>
      <c r="K17" s="36" t="s">
        <v>48</v>
      </c>
      <c r="L17" s="38">
        <f t="shared" si="0"/>
        <v>26.73</v>
      </c>
    </row>
    <row r="18" spans="2:12">
      <c r="B18" s="108" t="s">
        <v>49</v>
      </c>
      <c r="C18" s="122"/>
      <c r="D18" s="123">
        <f>CoalBalance!L23</f>
        <v>2.9629629629629631E-2</v>
      </c>
      <c r="E18" s="144">
        <f>CoalBalance!V23</f>
        <v>0.8</v>
      </c>
      <c r="I18" s="276"/>
      <c r="J18" s="147" t="s">
        <v>229</v>
      </c>
      <c r="K18" s="36" t="s">
        <v>49</v>
      </c>
      <c r="L18" s="38">
        <f t="shared" si="0"/>
        <v>0.8</v>
      </c>
    </row>
    <row r="19" spans="2:12">
      <c r="B19" s="108" t="s">
        <v>51</v>
      </c>
      <c r="C19" s="122"/>
      <c r="D19" s="123">
        <f>CoalBalance!L24</f>
        <v>0.5</v>
      </c>
      <c r="E19" s="144">
        <f>CoalBalance!V24</f>
        <v>13.5</v>
      </c>
      <c r="I19" s="276"/>
      <c r="J19" s="147" t="s">
        <v>229</v>
      </c>
      <c r="K19" s="36" t="s">
        <v>51</v>
      </c>
      <c r="L19" s="38">
        <f t="shared" si="0"/>
        <v>13.5</v>
      </c>
    </row>
    <row r="20" spans="2:12">
      <c r="B20" s="108"/>
      <c r="C20" s="122"/>
      <c r="D20" s="123">
        <f>CoalBalance!L26</f>
        <v>-161.97900191938581</v>
      </c>
      <c r="E20" s="144">
        <f>CoalBalance!V26</f>
        <v>-3109.66</v>
      </c>
      <c r="I20" s="276"/>
      <c r="J20" s="147" t="s">
        <v>229</v>
      </c>
      <c r="K20" s="36" t="str">
        <f>B21</f>
        <v>Power</v>
      </c>
      <c r="L20" s="38">
        <f>E21</f>
        <v>-2284</v>
      </c>
    </row>
    <row r="21" spans="2:12">
      <c r="B21" s="108" t="s">
        <v>56</v>
      </c>
      <c r="C21" s="122" t="s">
        <v>14</v>
      </c>
      <c r="D21" s="123">
        <f>CoalBalance!L28</f>
        <v>-121.18</v>
      </c>
      <c r="E21" s="144">
        <f>CoalBalance!V28</f>
        <v>-2284</v>
      </c>
      <c r="I21" s="276"/>
      <c r="J21" s="147" t="s">
        <v>229</v>
      </c>
      <c r="K21" s="36" t="str">
        <f>B24</f>
        <v>CTL</v>
      </c>
      <c r="L21" s="38">
        <f>E24</f>
        <v>-825.66000000000008</v>
      </c>
    </row>
    <row r="22" spans="2:12">
      <c r="B22" s="108"/>
      <c r="C22" s="122"/>
      <c r="D22" s="123">
        <f>CoalBalance!L29</f>
        <v>0</v>
      </c>
      <c r="E22" s="144">
        <f>CoalBalance!V29</f>
        <v>0</v>
      </c>
      <c r="L22" s="146">
        <f>SUM(L6:L21)</f>
        <v>-2615.271191919192</v>
      </c>
    </row>
    <row r="23" spans="2:12">
      <c r="B23" s="108"/>
      <c r="C23" s="122" t="s">
        <v>58</v>
      </c>
      <c r="D23" s="123">
        <f>CoalBalance!L30</f>
        <v>-1.18</v>
      </c>
      <c r="E23" s="144">
        <f>CoalBalance!V30</f>
        <v>0</v>
      </c>
    </row>
    <row r="24" spans="2:12">
      <c r="B24" s="108" t="s">
        <v>61</v>
      </c>
      <c r="C24" s="122"/>
      <c r="D24" s="123">
        <f>CoalBalance!L32</f>
        <v>-39.619001919385802</v>
      </c>
      <c r="E24" s="144">
        <f>CoalBalance!V32</f>
        <v>-825.66000000000008</v>
      </c>
    </row>
    <row r="25" spans="2:12">
      <c r="B25" s="108" t="s">
        <v>63</v>
      </c>
      <c r="C25" s="122"/>
      <c r="D25" s="123">
        <f>CoalBalance!L33</f>
        <v>0</v>
      </c>
      <c r="E25" s="144">
        <f>CoalBalance!V33</f>
        <v>0</v>
      </c>
    </row>
    <row r="26" spans="2:12" ht="15" thickBot="1">
      <c r="B26" s="114" t="s">
        <v>225</v>
      </c>
      <c r="C26" s="128"/>
      <c r="D26" s="129">
        <f>CoalBalance!L25</f>
        <v>-142.64240596792271</v>
      </c>
      <c r="E26" s="145">
        <f>CoalBalance!V25</f>
        <v>-2615.271191919192</v>
      </c>
      <c r="F26" s="146">
        <f>E21+E24+F5+1915</f>
        <v>-700.27119191919201</v>
      </c>
    </row>
    <row r="27" spans="2:12" ht="15" thickTop="1">
      <c r="B27" s="102" t="s">
        <v>65</v>
      </c>
      <c r="C27" s="126"/>
      <c r="D27" s="127">
        <f>CoalBalance!L34</f>
        <v>79.8</v>
      </c>
      <c r="E27" s="143">
        <f>CoalBalance!V34</f>
        <v>1915.1999999999998</v>
      </c>
    </row>
    <row r="28" spans="2:12" ht="15" thickBot="1">
      <c r="B28" s="115" t="s">
        <v>67</v>
      </c>
      <c r="C28" s="124"/>
      <c r="D28" s="125">
        <f>CoalBalance!L35</f>
        <v>0</v>
      </c>
      <c r="E28" s="141">
        <f>CoalBalance!V35</f>
        <v>-251719.85222222222</v>
      </c>
    </row>
  </sheetData>
  <mergeCells count="8">
    <mergeCell ref="I6:I21"/>
    <mergeCell ref="I5:L5"/>
    <mergeCell ref="B2:C2"/>
    <mergeCell ref="B3:C3"/>
    <mergeCell ref="B4:C4"/>
    <mergeCell ref="B5:C5"/>
    <mergeCell ref="D2:E2"/>
    <mergeCell ref="D4:E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6EE6-46CA-401E-8AC0-7D51C4A70788}">
  <dimension ref="A1:N32"/>
  <sheetViews>
    <sheetView showZeros="0" zoomScale="60" zoomScaleNormal="60" workbookViewId="0">
      <selection activeCell="B2" sqref="B2:C2"/>
    </sheetView>
  </sheetViews>
  <sheetFormatPr defaultRowHeight="14.4"/>
  <cols>
    <col min="1" max="1" width="20.88671875" bestFit="1" customWidth="1"/>
    <col min="2" max="2" width="22.5546875" bestFit="1" customWidth="1"/>
    <col min="3" max="3" width="11.5546875" bestFit="1" customWidth="1"/>
    <col min="4" max="4" width="10.6640625" bestFit="1" customWidth="1"/>
    <col min="5" max="5" width="14.5546875" bestFit="1" customWidth="1"/>
    <col min="6" max="6" width="15.109375" bestFit="1" customWidth="1"/>
    <col min="7" max="7" width="12.33203125" bestFit="1" customWidth="1"/>
    <col min="8" max="8" width="12.6640625" bestFit="1" customWidth="1"/>
    <col min="9" max="9" width="16" bestFit="1" customWidth="1"/>
    <col min="10" max="10" width="14.33203125" bestFit="1" customWidth="1"/>
    <col min="11" max="11" width="10.6640625" bestFit="1" customWidth="1"/>
    <col min="12" max="12" width="8.44140625" bestFit="1" customWidth="1"/>
    <col min="13" max="13" width="9" bestFit="1" customWidth="1"/>
    <col min="14" max="14" width="10.6640625" bestFit="1" customWidth="1"/>
    <col min="15" max="15" width="13.33203125" bestFit="1" customWidth="1"/>
    <col min="16" max="16" width="12.6640625" bestFit="1" customWidth="1"/>
    <col min="17" max="17" width="9.44140625" bestFit="1" customWidth="1"/>
  </cols>
  <sheetData>
    <row r="1" spans="2:14" ht="15" thickBot="1"/>
    <row r="2" spans="2:14" ht="15" thickBot="1">
      <c r="B2" s="299" t="s">
        <v>231</v>
      </c>
      <c r="C2" s="300"/>
      <c r="D2" s="216" t="s">
        <v>6</v>
      </c>
      <c r="E2" s="216" t="s">
        <v>232</v>
      </c>
      <c r="F2" s="217" t="s">
        <v>233</v>
      </c>
      <c r="G2" s="218" t="s">
        <v>9</v>
      </c>
      <c r="H2" s="219" t="s">
        <v>10</v>
      </c>
      <c r="I2" s="216" t="s">
        <v>11</v>
      </c>
      <c r="J2" s="216" t="s">
        <v>12</v>
      </c>
      <c r="K2" s="216" t="s">
        <v>13</v>
      </c>
      <c r="L2" s="216" t="s">
        <v>14</v>
      </c>
      <c r="M2" s="216" t="s">
        <v>15</v>
      </c>
      <c r="N2" s="220" t="s">
        <v>16</v>
      </c>
    </row>
    <row r="3" spans="2:14" ht="15" thickBot="1">
      <c r="B3" s="249" t="s">
        <v>397</v>
      </c>
      <c r="C3" s="250"/>
      <c r="D3" s="253" t="s">
        <v>26</v>
      </c>
      <c r="E3" s="253"/>
      <c r="F3" s="253"/>
      <c r="G3" s="253"/>
      <c r="H3" s="253"/>
      <c r="I3" s="253"/>
      <c r="J3" s="253"/>
      <c r="K3" s="253"/>
      <c r="L3" s="253"/>
      <c r="M3" s="253"/>
      <c r="N3" s="254"/>
    </row>
    <row r="4" spans="2:14" ht="15" thickBot="1">
      <c r="B4" s="289" t="str">
        <f>CoalBalance!C7</f>
        <v>Final Consumption excl Transformation</v>
      </c>
      <c r="C4" s="290"/>
      <c r="D4" s="221">
        <f>CoalBalance!J7</f>
        <v>16.713856776297597</v>
      </c>
      <c r="E4" s="221">
        <f>CoalBalance!K7</f>
        <v>21.31310835058661</v>
      </c>
      <c r="F4" s="221">
        <f>SUM(F7:F21)</f>
        <v>20.826595951463094</v>
      </c>
      <c r="G4" s="221">
        <f>SUM(G7:G21)</f>
        <v>25.453100000000003</v>
      </c>
      <c r="H4" s="221">
        <f>SUM(H7:H21)</f>
        <v>25.43</v>
      </c>
      <c r="I4" s="221">
        <f>CoalBalance!O7</f>
        <v>1.2273061881757534</v>
      </c>
      <c r="J4" s="221">
        <f>CoalBalance!P7</f>
        <v>16.305713125</v>
      </c>
      <c r="K4" s="221">
        <f>CoalBalance!Q7</f>
        <v>18.822222222222223</v>
      </c>
      <c r="L4" s="221">
        <f>CoalBalance!R7</f>
        <v>0</v>
      </c>
      <c r="M4" s="221">
        <f>CoalBalance!S7</f>
        <v>0</v>
      </c>
      <c r="N4" s="222">
        <f>CoalBalance!T7</f>
        <v>30.023280000000003</v>
      </c>
    </row>
    <row r="5" spans="2:14" s="1" customFormat="1" ht="15" thickTop="1">
      <c r="B5" s="223" t="s">
        <v>28</v>
      </c>
      <c r="C5" s="224"/>
      <c r="D5" s="225">
        <f>CoalBalance!J8</f>
        <v>15.23387088564504</v>
      </c>
      <c r="E5" s="225">
        <f>CoalBalance!K8</f>
        <v>19.108293535771796</v>
      </c>
      <c r="F5" s="225">
        <f t="shared" ref="F5:H5" si="0">SUM(F6,F9:F17)</f>
        <v>17.816966321833469</v>
      </c>
      <c r="G5" s="225">
        <f t="shared" si="0"/>
        <v>25.383100000000002</v>
      </c>
      <c r="H5" s="225">
        <f t="shared" si="0"/>
        <v>25.36</v>
      </c>
      <c r="I5" s="225">
        <f>CoalBalance!O8</f>
        <v>1.2273061881757534</v>
      </c>
      <c r="J5" s="225">
        <f>CoalBalance!P8</f>
        <v>15.008675</v>
      </c>
      <c r="K5" s="225">
        <f>CoalBalance!Q8</f>
        <v>7.6296296296296298</v>
      </c>
      <c r="L5" s="225">
        <f>CoalBalance!R8</f>
        <v>0</v>
      </c>
      <c r="M5" s="225">
        <f>CoalBalance!S8</f>
        <v>0</v>
      </c>
      <c r="N5" s="226">
        <f>CoalBalance!T8</f>
        <v>30.023280000000003</v>
      </c>
    </row>
    <row r="6" spans="2:14" s="1" customFormat="1">
      <c r="B6" s="227" t="s">
        <v>29</v>
      </c>
      <c r="C6" s="228"/>
      <c r="D6" s="229">
        <f>CoalBalance!J9</f>
        <v>1.5437142857142856</v>
      </c>
      <c r="E6" s="229">
        <f>CoalBalance!K9</f>
        <v>1.5857142857142856</v>
      </c>
      <c r="F6" s="229">
        <f t="shared" ref="F6:H6" si="1">SUM(F7:F8)</f>
        <v>1.5857142857142856</v>
      </c>
      <c r="G6" s="229">
        <f t="shared" si="1"/>
        <v>1.25</v>
      </c>
      <c r="H6" s="229">
        <f t="shared" si="1"/>
        <v>1.7</v>
      </c>
      <c r="I6" s="229">
        <f>CoalBalance!O9</f>
        <v>7.1428571428571425E-2</v>
      </c>
      <c r="J6" s="229">
        <f>CoalBalance!P9</f>
        <v>1.8328530000000001</v>
      </c>
      <c r="K6" s="229">
        <f>CoalBalance!Q9</f>
        <v>0</v>
      </c>
      <c r="L6" s="229">
        <f>CoalBalance!R9</f>
        <v>0</v>
      </c>
      <c r="M6" s="229">
        <f>CoalBalance!S9</f>
        <v>0</v>
      </c>
      <c r="N6" s="230">
        <f>CoalBalance!T9</f>
        <v>0</v>
      </c>
    </row>
    <row r="7" spans="2:14">
      <c r="B7" s="231"/>
      <c r="C7" s="232" t="s">
        <v>30</v>
      </c>
      <c r="D7" s="233">
        <f>CoalBalance!J10</f>
        <v>1.5437142857142856</v>
      </c>
      <c r="E7" s="233">
        <f>CoalBalance!K10</f>
        <v>1.5857142857142856</v>
      </c>
      <c r="F7" s="233">
        <f>E7</f>
        <v>1.5857142857142856</v>
      </c>
      <c r="G7" s="233">
        <v>1.25</v>
      </c>
      <c r="H7" s="233">
        <v>1.7</v>
      </c>
      <c r="I7" s="233">
        <f>CoalBalance!O10</f>
        <v>7.1428571428571425E-2</v>
      </c>
      <c r="J7" s="233">
        <f>CoalBalance!P10</f>
        <v>1.8328530000000001</v>
      </c>
      <c r="K7" s="233" t="str">
        <f>CoalBalance!Q10</f>
        <v/>
      </c>
      <c r="L7" s="233">
        <f>CoalBalance!R10</f>
        <v>0</v>
      </c>
      <c r="M7" s="233">
        <f>CoalBalance!S10</f>
        <v>0</v>
      </c>
      <c r="N7" s="234">
        <f>CoalBalance!T10</f>
        <v>0</v>
      </c>
    </row>
    <row r="8" spans="2:14">
      <c r="B8" s="231"/>
      <c r="C8" s="232" t="s">
        <v>31</v>
      </c>
      <c r="D8" s="233">
        <f>CoalBalance!J11</f>
        <v>0</v>
      </c>
      <c r="E8" s="233">
        <f>CoalBalance!K11</f>
        <v>0</v>
      </c>
      <c r="F8" s="233"/>
      <c r="G8" s="233"/>
      <c r="H8" s="233"/>
      <c r="I8" s="233">
        <f>CoalBalance!O11</f>
        <v>0</v>
      </c>
      <c r="J8" s="233">
        <f>CoalBalance!P11</f>
        <v>0</v>
      </c>
      <c r="K8" s="233" t="str">
        <f>CoalBalance!Q11</f>
        <v/>
      </c>
      <c r="L8" s="233">
        <f>CoalBalance!R11</f>
        <v>0</v>
      </c>
      <c r="M8" s="233">
        <f>CoalBalance!S11</f>
        <v>0</v>
      </c>
      <c r="N8" s="234">
        <f>CoalBalance!T11</f>
        <v>0</v>
      </c>
    </row>
    <row r="9" spans="2:14">
      <c r="B9" s="231" t="s">
        <v>133</v>
      </c>
      <c r="C9" s="235"/>
      <c r="D9" s="233">
        <f>CoalBalance!J12</f>
        <v>2.5549714285714287</v>
      </c>
      <c r="E9" s="233">
        <f>CoalBalance!K12</f>
        <v>2.8717857142857142</v>
      </c>
      <c r="F9" s="233">
        <f>E9</f>
        <v>2.8717857142857142</v>
      </c>
      <c r="G9" s="233">
        <v>2.91</v>
      </c>
      <c r="H9" s="233">
        <v>3.1</v>
      </c>
      <c r="I9" s="233">
        <f>CoalBalance!O12</f>
        <v>0</v>
      </c>
      <c r="J9" s="233">
        <f>CoalBalance!P12</f>
        <v>2.8047740000000001</v>
      </c>
      <c r="K9" s="233" t="str">
        <f>CoalBalance!Q12</f>
        <v/>
      </c>
      <c r="L9" s="233">
        <f>CoalBalance!R12</f>
        <v>0</v>
      </c>
      <c r="M9" s="233">
        <f>CoalBalance!S12</f>
        <v>0</v>
      </c>
      <c r="N9" s="234">
        <f>CoalBalance!T12</f>
        <v>5.7109500000000004</v>
      </c>
    </row>
    <row r="10" spans="2:14">
      <c r="B10" s="231" t="s">
        <v>136</v>
      </c>
      <c r="C10" s="235"/>
      <c r="D10" s="233">
        <f>CoalBalance!J13</f>
        <v>1.5596707818930041E-2</v>
      </c>
      <c r="E10" s="233">
        <f>CoalBalance!K13</f>
        <v>1.6666666666666666E-2</v>
      </c>
      <c r="F10" s="233">
        <f>E10</f>
        <v>1.6666666666666666E-2</v>
      </c>
      <c r="G10" s="233"/>
      <c r="H10" s="233"/>
      <c r="I10" s="233">
        <f>CoalBalance!O13</f>
        <v>0</v>
      </c>
      <c r="J10" s="233">
        <f>CoalBalance!P13</f>
        <v>0.12893299999999999</v>
      </c>
      <c r="K10" s="233" t="str">
        <f>CoalBalance!Q13</f>
        <v/>
      </c>
      <c r="L10" s="233">
        <f>CoalBalance!R13</f>
        <v>0</v>
      </c>
      <c r="M10" s="233">
        <f>CoalBalance!S13</f>
        <v>0</v>
      </c>
      <c r="N10" s="234">
        <f>CoalBalance!T13</f>
        <v>0</v>
      </c>
    </row>
    <row r="11" spans="2:14">
      <c r="B11" s="231" t="s">
        <v>128</v>
      </c>
      <c r="C11" s="235"/>
      <c r="D11" s="233">
        <f>CoalBalance!J14</f>
        <v>2.3855999999999997</v>
      </c>
      <c r="E11" s="233">
        <f>CoalBalance!K14</f>
        <v>2.4460000000000002</v>
      </c>
      <c r="F11" s="233">
        <f>E11</f>
        <v>2.4460000000000002</v>
      </c>
      <c r="G11" s="233">
        <v>1.236</v>
      </c>
      <c r="H11" s="233">
        <v>1.3</v>
      </c>
      <c r="I11" s="233">
        <f>CoalBalance!O14</f>
        <v>0</v>
      </c>
      <c r="J11" s="233">
        <f>CoalBalance!P14</f>
        <v>1.6260110000000001</v>
      </c>
      <c r="K11" s="233" t="str">
        <f>CoalBalance!Q14</f>
        <v/>
      </c>
      <c r="L11" s="233">
        <f>CoalBalance!R14</f>
        <v>0</v>
      </c>
      <c r="M11" s="233">
        <f>CoalBalance!S14</f>
        <v>0</v>
      </c>
      <c r="N11" s="234">
        <f>CoalBalance!T14</f>
        <v>0</v>
      </c>
    </row>
    <row r="12" spans="2:14">
      <c r="B12" s="231" t="s">
        <v>35</v>
      </c>
      <c r="C12" s="235"/>
      <c r="D12" s="233">
        <f>CoalBalance!J15</f>
        <v>0</v>
      </c>
      <c r="E12" s="233">
        <f>CoalBalance!K15</f>
        <v>0</v>
      </c>
      <c r="F12" s="233"/>
      <c r="G12" s="233"/>
      <c r="H12" s="233"/>
      <c r="I12" s="233">
        <f>CoalBalance!O15</f>
        <v>0</v>
      </c>
      <c r="J12" s="233">
        <f>CoalBalance!P15</f>
        <v>0</v>
      </c>
      <c r="K12" s="233">
        <f>CoalBalance!Q15</f>
        <v>0</v>
      </c>
      <c r="L12" s="233">
        <f>CoalBalance!R15</f>
        <v>0</v>
      </c>
      <c r="M12" s="233">
        <f>CoalBalance!S15</f>
        <v>0</v>
      </c>
      <c r="N12" s="234">
        <f>CoalBalance!T15</f>
        <v>0</v>
      </c>
    </row>
    <row r="13" spans="2:14">
      <c r="B13" s="231" t="s">
        <v>36</v>
      </c>
      <c r="C13" s="235"/>
      <c r="D13" s="233">
        <f>CoalBalance!J16</f>
        <v>2.54325</v>
      </c>
      <c r="E13" s="233">
        <f>CoalBalance!K16</f>
        <v>1.6353571428571427</v>
      </c>
      <c r="F13" s="233">
        <f>G13</f>
        <v>2.7</v>
      </c>
      <c r="G13" s="233">
        <v>2.7</v>
      </c>
      <c r="H13" s="233">
        <v>1.6</v>
      </c>
      <c r="I13" s="233">
        <f>CoalBalance!O16</f>
        <v>0</v>
      </c>
      <c r="J13" s="233">
        <f>CoalBalance!P16</f>
        <v>0</v>
      </c>
      <c r="K13" s="233" t="str">
        <f>CoalBalance!Q16</f>
        <v/>
      </c>
      <c r="L13" s="233">
        <f>CoalBalance!R16</f>
        <v>0</v>
      </c>
      <c r="M13" s="233">
        <f>CoalBalance!S16</f>
        <v>0</v>
      </c>
      <c r="N13" s="234">
        <f>CoalBalance!T16</f>
        <v>0</v>
      </c>
    </row>
    <row r="14" spans="2:14">
      <c r="B14" s="231" t="s">
        <v>234</v>
      </c>
      <c r="C14" s="235"/>
      <c r="D14" s="233">
        <f>CoalBalance!J17</f>
        <v>1.5267826086956522</v>
      </c>
      <c r="E14" s="233">
        <f>CoalBalance!K17</f>
        <v>1.6586956521739129</v>
      </c>
      <c r="F14" s="233">
        <f>E14</f>
        <v>1.6586956521739129</v>
      </c>
      <c r="G14" s="233">
        <v>4.7100000000000003E-2</v>
      </c>
      <c r="H14" s="233">
        <v>0.06</v>
      </c>
      <c r="I14" s="233">
        <f>CoalBalance!O17</f>
        <v>0.15217391304347827</v>
      </c>
      <c r="J14" s="233">
        <f>CoalBalance!P17</f>
        <v>5.2187999999999998E-2</v>
      </c>
      <c r="K14" s="233" t="str">
        <f>CoalBalance!Q17</f>
        <v/>
      </c>
      <c r="L14" s="233">
        <f>CoalBalance!R17</f>
        <v>0</v>
      </c>
      <c r="M14" s="233">
        <f>CoalBalance!S17</f>
        <v>0</v>
      </c>
      <c r="N14" s="234">
        <f>CoalBalance!T17</f>
        <v>0</v>
      </c>
    </row>
    <row r="15" spans="2:14">
      <c r="B15" s="231" t="s">
        <v>235</v>
      </c>
      <c r="C15" s="235"/>
      <c r="D15" s="233">
        <f>CoalBalance!J18</f>
        <v>0.61060082304526753</v>
      </c>
      <c r="E15" s="233">
        <f>CoalBalance!K18</f>
        <v>0.60259259259259257</v>
      </c>
      <c r="F15" s="233">
        <f t="shared" ref="F15" si="2">E15</f>
        <v>0.60259259259259257</v>
      </c>
      <c r="G15" s="233"/>
      <c r="H15" s="233"/>
      <c r="I15" s="233">
        <f>CoalBalance!O18</f>
        <v>0.85555555555555562</v>
      </c>
      <c r="J15" s="233">
        <f>CoalBalance!P18</f>
        <v>0.28007500000000002</v>
      </c>
      <c r="K15" s="233" t="str">
        <f>CoalBalance!Q18</f>
        <v/>
      </c>
      <c r="L15" s="233">
        <f>CoalBalance!R18</f>
        <v>0</v>
      </c>
      <c r="M15" s="233">
        <f>CoalBalance!S18</f>
        <v>0</v>
      </c>
      <c r="N15" s="234">
        <f>CoalBalance!T18</f>
        <v>0</v>
      </c>
    </row>
    <row r="16" spans="2:14">
      <c r="B16" s="231" t="s">
        <v>109</v>
      </c>
      <c r="C16" s="235"/>
      <c r="D16" s="233">
        <f>CoalBalance!J19</f>
        <v>2.1711986531986533</v>
      </c>
      <c r="E16" s="233">
        <f>CoalBalance!K19</f>
        <v>1.6822222222222223</v>
      </c>
      <c r="F16" s="233">
        <f>D16</f>
        <v>2.1711986531986533</v>
      </c>
      <c r="G16" s="233">
        <v>4.9400000000000004</v>
      </c>
      <c r="H16" s="233">
        <v>4.8</v>
      </c>
      <c r="I16" s="233">
        <f>CoalBalance!O19</f>
        <v>0.10740740740740741</v>
      </c>
      <c r="J16" s="233">
        <f>CoalBalance!P19</f>
        <v>0</v>
      </c>
      <c r="K16" s="233" t="str">
        <f>CoalBalance!Q19</f>
        <v/>
      </c>
      <c r="L16" s="233">
        <f>CoalBalance!R19</f>
        <v>0</v>
      </c>
      <c r="M16" s="233">
        <f>CoalBalance!S19</f>
        <v>0</v>
      </c>
      <c r="N16" s="234">
        <f>CoalBalance!T19</f>
        <v>8.3579300000000014</v>
      </c>
    </row>
    <row r="17" spans="1:14">
      <c r="B17" s="231" t="s">
        <v>236</v>
      </c>
      <c r="C17" s="235"/>
      <c r="D17" s="233">
        <f>CoalBalance!J20</f>
        <v>1.8821563786008229</v>
      </c>
      <c r="E17" s="233">
        <f>CoalBalance!K20</f>
        <v>6.6092592592592592</v>
      </c>
      <c r="F17" s="233">
        <f>D17*2</f>
        <v>3.7643127572016457</v>
      </c>
      <c r="G17" s="233">
        <v>12.3</v>
      </c>
      <c r="H17" s="233">
        <v>12.8</v>
      </c>
      <c r="I17" s="233">
        <f>CoalBalance!O20</f>
        <v>4.0740740740740744E-2</v>
      </c>
      <c r="J17" s="233">
        <f>CoalBalance!P20</f>
        <v>8.2838410000000007</v>
      </c>
      <c r="K17" s="233">
        <f>CoalBalance!Q20</f>
        <v>7.6296296296296298</v>
      </c>
      <c r="L17" s="233">
        <f>CoalBalance!R20</f>
        <v>0</v>
      </c>
      <c r="M17" s="233">
        <f>CoalBalance!S20</f>
        <v>0</v>
      </c>
      <c r="N17" s="234">
        <f>CoalBalance!T20</f>
        <v>15.954400000000001</v>
      </c>
    </row>
    <row r="18" spans="1:14" s="1" customFormat="1">
      <c r="B18" s="236" t="s">
        <v>47</v>
      </c>
      <c r="C18" s="235"/>
      <c r="D18" s="229">
        <f>CoalBalance!J21</f>
        <v>1.4799858906525574</v>
      </c>
      <c r="E18" s="229">
        <f>CoalBalance!K21</f>
        <v>2.2048148148148146</v>
      </c>
      <c r="F18" s="229">
        <f>SUM(F20:F21)</f>
        <v>1.49</v>
      </c>
      <c r="G18" s="229">
        <f>SUM(G20:G21)</f>
        <v>0</v>
      </c>
      <c r="H18" s="229">
        <f>SUM(H20:H21)</f>
        <v>0</v>
      </c>
      <c r="I18" s="229">
        <f>CoalBalance!O21</f>
        <v>0</v>
      </c>
      <c r="J18" s="229">
        <f>CoalBalance!P21</f>
        <v>1.297038125</v>
      </c>
      <c r="K18" s="229">
        <f>CoalBalance!Q21</f>
        <v>11.192592592592591</v>
      </c>
      <c r="L18" s="229">
        <f>CoalBalance!R21</f>
        <v>0</v>
      </c>
      <c r="M18" s="229">
        <f>CoalBalance!S21</f>
        <v>0</v>
      </c>
      <c r="N18" s="230">
        <f>CoalBalance!T21</f>
        <v>0</v>
      </c>
    </row>
    <row r="19" spans="1:14">
      <c r="B19" s="231" t="s">
        <v>49</v>
      </c>
      <c r="C19" s="235"/>
      <c r="D19" s="233">
        <f>CoalBalance!J23</f>
        <v>2.8493827160493826E-2</v>
      </c>
      <c r="E19" s="233">
        <f>CoalBalance!K23</f>
        <v>2.9629629629629631E-2</v>
      </c>
      <c r="F19" s="233">
        <f>E19</f>
        <v>2.9629629629629631E-2</v>
      </c>
      <c r="G19" s="233">
        <v>7.0000000000000007E-2</v>
      </c>
      <c r="H19" s="233">
        <v>7.0000000000000007E-2</v>
      </c>
      <c r="I19" s="233">
        <f>CoalBalance!O23</f>
        <v>0</v>
      </c>
      <c r="J19" s="233">
        <f>CoalBalance!P23</f>
        <v>7.4009000000000005E-2</v>
      </c>
      <c r="K19" s="233">
        <f>CoalBalance!Q23</f>
        <v>3.7037037037037035E-2</v>
      </c>
      <c r="L19" s="233">
        <f>CoalBalance!R23</f>
        <v>0</v>
      </c>
      <c r="M19" s="233">
        <f>CoalBalance!S23</f>
        <v>0</v>
      </c>
      <c r="N19" s="234">
        <f>CoalBalance!T23</f>
        <v>0</v>
      </c>
    </row>
    <row r="20" spans="1:14">
      <c r="B20" s="231" t="s">
        <v>237</v>
      </c>
      <c r="C20" s="235"/>
      <c r="D20" s="233">
        <f>CoalBalance!J22</f>
        <v>0.9514920634920635</v>
      </c>
      <c r="E20" s="233">
        <f>CoalBalance!K22</f>
        <v>0.99</v>
      </c>
      <c r="F20" s="233">
        <f>E20</f>
        <v>0.99</v>
      </c>
      <c r="G20" s="233"/>
      <c r="H20" s="233"/>
      <c r="I20" s="233">
        <f>CoalBalance!O22</f>
        <v>0</v>
      </c>
      <c r="J20" s="233">
        <f>CoalBalance!P22</f>
        <v>0.61151456250000003</v>
      </c>
      <c r="K20" s="233">
        <f>CoalBalance!Q22</f>
        <v>10.57037037037037</v>
      </c>
      <c r="L20" s="233">
        <f>CoalBalance!R22</f>
        <v>0</v>
      </c>
      <c r="M20" s="233">
        <f>CoalBalance!S22</f>
        <v>0</v>
      </c>
      <c r="N20" s="234">
        <f>CoalBalance!T22</f>
        <v>0</v>
      </c>
    </row>
    <row r="21" spans="1:14">
      <c r="B21" s="231" t="s">
        <v>51</v>
      </c>
      <c r="C21" s="235"/>
      <c r="D21" s="233">
        <f>CoalBalance!J24</f>
        <v>0.5</v>
      </c>
      <c r="E21" s="233">
        <f>CoalBalance!K24</f>
        <v>1.1851851851851851</v>
      </c>
      <c r="F21" s="233">
        <v>0.5</v>
      </c>
      <c r="G21" s="233"/>
      <c r="H21" s="233"/>
      <c r="I21" s="233">
        <f>CoalBalance!O24</f>
        <v>0</v>
      </c>
      <c r="J21" s="233">
        <f>CoalBalance!P24</f>
        <v>0.61151456250000003</v>
      </c>
      <c r="K21" s="233">
        <f>CoalBalance!Q24</f>
        <v>0.58518518518518525</v>
      </c>
      <c r="L21" s="233">
        <f>CoalBalance!R24</f>
        <v>0</v>
      </c>
      <c r="M21" s="233">
        <f>CoalBalance!S24</f>
        <v>0</v>
      </c>
      <c r="N21" s="234">
        <f>CoalBalance!T24</f>
        <v>0</v>
      </c>
    </row>
    <row r="22" spans="1:14" ht="15" thickBot="1">
      <c r="A22" t="s">
        <v>238</v>
      </c>
      <c r="B22" s="251" t="str">
        <f>CoalBalance!C25</f>
        <v>Final Total Consumption</v>
      </c>
      <c r="C22" s="252"/>
      <c r="D22" s="237">
        <f>CoalBalance!J8</f>
        <v>15.23387088564504</v>
      </c>
      <c r="E22" s="237">
        <f>CoalBalance!K25</f>
        <v>-140.66589356879919</v>
      </c>
      <c r="F22" s="237">
        <f>CoalBalance!L25</f>
        <v>-142.64240596792271</v>
      </c>
      <c r="G22" s="237">
        <f>CoalBalance!M25</f>
        <v>-128.54689999999999</v>
      </c>
      <c r="H22" s="237">
        <f>CoalBalance!N25</f>
        <v>-125.47</v>
      </c>
      <c r="I22" s="237">
        <f>CoalBalance!O25</f>
        <v>1.2273061881757534</v>
      </c>
      <c r="J22" s="237">
        <f>CoalBalance!P25</f>
        <v>-145.70767087499999</v>
      </c>
      <c r="K22" s="237">
        <f>CoalBalance!Q25</f>
        <v>-113.0239160878443</v>
      </c>
      <c r="L22" s="237">
        <f>CoalBalance!R25</f>
        <v>-116.55</v>
      </c>
      <c r="M22" s="237">
        <f>CoalBalance!S25</f>
        <v>-158</v>
      </c>
      <c r="N22" s="238">
        <f>CoalBalance!T25</f>
        <v>-121.18092000000001</v>
      </c>
    </row>
    <row r="23" spans="1:14" s="1" customFormat="1" ht="15" thickTop="1">
      <c r="B23" s="239" t="s">
        <v>54</v>
      </c>
      <c r="C23" s="240"/>
      <c r="D23" s="225">
        <f>CoalBalance!J26</f>
        <v>-160.96704873118657</v>
      </c>
      <c r="E23" s="225">
        <f>CoalBalance!K26</f>
        <v>-161.97900191938581</v>
      </c>
      <c r="F23" s="225">
        <f t="shared" ref="F23:H23" si="3">SUM(F24,F28)</f>
        <v>-161.97900191938581</v>
      </c>
      <c r="G23" s="225">
        <f t="shared" si="3"/>
        <v>-154</v>
      </c>
      <c r="H23" s="225">
        <f t="shared" si="3"/>
        <v>-150.9</v>
      </c>
      <c r="I23" s="225">
        <f>CoalBalance!O26</f>
        <v>0</v>
      </c>
      <c r="J23" s="225">
        <f>CoalBalance!P26</f>
        <v>-162.013384</v>
      </c>
      <c r="K23" s="225">
        <f>CoalBalance!Q26</f>
        <v>-131.84613831006652</v>
      </c>
      <c r="L23" s="225">
        <f>CoalBalance!R26</f>
        <v>-116.55</v>
      </c>
      <c r="M23" s="225">
        <f>CoalBalance!S26</f>
        <v>-158</v>
      </c>
      <c r="N23" s="226">
        <f>CoalBalance!T26</f>
        <v>-151.20420000000001</v>
      </c>
    </row>
    <row r="24" spans="1:14">
      <c r="B24" s="231" t="s">
        <v>56</v>
      </c>
      <c r="C24" s="232"/>
      <c r="D24" s="233">
        <f>CoalBalance!J27</f>
        <v>-121.25716338112959</v>
      </c>
      <c r="E24" s="233">
        <f>CoalBalance!K27</f>
        <v>-122.36000000000001</v>
      </c>
      <c r="F24" s="233">
        <f t="shared" ref="F24:H24" si="4">SUM(F25:F27)</f>
        <v>-122.36000000000001</v>
      </c>
      <c r="G24" s="233">
        <f t="shared" si="4"/>
        <v>-115</v>
      </c>
      <c r="H24" s="233">
        <f t="shared" si="4"/>
        <v>-112</v>
      </c>
      <c r="I24" s="233">
        <f>CoalBalance!O27</f>
        <v>0</v>
      </c>
      <c r="J24" s="233">
        <f>CoalBalance!P27</f>
        <v>-122.69024</v>
      </c>
      <c r="K24" s="233">
        <f>CoalBalance!Q27</f>
        <v>-117.65707880910682</v>
      </c>
      <c r="L24" s="233">
        <f>CoalBalance!R27</f>
        <v>-116.55</v>
      </c>
      <c r="M24" s="233">
        <f>CoalBalance!S27</f>
        <v>-119</v>
      </c>
      <c r="N24" s="234">
        <f>CoalBalance!T27</f>
        <v>-111.89836</v>
      </c>
    </row>
    <row r="25" spans="1:14">
      <c r="B25" s="231"/>
      <c r="C25" s="232" t="s">
        <v>14</v>
      </c>
      <c r="D25" s="233">
        <f>CoalBalance!J28</f>
        <v>-121.25716338112959</v>
      </c>
      <c r="E25" s="233">
        <f>CoalBalance!K28</f>
        <v>-121.18</v>
      </c>
      <c r="F25" s="233">
        <f>E25</f>
        <v>-121.18</v>
      </c>
      <c r="G25" s="233">
        <v>-115</v>
      </c>
      <c r="H25" s="233">
        <v>-112</v>
      </c>
      <c r="I25" s="233">
        <f>CoalBalance!O28</f>
        <v>0</v>
      </c>
      <c r="J25" s="233">
        <f>CoalBalance!P28</f>
        <v>-122.69024</v>
      </c>
      <c r="K25" s="233">
        <f>CoalBalance!Q28</f>
        <v>-117.65707880910682</v>
      </c>
      <c r="L25" s="233">
        <f>CoalBalance!R28</f>
        <v>-116.55</v>
      </c>
      <c r="M25" s="233">
        <f>CoalBalance!S28</f>
        <v>-119</v>
      </c>
      <c r="N25" s="234">
        <f>CoalBalance!T28</f>
        <v>-111.89836</v>
      </c>
    </row>
    <row r="26" spans="1:14">
      <c r="B26" s="236"/>
      <c r="C26" s="232"/>
      <c r="D26" s="233">
        <f>CoalBalance!J29</f>
        <v>0</v>
      </c>
      <c r="E26" s="233">
        <f>CoalBalance!K29</f>
        <v>0</v>
      </c>
      <c r="F26" s="233"/>
      <c r="G26" s="233"/>
      <c r="H26" s="233"/>
      <c r="I26" s="233">
        <f>CoalBalance!O29</f>
        <v>0</v>
      </c>
      <c r="J26" s="233">
        <f>CoalBalance!P29</f>
        <v>0</v>
      </c>
      <c r="K26" s="233" t="str">
        <f>CoalBalance!Q29</f>
        <v/>
      </c>
      <c r="L26" s="233">
        <f>CoalBalance!R29</f>
        <v>0</v>
      </c>
      <c r="M26" s="233">
        <f>CoalBalance!S29</f>
        <v>0</v>
      </c>
      <c r="N26" s="234">
        <f>CoalBalance!T29</f>
        <v>0</v>
      </c>
    </row>
    <row r="27" spans="1:14">
      <c r="B27" s="236"/>
      <c r="C27" s="232" t="s">
        <v>58</v>
      </c>
      <c r="D27" s="233">
        <f>CoalBalance!J30</f>
        <v>0</v>
      </c>
      <c r="E27" s="233">
        <f>CoalBalance!K30</f>
        <v>-1.18</v>
      </c>
      <c r="F27" s="233">
        <f>E27</f>
        <v>-1.18</v>
      </c>
      <c r="G27" s="233"/>
      <c r="H27" s="233"/>
      <c r="I27" s="233">
        <f>CoalBalance!O30</f>
        <v>0</v>
      </c>
      <c r="J27" s="233">
        <f>CoalBalance!P30</f>
        <v>0</v>
      </c>
      <c r="K27" s="233" t="str">
        <f>CoalBalance!Q30</f>
        <v/>
      </c>
      <c r="L27" s="233">
        <f>CoalBalance!R30</f>
        <v>0</v>
      </c>
      <c r="M27" s="233">
        <f>CoalBalance!S30</f>
        <v>0</v>
      </c>
      <c r="N27" s="234">
        <f>CoalBalance!T30</f>
        <v>0</v>
      </c>
    </row>
    <row r="28" spans="1:14">
      <c r="B28" s="231" t="s">
        <v>60</v>
      </c>
      <c r="C28" s="232"/>
      <c r="D28" s="233">
        <f>CoalBalance!J31</f>
        <v>-39.709885350056972</v>
      </c>
      <c r="E28" s="233">
        <f>CoalBalance!K31</f>
        <v>-39.619001919385802</v>
      </c>
      <c r="F28" s="233">
        <f t="shared" ref="F28:H28" si="5">SUM(F29:F30)</f>
        <v>-39.619001919385802</v>
      </c>
      <c r="G28" s="233">
        <f t="shared" si="5"/>
        <v>-39</v>
      </c>
      <c r="H28" s="233">
        <f t="shared" si="5"/>
        <v>-38.9</v>
      </c>
      <c r="I28" s="233">
        <f>CoalBalance!O31</f>
        <v>0</v>
      </c>
      <c r="J28" s="233">
        <f>CoalBalance!P31</f>
        <v>-39.323143999999999</v>
      </c>
      <c r="K28" s="233">
        <f>CoalBalance!Q31</f>
        <v>-14.189059500959692</v>
      </c>
      <c r="L28" s="233">
        <f>CoalBalance!R31</f>
        <v>0</v>
      </c>
      <c r="M28" s="233">
        <f>CoalBalance!S31</f>
        <v>-39</v>
      </c>
      <c r="N28" s="234">
        <f>CoalBalance!T31</f>
        <v>-39.305840000000003</v>
      </c>
    </row>
    <row r="29" spans="1:14">
      <c r="B29" s="231"/>
      <c r="C29" s="232" t="s">
        <v>239</v>
      </c>
      <c r="D29" s="233">
        <f>CoalBalance!J32</f>
        <v>-39.709885350056972</v>
      </c>
      <c r="E29" s="233">
        <f>CoalBalance!K32</f>
        <v>-39.619001919385802</v>
      </c>
      <c r="F29" s="233">
        <f>E29</f>
        <v>-39.619001919385802</v>
      </c>
      <c r="G29" s="233">
        <v>-39</v>
      </c>
      <c r="H29" s="233">
        <v>-38.9</v>
      </c>
      <c r="I29" s="233">
        <f>CoalBalance!O32</f>
        <v>0</v>
      </c>
      <c r="J29" s="233">
        <f>CoalBalance!P32</f>
        <v>-39.323143999999999</v>
      </c>
      <c r="K29" s="233">
        <f>CoalBalance!Q32</f>
        <v>-14.189059500959692</v>
      </c>
      <c r="L29" s="233">
        <f>CoalBalance!R32</f>
        <v>0</v>
      </c>
      <c r="M29" s="233">
        <f>CoalBalance!S32</f>
        <v>-39</v>
      </c>
      <c r="N29" s="234">
        <f>CoalBalance!T32</f>
        <v>-39.305840000000003</v>
      </c>
    </row>
    <row r="30" spans="1:14" ht="15" thickBot="1">
      <c r="B30" s="241"/>
      <c r="C30" s="242" t="s">
        <v>63</v>
      </c>
      <c r="D30" s="243">
        <f>CoalBalance!J33</f>
        <v>0</v>
      </c>
      <c r="E30" s="243">
        <f>CoalBalance!K33</f>
        <v>0</v>
      </c>
      <c r="F30" s="243"/>
      <c r="G30" s="243"/>
      <c r="H30" s="243"/>
      <c r="I30" s="243">
        <f>CoalBalance!O33</f>
        <v>0</v>
      </c>
      <c r="J30" s="243">
        <f>CoalBalance!P33</f>
        <v>0</v>
      </c>
      <c r="K30" s="243">
        <f>CoalBalance!Q33</f>
        <v>0</v>
      </c>
      <c r="L30" s="243">
        <f>CoalBalance!R33</f>
        <v>0</v>
      </c>
      <c r="M30" s="243">
        <f>CoalBalance!S33</f>
        <v>0</v>
      </c>
      <c r="N30" s="244">
        <f>CoalBalance!T33</f>
        <v>0</v>
      </c>
    </row>
    <row r="31" spans="1:14" s="1" customFormat="1" ht="15" thickTop="1">
      <c r="B31" s="239" t="s">
        <v>65</v>
      </c>
      <c r="C31" s="240"/>
      <c r="D31" s="225">
        <f>CoalBalance!J34</f>
        <v>0</v>
      </c>
      <c r="E31" s="225">
        <f>CoalBalance!K34</f>
        <v>71.958333333333329</v>
      </c>
      <c r="F31" s="225">
        <v>79.8</v>
      </c>
      <c r="G31" s="225"/>
      <c r="H31" s="225"/>
      <c r="I31" s="225">
        <f>CoalBalance!O34</f>
        <v>0</v>
      </c>
      <c r="J31" s="225">
        <f>CoalBalance!P34</f>
        <v>67.129639999999995</v>
      </c>
      <c r="K31" s="225">
        <f>CoalBalance!Q34</f>
        <v>0</v>
      </c>
      <c r="L31" s="225">
        <f>CoalBalance!R34</f>
        <v>0</v>
      </c>
      <c r="M31" s="225">
        <f>CoalBalance!S34</f>
        <v>0</v>
      </c>
      <c r="N31" s="226">
        <f>CoalBalance!T34</f>
        <v>79.8</v>
      </c>
    </row>
    <row r="32" spans="1:14" ht="15" thickBot="1">
      <c r="B32" s="245" t="s">
        <v>67</v>
      </c>
      <c r="C32" s="246"/>
      <c r="D32" s="247">
        <f>CoalBalance!J35</f>
        <v>0</v>
      </c>
      <c r="E32" s="247">
        <f>CoalBalance!K35</f>
        <v>0</v>
      </c>
      <c r="F32" s="247"/>
      <c r="G32" s="247"/>
      <c r="H32" s="247"/>
      <c r="I32" s="247">
        <f>CoalBalance!O35</f>
        <v>0</v>
      </c>
      <c r="J32" s="247">
        <f>CoalBalance!P35</f>
        <v>0</v>
      </c>
      <c r="K32" s="247">
        <f>CoalBalance!Q35</f>
        <v>0</v>
      </c>
      <c r="L32" s="247">
        <f>CoalBalance!R35</f>
        <v>0</v>
      </c>
      <c r="M32" s="247">
        <f>CoalBalance!S35</f>
        <v>183</v>
      </c>
      <c r="N32" s="248">
        <f>CoalBalance!T35</f>
        <v>0</v>
      </c>
    </row>
  </sheetData>
  <mergeCells count="2">
    <mergeCell ref="B4:C4"/>
    <mergeCell ref="B2:C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E0C0-3BE6-43F9-9BA3-3995F1C5C6A0}">
  <dimension ref="B1:G32"/>
  <sheetViews>
    <sheetView showZeros="0" tabSelected="1" zoomScaleNormal="100" workbookViewId="0">
      <selection activeCell="H22" sqref="H22"/>
    </sheetView>
  </sheetViews>
  <sheetFormatPr defaultRowHeight="14.4"/>
  <cols>
    <col min="2" max="2" width="29.109375" bestFit="1" customWidth="1"/>
    <col min="3" max="3" width="15.88671875" customWidth="1"/>
    <col min="4" max="4" width="19.6640625" bestFit="1" customWidth="1"/>
    <col min="5" max="5" width="13.44140625" bestFit="1" customWidth="1"/>
  </cols>
  <sheetData>
    <row r="1" spans="2:7" ht="15" thickBot="1"/>
    <row r="2" spans="2:7" ht="15" thickBot="1">
      <c r="B2" s="291" t="s">
        <v>5</v>
      </c>
      <c r="C2" s="292"/>
      <c r="D2" s="292" t="s">
        <v>233</v>
      </c>
      <c r="E2" s="297"/>
    </row>
    <row r="3" spans="2:7" ht="15" thickBot="1">
      <c r="B3" s="280" t="s">
        <v>20</v>
      </c>
      <c r="C3" s="281"/>
      <c r="D3" s="213" t="s">
        <v>26</v>
      </c>
      <c r="E3" s="214" t="s">
        <v>24</v>
      </c>
    </row>
    <row r="4" spans="2:7" ht="15" thickBot="1">
      <c r="B4" s="293" t="str">
        <f>CoalBalance!C7</f>
        <v>Final Consumption excl Transformation</v>
      </c>
      <c r="C4" s="294"/>
      <c r="D4" s="211">
        <f>'CoalBalance for Word final '!F4</f>
        <v>20.826595951463094</v>
      </c>
      <c r="E4" s="212">
        <f>CoalBalance!V7</f>
        <v>494.38880808080796</v>
      </c>
    </row>
    <row r="5" spans="2:7" ht="15" thickTop="1">
      <c r="B5" s="148" t="s">
        <v>28</v>
      </c>
      <c r="C5" s="149"/>
      <c r="D5" s="204">
        <f>'CoalBalance for Word final '!F5</f>
        <v>17.816966321833469</v>
      </c>
      <c r="E5" s="191">
        <f>CoalBalance!V8</f>
        <v>453.35880808080799</v>
      </c>
      <c r="G5" s="215">
        <f>D5+D6+D18+D23-D31</f>
        <v>-220.88632131183806</v>
      </c>
    </row>
    <row r="6" spans="2:7">
      <c r="B6" s="186" t="s">
        <v>29</v>
      </c>
      <c r="C6" s="190"/>
      <c r="D6" s="201">
        <f>'CoalBalance for Word final '!F6</f>
        <v>1.5857142857142856</v>
      </c>
      <c r="E6" s="188">
        <f>CoalBalance!V9</f>
        <v>33.299999999999997</v>
      </c>
    </row>
    <row r="7" spans="2:7">
      <c r="B7" s="187"/>
      <c r="C7" s="189" t="s">
        <v>30</v>
      </c>
      <c r="D7" s="202">
        <f>'CoalBalance for Word final '!F7</f>
        <v>1.5857142857142856</v>
      </c>
      <c r="E7" s="111">
        <f>CoalBalance!V10</f>
        <v>33.299999999999997</v>
      </c>
      <c r="G7" s="215">
        <f>D28+D24</f>
        <v>-161.97900191938581</v>
      </c>
    </row>
    <row r="8" spans="2:7">
      <c r="B8" s="187"/>
      <c r="C8" s="189" t="s">
        <v>31</v>
      </c>
      <c r="D8" s="202">
        <f>'CoalBalance for Word final '!F8</f>
        <v>0</v>
      </c>
      <c r="E8" s="111">
        <f>CoalBalance!V11</f>
        <v>0</v>
      </c>
    </row>
    <row r="9" spans="2:7">
      <c r="B9" s="187" t="s">
        <v>133</v>
      </c>
      <c r="C9" s="122"/>
      <c r="D9" s="202">
        <f>'CoalBalance for Word final '!F9</f>
        <v>2.8717857142857142</v>
      </c>
      <c r="E9" s="111">
        <f>CoalBalance!V12</f>
        <v>80.41</v>
      </c>
    </row>
    <row r="10" spans="2:7">
      <c r="B10" s="187" t="s">
        <v>136</v>
      </c>
      <c r="C10" s="122"/>
      <c r="D10" s="202">
        <f>'CoalBalance for Word final '!F10</f>
        <v>1.6666666666666666E-2</v>
      </c>
      <c r="E10" s="111">
        <f>CoalBalance!V13</f>
        <v>0.45</v>
      </c>
    </row>
    <row r="11" spans="2:7">
      <c r="B11" s="187" t="s">
        <v>128</v>
      </c>
      <c r="C11" s="122"/>
      <c r="D11" s="202">
        <f>'CoalBalance for Word final '!F11</f>
        <v>2.4460000000000002</v>
      </c>
      <c r="E11" s="111">
        <f>CoalBalance!V14</f>
        <v>48.92</v>
      </c>
    </row>
    <row r="12" spans="2:7">
      <c r="B12" s="187" t="s">
        <v>35</v>
      </c>
      <c r="C12" s="122"/>
      <c r="D12" s="202">
        <f>'CoalBalance for Word final '!F12</f>
        <v>0</v>
      </c>
      <c r="E12" s="111">
        <f>CoalBalance!V15</f>
        <v>0</v>
      </c>
    </row>
    <row r="13" spans="2:7">
      <c r="B13" s="187" t="s">
        <v>36</v>
      </c>
      <c r="C13" s="122"/>
      <c r="D13" s="202">
        <f>'CoalBalance for Word final '!F13</f>
        <v>2.7</v>
      </c>
      <c r="E13" s="111">
        <f>CoalBalance!V16</f>
        <v>75.600000000000009</v>
      </c>
    </row>
    <row r="14" spans="2:7">
      <c r="B14" s="187" t="s">
        <v>234</v>
      </c>
      <c r="C14" s="122"/>
      <c r="D14" s="202">
        <f>'CoalBalance for Word final '!F14</f>
        <v>1.6586956521739129</v>
      </c>
      <c r="E14" s="111">
        <f>CoalBalance!V17</f>
        <v>38.15</v>
      </c>
    </row>
    <row r="15" spans="2:7">
      <c r="B15" s="187" t="s">
        <v>235</v>
      </c>
      <c r="C15" s="122"/>
      <c r="D15" s="202">
        <f>'CoalBalance for Word final '!F15</f>
        <v>0.60259259259259257</v>
      </c>
      <c r="E15" s="111">
        <f>CoalBalance!V18</f>
        <v>16.27</v>
      </c>
    </row>
    <row r="16" spans="2:7">
      <c r="B16" s="187" t="s">
        <v>109</v>
      </c>
      <c r="C16" s="122"/>
      <c r="D16" s="202">
        <f>'CoalBalance for Word final '!F16</f>
        <v>2.1711986531986533</v>
      </c>
      <c r="E16" s="111">
        <f>CoalBalance!V19</f>
        <v>58.622363636363637</v>
      </c>
    </row>
    <row r="17" spans="2:6">
      <c r="B17" s="187" t="s">
        <v>236</v>
      </c>
      <c r="C17" s="122"/>
      <c r="D17" s="202">
        <f>'CoalBalance for Word final '!F17</f>
        <v>3.7643127572016457</v>
      </c>
      <c r="E17" s="111">
        <f>CoalBalance!V20</f>
        <v>101.63644444444444</v>
      </c>
    </row>
    <row r="18" spans="2:6">
      <c r="B18" s="108" t="s">
        <v>47</v>
      </c>
      <c r="C18" s="122"/>
      <c r="D18" s="201">
        <f>'CoalBalance for Word final '!F18</f>
        <v>1.49</v>
      </c>
      <c r="E18" s="111">
        <f>CoalBalance!V21</f>
        <v>41.03</v>
      </c>
    </row>
    <row r="19" spans="2:6">
      <c r="B19" s="187" t="s">
        <v>49</v>
      </c>
      <c r="C19" s="122"/>
      <c r="D19" s="202">
        <f>'CoalBalance for Word final '!F19</f>
        <v>2.9629629629629631E-2</v>
      </c>
      <c r="E19" s="111">
        <f>CoalBalance!V22</f>
        <v>26.73</v>
      </c>
    </row>
    <row r="20" spans="2:6">
      <c r="B20" s="187" t="s">
        <v>237</v>
      </c>
      <c r="C20" s="122"/>
      <c r="D20" s="202">
        <f>'CoalBalance for Word final '!F20</f>
        <v>0.99</v>
      </c>
      <c r="E20" s="111">
        <f>CoalBalance!V23</f>
        <v>0.8</v>
      </c>
    </row>
    <row r="21" spans="2:6">
      <c r="B21" s="187" t="s">
        <v>51</v>
      </c>
      <c r="C21" s="122"/>
      <c r="D21" s="202">
        <f>'CoalBalance for Word final '!F21</f>
        <v>0.5</v>
      </c>
      <c r="E21" s="111">
        <f>CoalBalance!V24</f>
        <v>13.5</v>
      </c>
    </row>
    <row r="22" spans="2:6" ht="15" thickBot="1">
      <c r="B22" s="295" t="str">
        <f>CoalBalance!C25</f>
        <v>Final Total Consumption</v>
      </c>
      <c r="C22" s="296"/>
      <c r="D22" s="205">
        <f>'CoalBalance for Word final '!F22</f>
        <v>-142.64240596792271</v>
      </c>
      <c r="E22" s="99">
        <f>CoalBalance!V25</f>
        <v>-2615.271191919192</v>
      </c>
    </row>
    <row r="23" spans="2:6" ht="15" thickTop="1">
      <c r="B23" s="102" t="s">
        <v>54</v>
      </c>
      <c r="C23" s="126"/>
      <c r="D23" s="204">
        <f>'CoalBalance for Word final '!F23</f>
        <v>-161.97900191938581</v>
      </c>
      <c r="E23" s="191">
        <f>CoalBalance!V26</f>
        <v>-3109.66</v>
      </c>
    </row>
    <row r="24" spans="2:6">
      <c r="B24" s="187" t="s">
        <v>56</v>
      </c>
      <c r="C24" s="189"/>
      <c r="D24" s="202">
        <f>'CoalBalance for Word final '!F24</f>
        <v>-122.36000000000001</v>
      </c>
      <c r="E24" s="111">
        <f>CoalBalance!V27</f>
        <v>-2284</v>
      </c>
      <c r="F24" s="215">
        <f>-E24</f>
        <v>2284</v>
      </c>
    </row>
    <row r="25" spans="2:6">
      <c r="B25" s="187"/>
      <c r="C25" s="189" t="s">
        <v>14</v>
      </c>
      <c r="D25" s="202">
        <f>'CoalBalance for Word final '!F25</f>
        <v>-121.18</v>
      </c>
      <c r="E25" s="111">
        <f>CoalBalance!V28</f>
        <v>-2284</v>
      </c>
    </row>
    <row r="26" spans="2:6">
      <c r="B26" s="108"/>
      <c r="C26" s="189"/>
      <c r="D26" s="202">
        <f>'CoalBalance for Word final '!F26</f>
        <v>0</v>
      </c>
      <c r="E26" s="111">
        <f>CoalBalance!V29</f>
        <v>0</v>
      </c>
    </row>
    <row r="27" spans="2:6">
      <c r="B27" s="108"/>
      <c r="C27" s="189" t="s">
        <v>58</v>
      </c>
      <c r="D27" s="202">
        <f>'CoalBalance for Word final '!F27</f>
        <v>-1.18</v>
      </c>
      <c r="E27" s="111">
        <f>CoalBalance!V30</f>
        <v>0</v>
      </c>
    </row>
    <row r="28" spans="2:6">
      <c r="B28" s="187" t="s">
        <v>60</v>
      </c>
      <c r="C28" s="189"/>
      <c r="D28" s="202">
        <f>'CoalBalance for Word final '!F28</f>
        <v>-39.619001919385802</v>
      </c>
      <c r="E28" s="111">
        <f>CoalBalance!V31</f>
        <v>-825.66000000000008</v>
      </c>
      <c r="F28" s="215">
        <f>-E28</f>
        <v>825.66000000000008</v>
      </c>
    </row>
    <row r="29" spans="2:6">
      <c r="B29" s="187"/>
      <c r="C29" s="189" t="s">
        <v>239</v>
      </c>
      <c r="D29" s="202">
        <f>'CoalBalance for Word final '!F29</f>
        <v>-39.619001919385802</v>
      </c>
      <c r="E29" s="111">
        <f>CoalBalance!V32</f>
        <v>-825.66000000000008</v>
      </c>
    </row>
    <row r="30" spans="2:6" ht="15" thickBot="1">
      <c r="B30" s="185"/>
      <c r="C30" s="206" t="s">
        <v>63</v>
      </c>
      <c r="D30" s="207">
        <f>'CoalBalance for Word final '!F30</f>
        <v>0</v>
      </c>
      <c r="E30" s="192">
        <f>CoalBalance!V33</f>
        <v>0</v>
      </c>
    </row>
    <row r="31" spans="2:6">
      <c r="B31" s="184" t="s">
        <v>65</v>
      </c>
      <c r="C31" s="208"/>
      <c r="D31" s="209">
        <f>'CoalBalance for Word final '!F31</f>
        <v>79.8</v>
      </c>
      <c r="E31" s="210">
        <f>CoalBalance!V34</f>
        <v>1915.1999999999998</v>
      </c>
      <c r="F31" s="215">
        <f>E31+F24+F28+E19+E20+E21+E13+E14+E15+E16+E17+E9+E10+E11+E7</f>
        <v>5519.248808080808</v>
      </c>
    </row>
    <row r="32" spans="2:6" ht="15" thickBot="1">
      <c r="B32" s="115" t="s">
        <v>67</v>
      </c>
      <c r="C32" s="124"/>
      <c r="D32" s="203">
        <f>'CoalBalance for Word final '!F32</f>
        <v>0</v>
      </c>
      <c r="E32" s="118">
        <f>CoalBalance!V35</f>
        <v>-251719.85222222222</v>
      </c>
      <c r="F32" s="215"/>
    </row>
  </sheetData>
  <mergeCells count="5">
    <mergeCell ref="B2:C2"/>
    <mergeCell ref="B3:C3"/>
    <mergeCell ref="B4:C4"/>
    <mergeCell ref="B22:C22"/>
    <mergeCell ref="D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01FE-E6FB-4339-BA99-5E3CA098A6E9}">
  <sheetPr codeName="Sheet2"/>
  <dimension ref="A1:BM125"/>
  <sheetViews>
    <sheetView zoomScaleNormal="100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defaultColWidth="9.109375" defaultRowHeight="13.2"/>
  <cols>
    <col min="1" max="1" width="35.109375" style="6" bestFit="1" customWidth="1"/>
    <col min="2" max="2" width="15.44140625" style="6" bestFit="1" customWidth="1"/>
    <col min="3" max="3" width="8.88671875" style="6" bestFit="1" customWidth="1"/>
    <col min="4" max="5" width="13.109375" style="6" bestFit="1" customWidth="1"/>
    <col min="6" max="6" width="15.44140625" style="6" bestFit="1" customWidth="1"/>
    <col min="7" max="7" width="9.5546875" style="6" bestFit="1" customWidth="1"/>
    <col min="8" max="8" width="8" style="6" bestFit="1" customWidth="1"/>
    <col min="9" max="9" width="7" style="6" bestFit="1" customWidth="1"/>
    <col min="10" max="10" width="9" style="6" bestFit="1" customWidth="1"/>
    <col min="11" max="11" width="13.109375" style="6" bestFit="1" customWidth="1"/>
    <col min="12" max="12" width="9.6640625" style="6" bestFit="1" customWidth="1"/>
    <col min="13" max="13" width="6.5546875" style="6" bestFit="1" customWidth="1"/>
    <col min="14" max="14" width="11.33203125" style="6" bestFit="1" customWidth="1"/>
    <col min="15" max="15" width="10.5546875" style="6" bestFit="1" customWidth="1"/>
    <col min="16" max="16" width="10.88671875" style="6" bestFit="1" customWidth="1"/>
    <col min="17" max="17" width="9.33203125" style="6" bestFit="1" customWidth="1"/>
    <col min="18" max="18" width="11.33203125" style="6" bestFit="1" customWidth="1"/>
    <col min="19" max="19" width="11.44140625" style="6" customWidth="1"/>
    <col min="20" max="20" width="9.88671875" style="6" bestFit="1" customWidth="1"/>
    <col min="21" max="21" width="10.6640625" style="6" bestFit="1" customWidth="1"/>
    <col min="22" max="22" width="7.44140625" style="6" bestFit="1" customWidth="1"/>
    <col min="23" max="23" width="11.109375" style="6" customWidth="1"/>
    <col min="24" max="25" width="14.33203125" style="6" bestFit="1" customWidth="1"/>
    <col min="26" max="26" width="11.33203125" style="6" bestFit="1" customWidth="1"/>
    <col min="27" max="27" width="10.109375" style="6" bestFit="1" customWidth="1"/>
    <col min="28" max="28" width="8.5546875" style="6" bestFit="1" customWidth="1"/>
    <col min="29" max="29" width="13.109375" style="6" bestFit="1" customWidth="1"/>
    <col min="30" max="30" width="10.109375" style="6" bestFit="1" customWidth="1"/>
    <col min="31" max="31" width="8.6640625" style="6" bestFit="1" customWidth="1"/>
    <col min="32" max="32" width="11.33203125" style="6" bestFit="1" customWidth="1"/>
    <col min="33" max="33" width="14.33203125" style="6" bestFit="1" customWidth="1"/>
    <col min="34" max="34" width="10.109375" style="6" bestFit="1" customWidth="1"/>
    <col min="35" max="35" width="12.88671875" style="6" customWidth="1"/>
    <col min="36" max="36" width="13.109375" style="6" bestFit="1" customWidth="1"/>
    <col min="37" max="37" width="11.33203125" style="6" bestFit="1" customWidth="1"/>
    <col min="38" max="38" width="14.33203125" style="6" bestFit="1" customWidth="1"/>
    <col min="39" max="39" width="12.44140625" style="6" bestFit="1" customWidth="1"/>
    <col min="40" max="40" width="11.5546875" style="6" customWidth="1"/>
    <col min="41" max="43" width="11.33203125" style="6" bestFit="1" customWidth="1"/>
    <col min="44" max="44" width="9.88671875" style="6" bestFit="1" customWidth="1"/>
    <col min="45" max="45" width="9.5546875" style="6" bestFit="1" customWidth="1"/>
    <col min="46" max="46" width="13.109375" style="6" bestFit="1" customWidth="1"/>
    <col min="47" max="48" width="10.109375" style="6" bestFit="1" customWidth="1"/>
    <col min="49" max="49" width="9" style="6" bestFit="1" customWidth="1"/>
    <col min="50" max="50" width="10.6640625" style="6" bestFit="1" customWidth="1"/>
    <col min="51" max="51" width="9" style="6" bestFit="1" customWidth="1"/>
    <col min="52" max="52" width="6.5546875" style="6" bestFit="1" customWidth="1"/>
    <col min="53" max="53" width="10.5546875" style="6" customWidth="1"/>
    <col min="54" max="54" width="10.33203125" style="6" bestFit="1" customWidth="1"/>
    <col min="55" max="55" width="8.109375" style="6" bestFit="1" customWidth="1"/>
    <col min="56" max="56" width="8.33203125" style="6" bestFit="1" customWidth="1"/>
    <col min="57" max="57" width="15.44140625" style="6" bestFit="1" customWidth="1"/>
    <col min="58" max="58" width="7.109375" style="6" bestFit="1" customWidth="1"/>
    <col min="59" max="16384" width="9.109375" style="6"/>
  </cols>
  <sheetData>
    <row r="1" spans="1:63">
      <c r="A1" s="4" t="s">
        <v>240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5"/>
    </row>
    <row r="2" spans="1:63" s="11" customFormat="1">
      <c r="A2" s="7" t="s">
        <v>241</v>
      </c>
      <c r="B2" s="8" t="s">
        <v>242</v>
      </c>
      <c r="C2" s="8" t="s">
        <v>242</v>
      </c>
      <c r="D2" s="8" t="s">
        <v>242</v>
      </c>
      <c r="E2" s="8" t="s">
        <v>242</v>
      </c>
      <c r="F2" s="8" t="s">
        <v>242</v>
      </c>
      <c r="G2" s="8" t="s">
        <v>242</v>
      </c>
      <c r="H2" s="8" t="s">
        <v>242</v>
      </c>
      <c r="I2" s="8" t="s">
        <v>242</v>
      </c>
      <c r="J2" s="8" t="s">
        <v>242</v>
      </c>
      <c r="K2" s="8" t="s">
        <v>242</v>
      </c>
      <c r="L2" s="8" t="s">
        <v>242</v>
      </c>
      <c r="M2" s="8" t="s">
        <v>242</v>
      </c>
      <c r="N2" s="8" t="s">
        <v>243</v>
      </c>
      <c r="O2" s="8" t="s">
        <v>243</v>
      </c>
      <c r="P2" s="8" t="s">
        <v>243</v>
      </c>
      <c r="Q2" s="8" t="s">
        <v>243</v>
      </c>
      <c r="R2" s="8" t="s">
        <v>243</v>
      </c>
      <c r="S2" s="8" t="s">
        <v>243</v>
      </c>
      <c r="T2" s="8" t="s">
        <v>243</v>
      </c>
      <c r="U2" s="8" t="s">
        <v>243</v>
      </c>
      <c r="V2" s="8" t="s">
        <v>243</v>
      </c>
      <c r="W2" s="8" t="s">
        <v>243</v>
      </c>
      <c r="X2" s="8" t="s">
        <v>242</v>
      </c>
      <c r="Y2" s="8" t="s">
        <v>242</v>
      </c>
      <c r="Z2" s="9" t="s">
        <v>242</v>
      </c>
      <c r="AA2" s="8" t="s">
        <v>242</v>
      </c>
      <c r="AB2" s="8" t="s">
        <v>242</v>
      </c>
      <c r="AC2" s="8" t="s">
        <v>242</v>
      </c>
      <c r="AD2" s="8" t="s">
        <v>243</v>
      </c>
      <c r="AE2" s="8" t="s">
        <v>244</v>
      </c>
      <c r="AF2" s="8" t="s">
        <v>244</v>
      </c>
      <c r="AG2" s="8" t="s">
        <v>244</v>
      </c>
      <c r="AH2" s="8" t="s">
        <v>244</v>
      </c>
      <c r="AI2" s="8" t="s">
        <v>244</v>
      </c>
      <c r="AJ2" s="8" t="s">
        <v>244</v>
      </c>
      <c r="AK2" s="8" t="s">
        <v>244</v>
      </c>
      <c r="AL2" s="8" t="s">
        <v>244</v>
      </c>
      <c r="AM2" s="8" t="s">
        <v>244</v>
      </c>
      <c r="AN2" s="8" t="s">
        <v>244</v>
      </c>
      <c r="AO2" s="8" t="s">
        <v>244</v>
      </c>
      <c r="AP2" s="8" t="s">
        <v>242</v>
      </c>
      <c r="AQ2" s="8" t="s">
        <v>242</v>
      </c>
      <c r="AR2" s="8" t="s">
        <v>242</v>
      </c>
      <c r="AS2" s="8" t="s">
        <v>242</v>
      </c>
      <c r="AT2" s="8" t="s">
        <v>242</v>
      </c>
      <c r="AU2" s="8" t="s">
        <v>242</v>
      </c>
      <c r="AV2" s="8" t="s">
        <v>245</v>
      </c>
      <c r="AW2" s="8" t="s">
        <v>245</v>
      </c>
      <c r="AX2" s="8" t="s">
        <v>245</v>
      </c>
      <c r="AY2" s="8" t="s">
        <v>245</v>
      </c>
      <c r="AZ2" s="8" t="s">
        <v>245</v>
      </c>
      <c r="BA2" s="8" t="s">
        <v>245</v>
      </c>
      <c r="BB2" s="8" t="s">
        <v>243</v>
      </c>
      <c r="BC2" s="8" t="s">
        <v>243</v>
      </c>
      <c r="BD2" s="8" t="s">
        <v>243</v>
      </c>
      <c r="BE2" s="8" t="s">
        <v>246</v>
      </c>
      <c r="BF2" s="8" t="s">
        <v>243</v>
      </c>
      <c r="BG2" s="10"/>
    </row>
    <row r="3" spans="1:63" s="11" customFormat="1">
      <c r="A3" s="8" t="s">
        <v>247</v>
      </c>
      <c r="B3" s="8" t="s">
        <v>248</v>
      </c>
      <c r="C3" s="8" t="s">
        <v>249</v>
      </c>
      <c r="D3" s="8" t="s">
        <v>250</v>
      </c>
      <c r="E3" s="8" t="s">
        <v>251</v>
      </c>
      <c r="F3" s="8" t="s">
        <v>252</v>
      </c>
      <c r="G3" s="8" t="s">
        <v>253</v>
      </c>
      <c r="H3" s="8" t="s">
        <v>254</v>
      </c>
      <c r="I3" s="8" t="s">
        <v>255</v>
      </c>
      <c r="J3" s="8" t="s">
        <v>256</v>
      </c>
      <c r="K3" s="8" t="s">
        <v>257</v>
      </c>
      <c r="L3" s="8" t="s">
        <v>258</v>
      </c>
      <c r="M3" s="8" t="s">
        <v>259</v>
      </c>
      <c r="N3" s="8" t="s">
        <v>260</v>
      </c>
      <c r="O3" s="8" t="s">
        <v>261</v>
      </c>
      <c r="P3" s="8" t="s">
        <v>262</v>
      </c>
      <c r="Q3" s="8" t="s">
        <v>263</v>
      </c>
      <c r="R3" s="8" t="s">
        <v>264</v>
      </c>
      <c r="S3" s="8" t="s">
        <v>265</v>
      </c>
      <c r="T3" s="8" t="s">
        <v>266</v>
      </c>
      <c r="U3" s="8" t="s">
        <v>267</v>
      </c>
      <c r="V3" s="8" t="s">
        <v>268</v>
      </c>
      <c r="W3" s="8" t="s">
        <v>269</v>
      </c>
      <c r="X3" s="8" t="s">
        <v>270</v>
      </c>
      <c r="Y3" s="8" t="s">
        <v>271</v>
      </c>
      <c r="Z3" s="9" t="s">
        <v>272</v>
      </c>
      <c r="AA3" s="8" t="s">
        <v>273</v>
      </c>
      <c r="AB3" s="8" t="s">
        <v>274</v>
      </c>
      <c r="AC3" s="8" t="s">
        <v>275</v>
      </c>
      <c r="AD3" s="8" t="s">
        <v>276</v>
      </c>
      <c r="AE3" s="8" t="s">
        <v>277</v>
      </c>
      <c r="AF3" s="8" t="s">
        <v>278</v>
      </c>
      <c r="AG3" s="8" t="s">
        <v>279</v>
      </c>
      <c r="AH3" s="8" t="s">
        <v>280</v>
      </c>
      <c r="AI3" s="8" t="s">
        <v>281</v>
      </c>
      <c r="AJ3" s="8" t="s">
        <v>282</v>
      </c>
      <c r="AK3" s="8" t="s">
        <v>283</v>
      </c>
      <c r="AL3" s="8" t="s">
        <v>284</v>
      </c>
      <c r="AM3" s="8" t="s">
        <v>285</v>
      </c>
      <c r="AN3" s="8" t="s">
        <v>286</v>
      </c>
      <c r="AO3" s="8" t="s">
        <v>287</v>
      </c>
      <c r="AP3" s="8" t="s">
        <v>288</v>
      </c>
      <c r="AQ3" s="8" t="s">
        <v>289</v>
      </c>
      <c r="AR3" s="8" t="s">
        <v>290</v>
      </c>
      <c r="AS3" s="8" t="s">
        <v>291</v>
      </c>
      <c r="AT3" s="8" t="s">
        <v>292</v>
      </c>
      <c r="AU3" s="8" t="s">
        <v>293</v>
      </c>
      <c r="AV3" s="8" t="s">
        <v>294</v>
      </c>
      <c r="AW3" s="8" t="s">
        <v>295</v>
      </c>
      <c r="AX3" s="8" t="s">
        <v>296</v>
      </c>
      <c r="AY3" s="8" t="s">
        <v>297</v>
      </c>
      <c r="AZ3" s="8" t="s">
        <v>298</v>
      </c>
      <c r="BA3" s="8" t="s">
        <v>299</v>
      </c>
      <c r="BB3" s="8" t="s">
        <v>300</v>
      </c>
      <c r="BC3" s="8" t="s">
        <v>301</v>
      </c>
      <c r="BD3" s="8" t="s">
        <v>302</v>
      </c>
      <c r="BE3" s="8" t="s">
        <v>303</v>
      </c>
      <c r="BF3" s="8" t="s">
        <v>304</v>
      </c>
      <c r="BG3" s="10"/>
      <c r="BH3" s="298"/>
      <c r="BI3" s="298"/>
      <c r="BJ3" s="298"/>
      <c r="BK3" s="298"/>
    </row>
    <row r="4" spans="1:63">
      <c r="A4" s="12" t="s">
        <v>305</v>
      </c>
      <c r="B4" s="13">
        <f>E4+F4+G4+D4</f>
        <v>252343008</v>
      </c>
      <c r="C4" s="13">
        <f>H4+I4</f>
        <v>0</v>
      </c>
      <c r="D4" s="13">
        <v>2886078</v>
      </c>
      <c r="E4" s="13">
        <v>2343698</v>
      </c>
      <c r="F4" s="13">
        <v>247113232</v>
      </c>
      <c r="G4" s="13"/>
      <c r="H4" s="13"/>
      <c r="I4" s="13"/>
      <c r="J4" s="13"/>
      <c r="K4" s="13">
        <v>1389748.5</v>
      </c>
      <c r="L4" s="13"/>
      <c r="M4" s="13"/>
      <c r="N4" s="13"/>
      <c r="O4" s="13">
        <v>23257.001953125</v>
      </c>
      <c r="P4" s="13">
        <v>22961</v>
      </c>
      <c r="Q4" s="13"/>
      <c r="R4" s="13">
        <v>654700.875</v>
      </c>
      <c r="S4" s="13">
        <v>654700.875</v>
      </c>
      <c r="T4" s="13"/>
      <c r="U4" s="13"/>
      <c r="V4" s="13"/>
      <c r="W4" s="13">
        <v>25570.8125</v>
      </c>
      <c r="X4" s="13">
        <f>SUM(Y4:AC4)</f>
        <v>95250</v>
      </c>
      <c r="Y4" s="13">
        <v>32250</v>
      </c>
      <c r="Z4" s="13">
        <v>63000</v>
      </c>
      <c r="AA4" s="13"/>
      <c r="AB4" s="13"/>
      <c r="AC4" s="13"/>
      <c r="AD4" s="13">
        <v>35803.75</v>
      </c>
      <c r="AE4" s="13"/>
      <c r="AF4" s="13">
        <v>718184.625</v>
      </c>
      <c r="AG4" s="13">
        <v>9434440</v>
      </c>
      <c r="AH4" s="13">
        <v>414271.5</v>
      </c>
      <c r="AI4" s="13">
        <v>1315203.5</v>
      </c>
      <c r="AJ4" s="13">
        <v>1518965.125</v>
      </c>
      <c r="AK4" s="13">
        <v>732394.9375</v>
      </c>
      <c r="AL4" s="13">
        <v>7921726</v>
      </c>
      <c r="AM4" s="13">
        <v>869639.3125</v>
      </c>
      <c r="AN4" s="13">
        <v>533907.8125</v>
      </c>
      <c r="AO4" s="13">
        <v>104134.453125</v>
      </c>
      <c r="AP4" s="13">
        <v>133301.78125</v>
      </c>
      <c r="AQ4" s="13">
        <v>358660.28125</v>
      </c>
      <c r="AR4" s="13">
        <v>9901</v>
      </c>
      <c r="AS4" s="13"/>
      <c r="AT4" s="13"/>
      <c r="AU4" s="13">
        <v>24920.689453125</v>
      </c>
      <c r="AV4" s="13">
        <v>47706.625</v>
      </c>
      <c r="AW4" s="13">
        <v>844.60992431640625</v>
      </c>
      <c r="AX4" s="13"/>
      <c r="AY4" s="13">
        <v>3869.97998046875</v>
      </c>
      <c r="AZ4" s="13"/>
      <c r="BA4" s="13">
        <v>5132.16015625</v>
      </c>
      <c r="BB4" s="13"/>
      <c r="BC4" s="13"/>
      <c r="BD4" s="13"/>
      <c r="BE4" s="13">
        <v>253225472</v>
      </c>
      <c r="BF4" s="13"/>
    </row>
    <row r="5" spans="1:63">
      <c r="A5" s="12" t="s">
        <v>306</v>
      </c>
      <c r="B5" s="13">
        <f t="shared" ref="B5:B68" si="0">E5+F5+G5+D5</f>
        <v>0</v>
      </c>
      <c r="C5" s="13">
        <f t="shared" ref="C5:C68" si="1">H5+I5</f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>
        <v>21556.609375</v>
      </c>
      <c r="O5" s="13"/>
      <c r="P5" s="13"/>
      <c r="Q5" s="13"/>
      <c r="R5" s="13">
        <f t="shared" ref="R5:R9" si="2">SUM(S5:V5)</f>
        <v>0</v>
      </c>
      <c r="S5" s="13"/>
      <c r="T5" s="13"/>
      <c r="U5" s="13"/>
      <c r="V5" s="13"/>
      <c r="W5" s="13"/>
      <c r="X5" s="13">
        <f>SUM(Y5:AC5)</f>
        <v>4480280</v>
      </c>
      <c r="Y5" s="13"/>
      <c r="Z5" s="13"/>
      <c r="AA5" s="13"/>
      <c r="AB5" s="13"/>
      <c r="AC5" s="13">
        <v>4480280</v>
      </c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</row>
    <row r="6" spans="1:63">
      <c r="A6" s="14" t="s">
        <v>307</v>
      </c>
      <c r="B6" s="13">
        <f t="shared" si="0"/>
        <v>1226403</v>
      </c>
      <c r="C6" s="13">
        <f t="shared" si="1"/>
        <v>0</v>
      </c>
      <c r="D6" s="13">
        <v>198372</v>
      </c>
      <c r="E6" s="13"/>
      <c r="F6" s="13">
        <v>1028031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>
        <f t="shared" si="2"/>
        <v>0</v>
      </c>
      <c r="S6" s="13"/>
      <c r="T6" s="13"/>
      <c r="U6" s="13"/>
      <c r="V6" s="13"/>
      <c r="W6" s="13">
        <v>124124.4375</v>
      </c>
      <c r="X6" s="13">
        <f>SUM(Y6:AC6)</f>
        <v>17103170</v>
      </c>
      <c r="Y6" s="13">
        <v>17103170</v>
      </c>
      <c r="Z6" s="13"/>
      <c r="AA6" s="13"/>
      <c r="AB6" s="13"/>
      <c r="AC6" s="13"/>
      <c r="AD6" s="13"/>
      <c r="AE6" s="13"/>
      <c r="AF6" s="13">
        <v>185673.40625</v>
      </c>
      <c r="AG6" s="13">
        <v>2114180</v>
      </c>
      <c r="AH6" s="13">
        <v>18628.169921875</v>
      </c>
      <c r="AI6" s="13">
        <v>41154.421875</v>
      </c>
      <c r="AJ6" s="13">
        <v>418603.75</v>
      </c>
      <c r="AK6" s="13">
        <v>2475.530029296875</v>
      </c>
      <c r="AL6" s="13">
        <v>6036039</v>
      </c>
      <c r="AM6" s="13">
        <v>33017.6484375</v>
      </c>
      <c r="AN6" s="13"/>
      <c r="AO6" s="13"/>
      <c r="AP6" s="13">
        <v>6.559999942779541</v>
      </c>
      <c r="AQ6" s="13">
        <v>18.100000381469727</v>
      </c>
      <c r="AR6" s="13">
        <v>20.829999923706055</v>
      </c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>
        <v>10555000</v>
      </c>
      <c r="BF6" s="13"/>
    </row>
    <row r="7" spans="1:63">
      <c r="A7" s="15" t="s">
        <v>308</v>
      </c>
      <c r="B7" s="13">
        <f t="shared" si="0"/>
        <v>-70049140</v>
      </c>
      <c r="C7" s="13">
        <f t="shared" si="1"/>
        <v>0</v>
      </c>
      <c r="D7" s="13">
        <v>-1766477</v>
      </c>
      <c r="E7" s="13">
        <v>-1153023</v>
      </c>
      <c r="F7" s="13">
        <v>-67129640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>
        <f t="shared" si="2"/>
        <v>0</v>
      </c>
      <c r="S7" s="13"/>
      <c r="T7" s="13"/>
      <c r="U7" s="13"/>
      <c r="V7" s="13"/>
      <c r="W7" s="13">
        <v>-498.75</v>
      </c>
      <c r="X7" s="13">
        <f t="shared" ref="X7:X70" si="3">SUM(Y7:AC7)</f>
        <v>0</v>
      </c>
      <c r="Y7" s="13"/>
      <c r="Z7" s="13"/>
      <c r="AA7" s="13"/>
      <c r="AB7" s="13"/>
      <c r="AC7" s="13"/>
      <c r="AD7" s="13"/>
      <c r="AE7" s="13"/>
      <c r="AF7" s="13">
        <v>-105968</v>
      </c>
      <c r="AG7" s="13">
        <v>-1082042</v>
      </c>
      <c r="AH7" s="13">
        <v>-5177.43994140625</v>
      </c>
      <c r="AI7" s="13">
        <v>-31096</v>
      </c>
      <c r="AJ7" s="13">
        <v>-348765.4375</v>
      </c>
      <c r="AK7" s="13">
        <v>-47567.62890625</v>
      </c>
      <c r="AL7" s="13">
        <v>-1784002.75</v>
      </c>
      <c r="AM7" s="13">
        <v>-424555</v>
      </c>
      <c r="AN7" s="13">
        <v>-237715.015625</v>
      </c>
      <c r="AO7" s="13">
        <v>-8638</v>
      </c>
      <c r="AP7" s="13">
        <v>-8.3400001525878906</v>
      </c>
      <c r="AQ7" s="13">
        <v>71.620002746582031</v>
      </c>
      <c r="AR7" s="13">
        <v>18.170000076293945</v>
      </c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>
        <v>-16549001</v>
      </c>
      <c r="BF7" s="13"/>
    </row>
    <row r="8" spans="1:63">
      <c r="A8" s="4" t="s">
        <v>309</v>
      </c>
      <c r="B8" s="13">
        <f t="shared" si="0"/>
        <v>0</v>
      </c>
      <c r="C8" s="13">
        <f t="shared" si="1"/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>
        <f t="shared" si="2"/>
        <v>0</v>
      </c>
      <c r="S8" s="13"/>
      <c r="T8" s="13"/>
      <c r="U8" s="13"/>
      <c r="V8" s="13"/>
      <c r="W8" s="13"/>
      <c r="X8" s="13">
        <f t="shared" si="3"/>
        <v>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</row>
    <row r="9" spans="1:63">
      <c r="A9" s="12" t="s">
        <v>310</v>
      </c>
      <c r="B9" s="13">
        <f t="shared" si="0"/>
        <v>0</v>
      </c>
      <c r="C9" s="13">
        <f t="shared" si="1"/>
        <v>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>
        <f t="shared" si="2"/>
        <v>0</v>
      </c>
      <c r="S9" s="13"/>
      <c r="T9" s="13"/>
      <c r="U9" s="13"/>
      <c r="V9" s="13"/>
      <c r="W9" s="13"/>
      <c r="X9" s="13">
        <f t="shared" si="3"/>
        <v>0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</row>
    <row r="10" spans="1:63" s="18" customFormat="1">
      <c r="A10" s="16" t="s">
        <v>311</v>
      </c>
      <c r="B10" s="17">
        <f t="shared" si="0"/>
        <v>183520271</v>
      </c>
      <c r="C10" s="17">
        <f>H10+I10</f>
        <v>0</v>
      </c>
      <c r="D10" s="17">
        <f>SUM(D4:D9)</f>
        <v>1317973</v>
      </c>
      <c r="E10" s="17">
        <f>SUM(E4:E9)</f>
        <v>1190675</v>
      </c>
      <c r="F10" s="17">
        <f t="shared" ref="F10:M10" si="4">SUM(F4:F9)</f>
        <v>181011623</v>
      </c>
      <c r="G10" s="17">
        <f t="shared" si="4"/>
        <v>0</v>
      </c>
      <c r="H10" s="17">
        <f t="shared" si="4"/>
        <v>0</v>
      </c>
      <c r="I10" s="17">
        <f t="shared" si="4"/>
        <v>0</v>
      </c>
      <c r="J10" s="17">
        <f t="shared" si="4"/>
        <v>0</v>
      </c>
      <c r="K10" s="17">
        <f t="shared" si="4"/>
        <v>1389748.5</v>
      </c>
      <c r="L10" s="17">
        <f t="shared" si="4"/>
        <v>0</v>
      </c>
      <c r="M10" s="17">
        <f t="shared" si="4"/>
        <v>0</v>
      </c>
      <c r="N10" s="17">
        <f>SUM(N4:N9)</f>
        <v>21556.609375</v>
      </c>
      <c r="O10" s="17">
        <v>0</v>
      </c>
      <c r="P10" s="17">
        <f>SUM(P4:P9)</f>
        <v>22961</v>
      </c>
      <c r="Q10" s="17">
        <f t="shared" ref="Q10:V10" si="5">SUM(Q4:Q9)</f>
        <v>0</v>
      </c>
      <c r="R10" s="17">
        <f>SUM(R4:R9)</f>
        <v>654700.875</v>
      </c>
      <c r="S10" s="17">
        <f t="shared" si="5"/>
        <v>654700.875</v>
      </c>
      <c r="T10" s="17">
        <f t="shared" si="5"/>
        <v>0</v>
      </c>
      <c r="U10" s="17">
        <f t="shared" si="5"/>
        <v>0</v>
      </c>
      <c r="V10" s="17">
        <f t="shared" si="5"/>
        <v>0</v>
      </c>
      <c r="W10" s="17">
        <f>SUM(W4:W9)</f>
        <v>149196.5</v>
      </c>
      <c r="X10" s="17">
        <f t="shared" si="3"/>
        <v>21678700</v>
      </c>
      <c r="Y10" s="17">
        <f>SUM(Y4:Y9)</f>
        <v>17135420</v>
      </c>
      <c r="Z10" s="17">
        <f>SUM(Z4:Z9)</f>
        <v>63000</v>
      </c>
      <c r="AA10" s="17">
        <f t="shared" ref="AA10:AS10" si="6">SUM(AA4:AA9)</f>
        <v>0</v>
      </c>
      <c r="AB10" s="17">
        <f t="shared" si="6"/>
        <v>0</v>
      </c>
      <c r="AC10" s="17">
        <f>SUM(AC4:AC9)</f>
        <v>4480280</v>
      </c>
      <c r="AD10" s="17">
        <f t="shared" si="6"/>
        <v>35803.75</v>
      </c>
      <c r="AE10" s="17">
        <f t="shared" si="6"/>
        <v>0</v>
      </c>
      <c r="AF10" s="17">
        <f t="shared" si="6"/>
        <v>797890.03125</v>
      </c>
      <c r="AG10" s="17">
        <f>SUM(AG4:AG9)</f>
        <v>10466578</v>
      </c>
      <c r="AH10" s="17">
        <f>SUM(AH4:AH9)</f>
        <v>427722.22998046875</v>
      </c>
      <c r="AI10" s="17">
        <f t="shared" si="6"/>
        <v>1325261.921875</v>
      </c>
      <c r="AJ10" s="17">
        <f t="shared" si="6"/>
        <v>1588803.4375</v>
      </c>
      <c r="AK10" s="17">
        <f>SUM(AK4:AK9)</f>
        <v>687302.83862304688</v>
      </c>
      <c r="AL10" s="17">
        <f>SUM(AL4:AL9)</f>
        <v>12173762.25</v>
      </c>
      <c r="AM10" s="17">
        <f t="shared" si="6"/>
        <v>478101.9609375</v>
      </c>
      <c r="AN10" s="17">
        <f t="shared" si="6"/>
        <v>296192.796875</v>
      </c>
      <c r="AO10" s="17">
        <f t="shared" si="6"/>
        <v>95496.453125</v>
      </c>
      <c r="AP10" s="17">
        <f>SUM(AP4:AP9)</f>
        <v>133300.00124979019</v>
      </c>
      <c r="AQ10" s="17">
        <f t="shared" si="6"/>
        <v>358750.00125312805</v>
      </c>
      <c r="AR10" s="17">
        <f t="shared" si="6"/>
        <v>9940</v>
      </c>
      <c r="AS10" s="17">
        <f t="shared" si="6"/>
        <v>0</v>
      </c>
      <c r="AT10" s="17">
        <f>SUM(AT4:AT9)</f>
        <v>0</v>
      </c>
      <c r="AU10" s="17">
        <f>SUM(AU4:AU9)</f>
        <v>24920.689453125</v>
      </c>
      <c r="AV10" s="17">
        <f t="shared" ref="AV10:BF10" si="7">SUM(AV4:AV9)</f>
        <v>47706.625</v>
      </c>
      <c r="AW10" s="17">
        <f t="shared" si="7"/>
        <v>844.60992431640625</v>
      </c>
      <c r="AX10" s="17">
        <f>SUM(AX4:AX9)</f>
        <v>0</v>
      </c>
      <c r="AY10" s="17">
        <f t="shared" si="7"/>
        <v>3869.97998046875</v>
      </c>
      <c r="AZ10" s="17">
        <f t="shared" si="7"/>
        <v>0</v>
      </c>
      <c r="BA10" s="17">
        <f t="shared" si="7"/>
        <v>5132.16015625</v>
      </c>
      <c r="BB10" s="17">
        <f t="shared" si="7"/>
        <v>0</v>
      </c>
      <c r="BC10" s="17">
        <f t="shared" si="7"/>
        <v>0</v>
      </c>
      <c r="BD10" s="17">
        <f t="shared" si="7"/>
        <v>0</v>
      </c>
      <c r="BE10" s="17">
        <f>SUM(BE4:BE9)</f>
        <v>247231471</v>
      </c>
      <c r="BF10" s="17">
        <f t="shared" si="7"/>
        <v>0</v>
      </c>
    </row>
    <row r="11" spans="1:63">
      <c r="A11" s="4" t="s">
        <v>312</v>
      </c>
      <c r="B11" s="13">
        <f t="shared" si="0"/>
        <v>0</v>
      </c>
      <c r="C11" s="13">
        <f t="shared" si="1"/>
        <v>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f t="shared" si="3"/>
        <v>4480280</v>
      </c>
      <c r="Y11" s="13"/>
      <c r="Z11" s="13"/>
      <c r="AA11" s="13"/>
      <c r="AB11" s="13"/>
      <c r="AC11" s="13">
        <v>4480280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</row>
    <row r="12" spans="1:63">
      <c r="A12" s="4" t="s">
        <v>313</v>
      </c>
      <c r="B12" s="13">
        <f t="shared" si="0"/>
        <v>2367823.75</v>
      </c>
      <c r="C12" s="13">
        <f>H12+I12</f>
        <v>0</v>
      </c>
      <c r="D12" s="13">
        <f>(D10-(D11+D13+D31+D43)-D44)</f>
        <v>-324702.125</v>
      </c>
      <c r="E12" s="13">
        <f>(E10-(E11+E13+E31+E43)-E44)</f>
        <v>0</v>
      </c>
      <c r="F12" s="13">
        <f>(F10-(F11+F13+F31+F43)-F44)</f>
        <v>2692525.875</v>
      </c>
      <c r="G12" s="13">
        <f t="shared" ref="G12:M12" si="8">(G10-(G11+G13+G31+G43)-G44)</f>
        <v>0</v>
      </c>
      <c r="H12" s="13">
        <f t="shared" si="8"/>
        <v>0</v>
      </c>
      <c r="I12" s="13">
        <f t="shared" si="8"/>
        <v>0</v>
      </c>
      <c r="J12" s="13">
        <f t="shared" si="8"/>
        <v>0</v>
      </c>
      <c r="K12" s="13">
        <f t="shared" si="8"/>
        <v>-4.6875E-2</v>
      </c>
      <c r="L12" s="13">
        <f t="shared" si="8"/>
        <v>0</v>
      </c>
      <c r="M12" s="13">
        <f t="shared" si="8"/>
        <v>0</v>
      </c>
      <c r="N12" s="13">
        <f>(N10-(N11+N13+N31+N43)-N44)</f>
        <v>-3541.3235731124878</v>
      </c>
      <c r="O12" s="13">
        <v>0</v>
      </c>
      <c r="P12" s="13">
        <v>0</v>
      </c>
      <c r="Q12" s="13">
        <f t="shared" ref="Q12:V12" si="9">(Q10-(Q11+Q13+Q31+Q43)-Q44)</f>
        <v>0</v>
      </c>
      <c r="R12" s="13">
        <f t="shared" si="9"/>
        <v>2924.7734375</v>
      </c>
      <c r="S12" s="13">
        <f t="shared" si="9"/>
        <v>2924.7734375</v>
      </c>
      <c r="T12" s="13">
        <f t="shared" si="9"/>
        <v>0</v>
      </c>
      <c r="U12" s="13">
        <f t="shared" si="9"/>
        <v>0</v>
      </c>
      <c r="V12" s="13">
        <f t="shared" si="9"/>
        <v>0</v>
      </c>
      <c r="W12" s="13">
        <f>(W10-(W11+W13+W31+W43)-W44)</f>
        <v>-36252.007661819458</v>
      </c>
      <c r="X12" s="13">
        <f t="shared" si="3"/>
        <v>0</v>
      </c>
      <c r="Y12" s="13">
        <f t="shared" ref="Y12:BF12" si="10">(Y10-(Y11+Y13+Y31+Y43)-Y44)</f>
        <v>0</v>
      </c>
      <c r="Z12" s="13">
        <f>(Z10-(Z11+Z13+Z31+Z43)-Z44)</f>
        <v>0</v>
      </c>
      <c r="AA12" s="13">
        <f t="shared" si="10"/>
        <v>0</v>
      </c>
      <c r="AB12" s="13">
        <f t="shared" si="10"/>
        <v>0</v>
      </c>
      <c r="AC12" s="13">
        <f>(AC10-(AC11+AC13+AC31+AC43)-AC44)</f>
        <v>0</v>
      </c>
      <c r="AD12" s="13">
        <f t="shared" si="10"/>
        <v>0</v>
      </c>
      <c r="AE12" s="13">
        <f t="shared" si="10"/>
        <v>0</v>
      </c>
      <c r="AF12" s="13">
        <f t="shared" si="10"/>
        <v>231563.43277740479</v>
      </c>
      <c r="AG12" s="13">
        <f>(AG10-(AG11+AG13+AG31+AG43)-AG44)</f>
        <v>-1345489.9593443871</v>
      </c>
      <c r="AH12" s="13">
        <f>(AH10-(AH11+AH13+AH31+AH43)-AH44)</f>
        <v>-2.001953125E-2</v>
      </c>
      <c r="AI12" s="13">
        <f t="shared" si="10"/>
        <v>-31095.640625</v>
      </c>
      <c r="AJ12" s="13">
        <f t="shared" si="10"/>
        <v>0</v>
      </c>
      <c r="AK12" s="13">
        <f t="shared" si="10"/>
        <v>4.9294710159301758E-2</v>
      </c>
      <c r="AL12" s="13">
        <f t="shared" si="10"/>
        <v>-1094696.3124389648</v>
      </c>
      <c r="AM12" s="13">
        <f>(AM10-(AM11+AM13+AM31+AM43)-AM44)</f>
        <v>1.800537109375E-2</v>
      </c>
      <c r="AN12" s="13">
        <f t="shared" si="10"/>
        <v>1.5625E-2</v>
      </c>
      <c r="AO12" s="13">
        <f t="shared" si="10"/>
        <v>95496.453125</v>
      </c>
      <c r="AP12" s="13">
        <f t="shared" si="10"/>
        <v>133300.00124979019</v>
      </c>
      <c r="AQ12" s="13">
        <f t="shared" si="10"/>
        <v>358750.00125312805</v>
      </c>
      <c r="AR12" s="13">
        <f t="shared" si="10"/>
        <v>9940</v>
      </c>
      <c r="AS12" s="13">
        <f t="shared" si="10"/>
        <v>0</v>
      </c>
      <c r="AT12" s="13">
        <f t="shared" si="10"/>
        <v>0</v>
      </c>
      <c r="AU12" s="13">
        <f t="shared" si="10"/>
        <v>24920.689453125</v>
      </c>
      <c r="AV12" s="13">
        <f t="shared" si="10"/>
        <v>0</v>
      </c>
      <c r="AW12" s="13">
        <f>(AW10-(AW11+AW13+AW31+AW43)-AW44)</f>
        <v>1.9073486328125E-3</v>
      </c>
      <c r="AX12" s="13">
        <f t="shared" si="10"/>
        <v>0</v>
      </c>
      <c r="AY12" s="13">
        <f t="shared" si="10"/>
        <v>-3869.97998046875</v>
      </c>
      <c r="AZ12" s="13">
        <f t="shared" si="10"/>
        <v>0</v>
      </c>
      <c r="BA12" s="13">
        <f t="shared" si="10"/>
        <v>-6.103515625E-5</v>
      </c>
      <c r="BB12" s="13">
        <f t="shared" si="10"/>
        <v>0</v>
      </c>
      <c r="BC12" s="13">
        <f t="shared" si="10"/>
        <v>0</v>
      </c>
      <c r="BD12" s="13">
        <f t="shared" si="10"/>
        <v>0</v>
      </c>
      <c r="BE12" s="13">
        <f>(BE10-(BE11+BE13+BE31+BE43)-BE44)</f>
        <v>-14814844.109375</v>
      </c>
      <c r="BF12" s="13">
        <f t="shared" si="10"/>
        <v>0</v>
      </c>
    </row>
    <row r="13" spans="1:63" s="18" customFormat="1">
      <c r="A13" s="16" t="s">
        <v>314</v>
      </c>
      <c r="B13" s="17">
        <f t="shared" si="0"/>
        <v>163484134</v>
      </c>
      <c r="C13" s="17">
        <f>H13+I13</f>
        <v>0</v>
      </c>
      <c r="D13" s="17">
        <f>SUM(D14:D30)</f>
        <v>0</v>
      </c>
      <c r="E13" s="17">
        <f>SUM(E14:E30)</f>
        <v>1190675</v>
      </c>
      <c r="F13" s="17">
        <f t="shared" ref="F13:K13" si="11">SUM(F14:F30)</f>
        <v>162293459</v>
      </c>
      <c r="G13" s="17">
        <f t="shared" si="11"/>
        <v>0</v>
      </c>
      <c r="H13" s="17">
        <f t="shared" si="11"/>
        <v>0</v>
      </c>
      <c r="I13" s="17">
        <f t="shared" si="11"/>
        <v>0</v>
      </c>
      <c r="J13" s="17">
        <f t="shared" si="11"/>
        <v>0</v>
      </c>
      <c r="K13" s="17">
        <f t="shared" si="11"/>
        <v>1195183.75</v>
      </c>
      <c r="L13" s="17">
        <f>SUM(L14:L30)</f>
        <v>0</v>
      </c>
      <c r="M13" s="17">
        <f>SUM(M14:M30)</f>
        <v>0</v>
      </c>
      <c r="N13" s="17">
        <f>SUM(N14:N30)</f>
        <v>0</v>
      </c>
      <c r="O13" s="17">
        <f>SUM(O14:O30)</f>
        <v>0</v>
      </c>
      <c r="P13" s="17">
        <f>SUM(P14:P30)</f>
        <v>0</v>
      </c>
      <c r="Q13" s="17">
        <f t="shared" ref="Q13:AU13" si="12">SUM(Q14:Q30)</f>
        <v>0</v>
      </c>
      <c r="R13" s="17">
        <f>SUM(R14:R30)</f>
        <v>225875</v>
      </c>
      <c r="S13" s="17">
        <f t="shared" si="12"/>
        <v>225875</v>
      </c>
      <c r="T13" s="17">
        <f t="shared" si="12"/>
        <v>0</v>
      </c>
      <c r="U13" s="17">
        <f t="shared" si="12"/>
        <v>0</v>
      </c>
      <c r="V13" s="17">
        <f t="shared" si="12"/>
        <v>0</v>
      </c>
      <c r="W13" s="17">
        <f t="shared" si="12"/>
        <v>88318.546875</v>
      </c>
      <c r="X13" s="17">
        <f>SUM(Y13:AC13)</f>
        <v>17198420</v>
      </c>
      <c r="Y13" s="17">
        <f t="shared" si="12"/>
        <v>17135420</v>
      </c>
      <c r="Z13" s="17">
        <f>SUM(Z14:Z30)</f>
        <v>63000</v>
      </c>
      <c r="AA13" s="17">
        <f t="shared" si="12"/>
        <v>0</v>
      </c>
      <c r="AB13" s="17">
        <f t="shared" si="12"/>
        <v>0</v>
      </c>
      <c r="AC13" s="17">
        <f>SUM(AC14:AC30)</f>
        <v>0</v>
      </c>
      <c r="AD13" s="17">
        <f t="shared" si="12"/>
        <v>35803.75</v>
      </c>
      <c r="AE13" s="17">
        <f t="shared" si="12"/>
        <v>0</v>
      </c>
      <c r="AF13" s="17">
        <f t="shared" si="12"/>
        <v>0</v>
      </c>
      <c r="AG13" s="17">
        <f t="shared" si="12"/>
        <v>0</v>
      </c>
      <c r="AH13" s="17">
        <f t="shared" si="12"/>
        <v>0</v>
      </c>
      <c r="AI13" s="17">
        <f t="shared" si="12"/>
        <v>0</v>
      </c>
      <c r="AJ13" s="17">
        <f t="shared" si="12"/>
        <v>0</v>
      </c>
      <c r="AK13" s="17">
        <f t="shared" si="12"/>
        <v>0</v>
      </c>
      <c r="AL13" s="17">
        <f t="shared" si="12"/>
        <v>10000</v>
      </c>
      <c r="AM13" s="17">
        <f t="shared" si="12"/>
        <v>0</v>
      </c>
      <c r="AN13" s="17">
        <f t="shared" si="12"/>
        <v>0</v>
      </c>
      <c r="AO13" s="17">
        <f t="shared" si="12"/>
        <v>0</v>
      </c>
      <c r="AP13" s="17">
        <f t="shared" si="12"/>
        <v>0</v>
      </c>
      <c r="AQ13" s="17">
        <f t="shared" si="12"/>
        <v>0</v>
      </c>
      <c r="AR13" s="17">
        <f t="shared" si="12"/>
        <v>0</v>
      </c>
      <c r="AS13" s="17">
        <f t="shared" si="12"/>
        <v>0</v>
      </c>
      <c r="AT13" s="17">
        <f t="shared" si="12"/>
        <v>0</v>
      </c>
      <c r="AU13" s="17">
        <f t="shared" si="12"/>
        <v>0</v>
      </c>
      <c r="AV13" s="17">
        <f>SUM(AV14:AV30)</f>
        <v>47706.625</v>
      </c>
      <c r="AW13" s="17">
        <f>SUM(AW14:AW30)</f>
        <v>844.60801696777344</v>
      </c>
      <c r="AX13" s="17">
        <f t="shared" ref="AX13:BF13" si="13">SUM(AX14:AX30)</f>
        <v>0</v>
      </c>
      <c r="AY13" s="17">
        <f t="shared" si="13"/>
        <v>3869.97998046875</v>
      </c>
      <c r="AZ13" s="17">
        <f t="shared" si="13"/>
        <v>0</v>
      </c>
      <c r="BA13" s="17">
        <f t="shared" si="13"/>
        <v>5132.1602172851563</v>
      </c>
      <c r="BB13" s="17">
        <f t="shared" si="13"/>
        <v>0</v>
      </c>
      <c r="BC13" s="17">
        <f t="shared" si="13"/>
        <v>0</v>
      </c>
      <c r="BD13" s="17">
        <f t="shared" si="13"/>
        <v>0</v>
      </c>
      <c r="BE13" s="17">
        <f>SUM(BE14:BE30)</f>
        <v>0</v>
      </c>
      <c r="BF13" s="17">
        <f t="shared" si="13"/>
        <v>0</v>
      </c>
    </row>
    <row r="14" spans="1:63">
      <c r="A14" s="12" t="s">
        <v>315</v>
      </c>
      <c r="B14" s="13">
        <f t="shared" si="0"/>
        <v>122690240</v>
      </c>
      <c r="C14" s="13">
        <f t="shared" si="1"/>
        <v>0</v>
      </c>
      <c r="D14" s="13"/>
      <c r="E14" s="13"/>
      <c r="F14" s="13">
        <v>122690240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>
        <f>SUM(S14:V14)</f>
        <v>0</v>
      </c>
      <c r="S14" s="13"/>
      <c r="T14" s="13"/>
      <c r="U14" s="13"/>
      <c r="V14" s="13"/>
      <c r="W14" s="13"/>
      <c r="X14" s="13">
        <f t="shared" ref="X14:X30" si="14">SUM(Y14:AC14)</f>
        <v>0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>
        <v>10000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>
        <v>47706.625</v>
      </c>
      <c r="AW14" s="13">
        <v>704.26202392578125</v>
      </c>
      <c r="AX14" s="13"/>
      <c r="AY14" s="13"/>
      <c r="AZ14" s="13"/>
      <c r="BA14" s="13">
        <v>342.69000244140625</v>
      </c>
      <c r="BB14" s="13"/>
      <c r="BC14" s="13"/>
      <c r="BD14" s="13"/>
      <c r="BE14" s="13"/>
      <c r="BF14" s="13"/>
    </row>
    <row r="15" spans="1:63">
      <c r="A15" s="4" t="s">
        <v>316</v>
      </c>
      <c r="B15" s="13">
        <f t="shared" si="0"/>
        <v>280075</v>
      </c>
      <c r="C15" s="13">
        <f t="shared" si="1"/>
        <v>0</v>
      </c>
      <c r="D15" s="13"/>
      <c r="E15" s="13"/>
      <c r="F15" s="13">
        <v>280075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4315</v>
      </c>
      <c r="S15" s="13">
        <v>4315</v>
      </c>
      <c r="T15" s="13"/>
      <c r="U15" s="13"/>
      <c r="V15" s="13"/>
      <c r="W15" s="13"/>
      <c r="X15" s="13">
        <f>SUM(Y15:AC15)</f>
        <v>0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>
        <v>140.34599304199219</v>
      </c>
      <c r="AX15" s="13"/>
      <c r="AY15" s="13">
        <v>3869.97998046875</v>
      </c>
      <c r="AZ15" s="13"/>
      <c r="BA15" s="13">
        <v>4789.47021484375</v>
      </c>
      <c r="BB15" s="13"/>
      <c r="BC15" s="13"/>
      <c r="BD15" s="13"/>
      <c r="BE15" s="13"/>
      <c r="BF15" s="13"/>
    </row>
    <row r="16" spans="1:63">
      <c r="A16" s="4" t="s">
        <v>317</v>
      </c>
      <c r="B16" s="13">
        <f t="shared" si="0"/>
        <v>0</v>
      </c>
      <c r="C16" s="13">
        <f t="shared" si="1"/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>
        <f t="shared" ref="R16:R43" si="15">SUM(S16:V16)</f>
        <v>0</v>
      </c>
      <c r="S16" s="13"/>
      <c r="T16" s="13"/>
      <c r="U16" s="13"/>
      <c r="V16" s="13"/>
      <c r="W16" s="13"/>
      <c r="X16" s="13">
        <f t="shared" si="14"/>
        <v>0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1:63">
      <c r="A17" s="4" t="s">
        <v>318</v>
      </c>
      <c r="B17" s="13">
        <f t="shared" si="0"/>
        <v>0</v>
      </c>
      <c r="C17" s="13">
        <f t="shared" si="1"/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f t="shared" si="15"/>
        <v>0</v>
      </c>
      <c r="S17" s="13"/>
      <c r="T17" s="13"/>
      <c r="U17" s="13"/>
      <c r="V17" s="13"/>
      <c r="W17" s="13"/>
      <c r="X17" s="13">
        <f t="shared" si="14"/>
        <v>0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1:63">
      <c r="A18" s="19" t="s">
        <v>319</v>
      </c>
      <c r="B18" s="13">
        <f t="shared" si="0"/>
        <v>0</v>
      </c>
      <c r="C18" s="13">
        <f t="shared" si="1"/>
        <v>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>
        <f t="shared" si="15"/>
        <v>0</v>
      </c>
      <c r="S18" s="13"/>
      <c r="T18" s="13"/>
      <c r="U18" s="13"/>
      <c r="V18" s="13"/>
      <c r="W18" s="13"/>
      <c r="X18" s="13">
        <f t="shared" si="14"/>
        <v>0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1:63">
      <c r="A19" s="4" t="s">
        <v>320</v>
      </c>
      <c r="B19" s="13">
        <f t="shared" si="0"/>
        <v>0</v>
      </c>
      <c r="C19" s="13">
        <f t="shared" si="1"/>
        <v>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>
        <f t="shared" si="15"/>
        <v>0</v>
      </c>
      <c r="S19" s="13"/>
      <c r="T19" s="13"/>
      <c r="U19" s="13"/>
      <c r="V19" s="13"/>
      <c r="W19" s="13"/>
      <c r="X19" s="13">
        <f t="shared" si="14"/>
        <v>0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1:63">
      <c r="A20" s="4" t="s">
        <v>321</v>
      </c>
      <c r="B20" s="13">
        <f t="shared" si="0"/>
        <v>0</v>
      </c>
      <c r="C20" s="13">
        <f t="shared" si="1"/>
        <v>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>
        <f t="shared" si="15"/>
        <v>0</v>
      </c>
      <c r="S20" s="13"/>
      <c r="T20" s="13"/>
      <c r="U20" s="13"/>
      <c r="V20" s="13"/>
      <c r="W20" s="13"/>
      <c r="X20" s="13">
        <f t="shared" si="14"/>
        <v>0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1:63">
      <c r="A21" s="4" t="s">
        <v>322</v>
      </c>
      <c r="B21" s="13">
        <f t="shared" si="0"/>
        <v>0</v>
      </c>
      <c r="C21" s="13">
        <f t="shared" si="1"/>
        <v>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f t="shared" si="15"/>
        <v>0</v>
      </c>
      <c r="S21" s="13"/>
      <c r="T21" s="13"/>
      <c r="U21" s="13"/>
      <c r="V21" s="13"/>
      <c r="W21" s="13"/>
      <c r="X21" s="13">
        <f t="shared" si="14"/>
        <v>0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1:63">
      <c r="A22" s="4" t="s">
        <v>323</v>
      </c>
      <c r="B22" s="13">
        <f t="shared" si="0"/>
        <v>0</v>
      </c>
      <c r="C22" s="13">
        <f t="shared" si="1"/>
        <v>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>
        <f t="shared" si="15"/>
        <v>0</v>
      </c>
      <c r="S22" s="13"/>
      <c r="T22" s="13"/>
      <c r="U22" s="13"/>
      <c r="V22" s="13"/>
      <c r="W22" s="13"/>
      <c r="X22" s="13">
        <f t="shared" si="14"/>
        <v>0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1:63">
      <c r="A23" s="4" t="s">
        <v>324</v>
      </c>
      <c r="B23" s="13">
        <f t="shared" si="0"/>
        <v>1190675</v>
      </c>
      <c r="C23" s="13">
        <f t="shared" si="1"/>
        <v>0</v>
      </c>
      <c r="D23" s="13"/>
      <c r="E23" s="13">
        <v>1190675</v>
      </c>
      <c r="F23" s="13"/>
      <c r="G23" s="13"/>
      <c r="H23" s="13"/>
      <c r="I23" s="13"/>
      <c r="J23" s="13"/>
      <c r="K23" s="13">
        <v>1195183.75</v>
      </c>
      <c r="L23" s="13"/>
      <c r="M23" s="13"/>
      <c r="N23" s="13"/>
      <c r="O23" s="13"/>
      <c r="P23" s="13"/>
      <c r="Q23" s="13"/>
      <c r="R23" s="13">
        <f t="shared" si="15"/>
        <v>0</v>
      </c>
      <c r="S23" s="13"/>
      <c r="T23" s="13"/>
      <c r="U23" s="13"/>
      <c r="V23" s="13"/>
      <c r="W23" s="13"/>
      <c r="X23" s="13">
        <f t="shared" si="14"/>
        <v>0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1:63">
      <c r="A24" s="4" t="s">
        <v>325</v>
      </c>
      <c r="B24" s="13">
        <f t="shared" si="0"/>
        <v>0</v>
      </c>
      <c r="C24" s="13">
        <f t="shared" si="1"/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>
        <f t="shared" si="15"/>
        <v>0</v>
      </c>
      <c r="S24" s="13"/>
      <c r="T24" s="13"/>
      <c r="U24" s="13"/>
      <c r="V24" s="13"/>
      <c r="W24" s="13"/>
      <c r="X24" s="13">
        <f t="shared" si="14"/>
        <v>0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1:63">
      <c r="A25" s="4" t="s">
        <v>326</v>
      </c>
      <c r="B25" s="13">
        <f t="shared" si="0"/>
        <v>0</v>
      </c>
      <c r="C25" s="13">
        <f t="shared" si="1"/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>
        <f t="shared" si="15"/>
        <v>0</v>
      </c>
      <c r="S25" s="13"/>
      <c r="T25" s="13"/>
      <c r="U25" s="13"/>
      <c r="V25" s="13"/>
      <c r="W25" s="13"/>
      <c r="X25" s="13">
        <f t="shared" si="14"/>
        <v>0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1:63">
      <c r="A26" s="4" t="s">
        <v>327</v>
      </c>
      <c r="B26" s="13">
        <f t="shared" si="0"/>
        <v>0</v>
      </c>
      <c r="C26" s="13">
        <f t="shared" si="1"/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>
        <f t="shared" si="15"/>
        <v>0</v>
      </c>
      <c r="S26" s="13"/>
      <c r="T26" s="13"/>
      <c r="U26" s="13"/>
      <c r="V26" s="13"/>
      <c r="W26" s="13"/>
      <c r="X26" s="13">
        <f t="shared" si="14"/>
        <v>0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1:63">
      <c r="A27" s="4" t="s">
        <v>328</v>
      </c>
      <c r="B27" s="13">
        <f t="shared" si="0"/>
        <v>0</v>
      </c>
      <c r="C27" s="13">
        <f t="shared" si="1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>
        <f t="shared" si="15"/>
        <v>0</v>
      </c>
      <c r="S27" s="13"/>
      <c r="T27" s="13"/>
      <c r="U27" s="13"/>
      <c r="V27" s="13"/>
      <c r="W27" s="13"/>
      <c r="X27" s="13">
        <f t="shared" si="14"/>
        <v>0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1:63">
      <c r="A28" s="4" t="s">
        <v>329</v>
      </c>
      <c r="B28" s="13">
        <f t="shared" si="0"/>
        <v>0</v>
      </c>
      <c r="C28" s="13">
        <f t="shared" si="1"/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>
        <f t="shared" si="15"/>
        <v>0</v>
      </c>
      <c r="S28" s="13"/>
      <c r="T28" s="13"/>
      <c r="U28" s="13"/>
      <c r="V28" s="13"/>
      <c r="W28" s="13"/>
      <c r="X28" s="13">
        <f>SUM(Y28:AC28)</f>
        <v>17198420</v>
      </c>
      <c r="Y28" s="13">
        <v>17135420</v>
      </c>
      <c r="Z28" s="13">
        <v>63000</v>
      </c>
      <c r="AA28" s="13"/>
      <c r="AB28" s="13"/>
      <c r="AC28" s="13"/>
      <c r="AD28" s="13">
        <v>35803.75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1:63">
      <c r="A29" s="4" t="s">
        <v>330</v>
      </c>
      <c r="B29" s="13">
        <f t="shared" si="0"/>
        <v>39323144</v>
      </c>
      <c r="C29" s="13">
        <f t="shared" si="1"/>
        <v>0</v>
      </c>
      <c r="D29" s="13"/>
      <c r="E29" s="13"/>
      <c r="F29" s="13">
        <v>39323144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>
        <f t="shared" si="15"/>
        <v>0</v>
      </c>
      <c r="S29" s="13"/>
      <c r="T29" s="13"/>
      <c r="U29" s="13"/>
      <c r="V29" s="13"/>
      <c r="W29" s="13">
        <v>88318.546875</v>
      </c>
      <c r="X29" s="13">
        <f>SUM(Y29:AC29)</f>
        <v>0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1:63">
      <c r="A30" s="4" t="s">
        <v>331</v>
      </c>
      <c r="B30" s="13">
        <f t="shared" si="0"/>
        <v>0</v>
      </c>
      <c r="C30" s="13">
        <f t="shared" si="1"/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>
        <v>221560</v>
      </c>
      <c r="S30" s="13">
        <v>221560</v>
      </c>
      <c r="T30" s="13"/>
      <c r="U30" s="13"/>
      <c r="V30" s="13"/>
      <c r="W30" s="13"/>
      <c r="X30" s="13">
        <f t="shared" si="14"/>
        <v>0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1:63" s="18" customFormat="1">
      <c r="A31" s="16" t="s">
        <v>332</v>
      </c>
      <c r="B31" s="17">
        <f t="shared" si="0"/>
        <v>1583014.125</v>
      </c>
      <c r="C31" s="17">
        <f>H31+I31</f>
        <v>0</v>
      </c>
      <c r="D31" s="17">
        <f>SUM(D32:D42)</f>
        <v>1583014.125</v>
      </c>
      <c r="E31" s="17">
        <f>SUM(E32:E42)</f>
        <v>0</v>
      </c>
      <c r="F31" s="17">
        <f t="shared" ref="F31:M31" si="16">SUM(F32:F42)</f>
        <v>0</v>
      </c>
      <c r="G31" s="17">
        <f t="shared" si="16"/>
        <v>0</v>
      </c>
      <c r="H31" s="17">
        <f t="shared" si="16"/>
        <v>0</v>
      </c>
      <c r="I31" s="17">
        <f t="shared" si="16"/>
        <v>0</v>
      </c>
      <c r="J31" s="17">
        <f t="shared" si="16"/>
        <v>0</v>
      </c>
      <c r="K31" s="17">
        <f t="shared" si="16"/>
        <v>0</v>
      </c>
      <c r="L31" s="17">
        <f t="shared" si="16"/>
        <v>0</v>
      </c>
      <c r="M31" s="17">
        <f t="shared" si="16"/>
        <v>0</v>
      </c>
      <c r="N31" s="17">
        <f>SUM(N32:N42)</f>
        <v>1183.47900390625</v>
      </c>
      <c r="O31" s="17">
        <v>0</v>
      </c>
      <c r="P31" s="17">
        <v>0</v>
      </c>
      <c r="Q31" s="17">
        <f t="shared" ref="Q31:BF31" si="17">SUM(Q32:Q42)</f>
        <v>0</v>
      </c>
      <c r="R31" s="17">
        <f t="shared" si="17"/>
        <v>0</v>
      </c>
      <c r="S31" s="17">
        <f t="shared" si="17"/>
        <v>0</v>
      </c>
      <c r="T31" s="17">
        <f t="shared" si="17"/>
        <v>0</v>
      </c>
      <c r="U31" s="17">
        <f t="shared" si="17"/>
        <v>0</v>
      </c>
      <c r="V31" s="17">
        <f t="shared" si="17"/>
        <v>0</v>
      </c>
      <c r="W31" s="17">
        <f t="shared" si="17"/>
        <v>11436.4375</v>
      </c>
      <c r="X31" s="17">
        <f t="shared" si="3"/>
        <v>0</v>
      </c>
      <c r="Y31" s="17">
        <f t="shared" si="17"/>
        <v>0</v>
      </c>
      <c r="Z31" s="17">
        <f t="shared" si="17"/>
        <v>0</v>
      </c>
      <c r="AA31" s="17">
        <f t="shared" si="17"/>
        <v>0</v>
      </c>
      <c r="AB31" s="17">
        <f t="shared" si="17"/>
        <v>0</v>
      </c>
      <c r="AC31" s="17">
        <f t="shared" si="17"/>
        <v>0</v>
      </c>
      <c r="AD31" s="17">
        <f t="shared" si="17"/>
        <v>0</v>
      </c>
      <c r="AE31" s="17">
        <f t="shared" si="17"/>
        <v>0</v>
      </c>
      <c r="AF31" s="17">
        <f t="shared" si="17"/>
        <v>0</v>
      </c>
      <c r="AG31" s="17">
        <f t="shared" si="17"/>
        <v>0</v>
      </c>
      <c r="AH31" s="17">
        <f t="shared" si="17"/>
        <v>0</v>
      </c>
      <c r="AI31" s="17">
        <f t="shared" si="17"/>
        <v>0</v>
      </c>
      <c r="AJ31" s="17">
        <f t="shared" si="17"/>
        <v>0</v>
      </c>
      <c r="AK31" s="17">
        <f t="shared" si="17"/>
        <v>0</v>
      </c>
      <c r="AL31" s="17">
        <f t="shared" si="17"/>
        <v>0</v>
      </c>
      <c r="AM31" s="17">
        <f t="shared" si="17"/>
        <v>0</v>
      </c>
      <c r="AN31" s="17">
        <f t="shared" si="17"/>
        <v>0</v>
      </c>
      <c r="AO31" s="17">
        <f t="shared" si="17"/>
        <v>0</v>
      </c>
      <c r="AP31" s="17">
        <f t="shared" si="17"/>
        <v>0</v>
      </c>
      <c r="AQ31" s="17">
        <f t="shared" si="17"/>
        <v>0</v>
      </c>
      <c r="AR31" s="17">
        <f t="shared" si="17"/>
        <v>0</v>
      </c>
      <c r="AS31" s="17">
        <f t="shared" si="17"/>
        <v>0</v>
      </c>
      <c r="AT31" s="17">
        <f t="shared" si="17"/>
        <v>0</v>
      </c>
      <c r="AU31" s="17">
        <f t="shared" si="17"/>
        <v>0</v>
      </c>
      <c r="AV31" s="17">
        <f t="shared" si="17"/>
        <v>0</v>
      </c>
      <c r="AW31" s="17">
        <f>SUM(AW32:AW42)</f>
        <v>0</v>
      </c>
      <c r="AX31" s="17">
        <f t="shared" si="17"/>
        <v>0</v>
      </c>
      <c r="AY31" s="17">
        <f t="shared" si="17"/>
        <v>0</v>
      </c>
      <c r="AZ31" s="17">
        <f t="shared" si="17"/>
        <v>0</v>
      </c>
      <c r="BA31" s="17">
        <f t="shared" si="17"/>
        <v>0</v>
      </c>
      <c r="BB31" s="17">
        <f t="shared" si="17"/>
        <v>0</v>
      </c>
      <c r="BC31" s="17">
        <f t="shared" si="17"/>
        <v>0</v>
      </c>
      <c r="BD31" s="17">
        <f t="shared" si="17"/>
        <v>0</v>
      </c>
      <c r="BE31" s="17">
        <f>SUM(BE32:BE42)</f>
        <v>38285239</v>
      </c>
      <c r="BF31" s="17">
        <f t="shared" si="17"/>
        <v>0</v>
      </c>
      <c r="BH31" s="20"/>
      <c r="BI31" s="20"/>
      <c r="BJ31" s="20"/>
      <c r="BK31" s="20"/>
    </row>
    <row r="32" spans="1:63">
      <c r="A32" s="4" t="s">
        <v>333</v>
      </c>
      <c r="B32" s="13">
        <f t="shared" si="0"/>
        <v>13070</v>
      </c>
      <c r="C32" s="13">
        <f t="shared" si="1"/>
        <v>0</v>
      </c>
      <c r="D32" s="13">
        <v>13070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>
        <f t="shared" si="15"/>
        <v>0</v>
      </c>
      <c r="S32" s="13"/>
      <c r="T32" s="13"/>
      <c r="U32" s="13"/>
      <c r="V32" s="13"/>
      <c r="W32" s="13"/>
      <c r="X32" s="13">
        <f t="shared" si="3"/>
        <v>0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>
        <v>3245200</v>
      </c>
      <c r="BF32" s="13"/>
    </row>
    <row r="33" spans="1:65">
      <c r="A33" s="4" t="s">
        <v>334</v>
      </c>
      <c r="B33" s="13">
        <f t="shared" si="0"/>
        <v>0</v>
      </c>
      <c r="C33" s="13">
        <f t="shared" si="1"/>
        <v>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>
        <f t="shared" si="15"/>
        <v>0</v>
      </c>
      <c r="S33" s="13"/>
      <c r="T33" s="13"/>
      <c r="U33" s="13"/>
      <c r="V33" s="13"/>
      <c r="W33" s="13"/>
      <c r="X33" s="13">
        <f t="shared" si="3"/>
        <v>0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1:65">
      <c r="A34" s="4" t="s">
        <v>323</v>
      </c>
      <c r="B34" s="13">
        <f t="shared" si="0"/>
        <v>1569944.125</v>
      </c>
      <c r="C34" s="13">
        <f t="shared" si="1"/>
        <v>0</v>
      </c>
      <c r="D34" s="13">
        <v>1569944.125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>
        <f t="shared" si="15"/>
        <v>0</v>
      </c>
      <c r="S34" s="13"/>
      <c r="T34" s="13"/>
      <c r="U34" s="13"/>
      <c r="V34" s="13"/>
      <c r="W34" s="13"/>
      <c r="X34" s="13">
        <f t="shared" si="3"/>
        <v>0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1:65">
      <c r="A35" s="4" t="s">
        <v>324</v>
      </c>
      <c r="B35" s="13">
        <f t="shared" si="0"/>
        <v>0</v>
      </c>
      <c r="C35" s="13">
        <f t="shared" si="1"/>
        <v>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>
        <f t="shared" si="15"/>
        <v>0</v>
      </c>
      <c r="S35" s="13"/>
      <c r="T35" s="13"/>
      <c r="U35" s="13"/>
      <c r="V35" s="13"/>
      <c r="W35" s="13"/>
      <c r="X35" s="13">
        <f t="shared" si="3"/>
        <v>0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1:65">
      <c r="A36" s="4" t="s">
        <v>325</v>
      </c>
      <c r="B36" s="13">
        <f t="shared" si="0"/>
        <v>0</v>
      </c>
      <c r="C36" s="13">
        <f t="shared" si="1"/>
        <v>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>
        <f t="shared" si="15"/>
        <v>0</v>
      </c>
      <c r="S36" s="13"/>
      <c r="T36" s="13"/>
      <c r="U36" s="13"/>
      <c r="V36" s="13"/>
      <c r="W36" s="13"/>
      <c r="X36" s="13">
        <f t="shared" si="3"/>
        <v>0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1:65">
      <c r="A37" s="4" t="s">
        <v>335</v>
      </c>
      <c r="B37" s="13">
        <f t="shared" si="0"/>
        <v>0</v>
      </c>
      <c r="C37" s="13">
        <f t="shared" si="1"/>
        <v>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>
        <f t="shared" si="15"/>
        <v>0</v>
      </c>
      <c r="S37" s="13"/>
      <c r="T37" s="13"/>
      <c r="U37" s="13"/>
      <c r="V37" s="13"/>
      <c r="W37" s="13"/>
      <c r="X37" s="13">
        <f t="shared" si="3"/>
        <v>0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1:65">
      <c r="A38" s="4" t="s">
        <v>329</v>
      </c>
      <c r="B38" s="13">
        <f t="shared" si="0"/>
        <v>0</v>
      </c>
      <c r="C38" s="13">
        <f t="shared" si="1"/>
        <v>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>
        <f t="shared" si="15"/>
        <v>0</v>
      </c>
      <c r="S38" s="13"/>
      <c r="T38" s="13"/>
      <c r="U38" s="13"/>
      <c r="V38" s="13"/>
      <c r="W38" s="13"/>
      <c r="X38" s="13">
        <f t="shared" si="3"/>
        <v>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>
        <v>12404280</v>
      </c>
      <c r="BF38" s="13"/>
    </row>
    <row r="39" spans="1:65">
      <c r="A39" s="12" t="s">
        <v>336</v>
      </c>
      <c r="B39" s="13">
        <f t="shared" si="0"/>
        <v>0</v>
      </c>
      <c r="C39" s="13">
        <f>H39+I39</f>
        <v>0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>
        <v>1183.47900390625</v>
      </c>
      <c r="O39" s="13"/>
      <c r="P39" s="13"/>
      <c r="Q39" s="13"/>
      <c r="R39" s="13">
        <f t="shared" si="15"/>
        <v>0</v>
      </c>
      <c r="S39" s="13"/>
      <c r="T39" s="13"/>
      <c r="U39" s="13"/>
      <c r="V39" s="13"/>
      <c r="W39" s="13">
        <v>11436.4375</v>
      </c>
      <c r="X39" s="13">
        <f t="shared" si="3"/>
        <v>0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>
        <v>18534000</v>
      </c>
      <c r="BF39" s="13"/>
    </row>
    <row r="40" spans="1:65">
      <c r="A40" s="4" t="s">
        <v>337</v>
      </c>
      <c r="B40" s="13">
        <f t="shared" si="0"/>
        <v>0</v>
      </c>
      <c r="C40" s="13">
        <f t="shared" si="1"/>
        <v>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f t="shared" si="15"/>
        <v>0</v>
      </c>
      <c r="S40" s="13"/>
      <c r="T40" s="13"/>
      <c r="U40" s="13"/>
      <c r="V40" s="13"/>
      <c r="W40" s="13"/>
      <c r="X40" s="13">
        <f t="shared" si="3"/>
        <v>0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>
        <v>4101759</v>
      </c>
      <c r="BF40" s="13"/>
    </row>
    <row r="41" spans="1:65">
      <c r="A41" s="4" t="s">
        <v>338</v>
      </c>
      <c r="B41" s="13">
        <f t="shared" si="0"/>
        <v>0</v>
      </c>
      <c r="C41" s="13">
        <f t="shared" si="1"/>
        <v>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>
        <f t="shared" si="15"/>
        <v>0</v>
      </c>
      <c r="S41" s="13"/>
      <c r="T41" s="13"/>
      <c r="U41" s="13"/>
      <c r="V41" s="13"/>
      <c r="W41" s="13"/>
      <c r="X41" s="13">
        <f t="shared" si="3"/>
        <v>0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1:65">
      <c r="A42" s="4" t="s">
        <v>339</v>
      </c>
      <c r="B42" s="13">
        <f t="shared" si="0"/>
        <v>0</v>
      </c>
      <c r="C42" s="13">
        <f t="shared" si="1"/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>
        <f t="shared" si="15"/>
        <v>0</v>
      </c>
      <c r="S42" s="13"/>
      <c r="T42" s="13"/>
      <c r="U42" s="13"/>
      <c r="V42" s="13"/>
      <c r="W42" s="13"/>
      <c r="X42" s="13">
        <f t="shared" si="3"/>
        <v>0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1:65">
      <c r="A43" s="12" t="s">
        <v>340</v>
      </c>
      <c r="B43" s="13">
        <f t="shared" si="0"/>
        <v>0</v>
      </c>
      <c r="C43" s="13">
        <f t="shared" si="1"/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>
        <f t="shared" si="15"/>
        <v>0</v>
      </c>
      <c r="S43" s="13"/>
      <c r="T43" s="13"/>
      <c r="U43" s="13"/>
      <c r="V43" s="13"/>
      <c r="W43" s="13"/>
      <c r="X43" s="13">
        <f t="shared" si="3"/>
        <v>0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>
        <v>21086002</v>
      </c>
      <c r="BF43" s="13"/>
    </row>
    <row r="44" spans="1:65" s="18" customFormat="1" ht="15.6">
      <c r="A44" s="16" t="s">
        <v>341</v>
      </c>
      <c r="B44" s="17">
        <f t="shared" si="0"/>
        <v>16085299.125</v>
      </c>
      <c r="C44" s="17">
        <f t="shared" si="1"/>
        <v>0</v>
      </c>
      <c r="D44" s="17">
        <f t="shared" ref="D44:M44" si="18">D45+D59+D67</f>
        <v>59661</v>
      </c>
      <c r="E44" s="17">
        <f t="shared" si="18"/>
        <v>0</v>
      </c>
      <c r="F44" s="17">
        <f>F45+F59+F67</f>
        <v>16025638.125</v>
      </c>
      <c r="G44" s="17">
        <f t="shared" si="18"/>
        <v>0</v>
      </c>
      <c r="H44" s="17">
        <f t="shared" si="18"/>
        <v>0</v>
      </c>
      <c r="I44" s="17">
        <f t="shared" si="18"/>
        <v>0</v>
      </c>
      <c r="J44" s="17">
        <f t="shared" si="18"/>
        <v>0</v>
      </c>
      <c r="K44" s="17">
        <f t="shared" si="18"/>
        <v>194564.796875</v>
      </c>
      <c r="L44" s="17">
        <f t="shared" si="18"/>
        <v>0</v>
      </c>
      <c r="M44" s="17">
        <f t="shared" si="18"/>
        <v>0</v>
      </c>
      <c r="N44" s="17">
        <f>N45+N59+N67</f>
        <v>23914.453944206238</v>
      </c>
      <c r="O44" s="17">
        <v>0</v>
      </c>
      <c r="P44" s="17">
        <f t="shared" ref="P44:AT44" si="19">P45+P59+P67</f>
        <v>22961</v>
      </c>
      <c r="Q44" s="17">
        <f t="shared" si="19"/>
        <v>0</v>
      </c>
      <c r="R44" s="17">
        <f t="shared" si="19"/>
        <v>425901.1015625</v>
      </c>
      <c r="S44" s="17">
        <f t="shared" si="19"/>
        <v>425901.1015625</v>
      </c>
      <c r="T44" s="17">
        <f t="shared" si="19"/>
        <v>0</v>
      </c>
      <c r="U44" s="17">
        <f t="shared" si="19"/>
        <v>0</v>
      </c>
      <c r="V44" s="17">
        <f t="shared" si="19"/>
        <v>0</v>
      </c>
      <c r="W44" s="17">
        <f t="shared" si="19"/>
        <v>85693.523286819458</v>
      </c>
      <c r="X44" s="17">
        <f t="shared" si="3"/>
        <v>0</v>
      </c>
      <c r="Y44" s="17">
        <f t="shared" si="19"/>
        <v>0</v>
      </c>
      <c r="Z44" s="17">
        <f t="shared" si="19"/>
        <v>0</v>
      </c>
      <c r="AA44" s="17">
        <f t="shared" si="19"/>
        <v>0</v>
      </c>
      <c r="AB44" s="17">
        <f t="shared" si="19"/>
        <v>0</v>
      </c>
      <c r="AC44" s="17">
        <f t="shared" si="19"/>
        <v>0</v>
      </c>
      <c r="AD44" s="17">
        <f t="shared" si="19"/>
        <v>0</v>
      </c>
      <c r="AE44" s="17">
        <f t="shared" si="19"/>
        <v>0</v>
      </c>
      <c r="AF44" s="17">
        <f>AF45+AF59+AF67</f>
        <v>566326.59847259521</v>
      </c>
      <c r="AG44" s="17">
        <f>AG45+AG59+AG67</f>
        <v>11812067.959344387</v>
      </c>
      <c r="AH44" s="17">
        <f>AH45+AH59+AH67</f>
        <v>427722.25</v>
      </c>
      <c r="AI44" s="17">
        <f t="shared" si="19"/>
        <v>1356357.5625</v>
      </c>
      <c r="AJ44" s="17">
        <f t="shared" si="19"/>
        <v>1588803.4375</v>
      </c>
      <c r="AK44" s="17">
        <f t="shared" si="19"/>
        <v>687302.78932833672</v>
      </c>
      <c r="AL44" s="17">
        <f t="shared" si="19"/>
        <v>13258458.562438965</v>
      </c>
      <c r="AM44" s="17">
        <f t="shared" si="19"/>
        <v>478101.94293212891</v>
      </c>
      <c r="AN44" s="17">
        <f t="shared" si="19"/>
        <v>296192.78125</v>
      </c>
      <c r="AO44" s="17">
        <f t="shared" si="19"/>
        <v>0</v>
      </c>
      <c r="AP44" s="17">
        <f>AP45+AP59+AP67</f>
        <v>0</v>
      </c>
      <c r="AQ44" s="17">
        <f t="shared" si="19"/>
        <v>0</v>
      </c>
      <c r="AR44" s="17">
        <f t="shared" si="19"/>
        <v>0</v>
      </c>
      <c r="AS44" s="17">
        <f t="shared" si="19"/>
        <v>0</v>
      </c>
      <c r="AT44" s="17">
        <f t="shared" si="19"/>
        <v>0</v>
      </c>
      <c r="AU44" s="17">
        <f>AU45+AU59+AU67</f>
        <v>0</v>
      </c>
      <c r="AV44" s="17">
        <f t="shared" ref="AV44:BD44" si="20">AV45+AV59+AV67</f>
        <v>0</v>
      </c>
      <c r="AW44" s="17">
        <f t="shared" si="20"/>
        <v>0</v>
      </c>
      <c r="AX44" s="17">
        <f t="shared" si="20"/>
        <v>0</v>
      </c>
      <c r="AY44" s="17">
        <f t="shared" si="20"/>
        <v>3869.97998046875</v>
      </c>
      <c r="AZ44" s="17">
        <f t="shared" si="20"/>
        <v>0</v>
      </c>
      <c r="BA44" s="17">
        <f t="shared" si="20"/>
        <v>0</v>
      </c>
      <c r="BB44" s="17">
        <f t="shared" si="20"/>
        <v>0</v>
      </c>
      <c r="BC44" s="17">
        <f t="shared" si="20"/>
        <v>0</v>
      </c>
      <c r="BD44" s="17">
        <f t="shared" si="20"/>
        <v>0</v>
      </c>
      <c r="BE44" s="17">
        <f>BE45+BE59+BE67</f>
        <v>202675074.109375</v>
      </c>
      <c r="BF44" s="17">
        <f>BF45+BF59+BF67</f>
        <v>0</v>
      </c>
      <c r="BG44" s="21"/>
      <c r="BH44" s="21"/>
      <c r="BI44" s="21"/>
      <c r="BJ44" s="21"/>
      <c r="BK44" s="21"/>
      <c r="BL44" s="21"/>
      <c r="BM44" s="21"/>
    </row>
    <row r="45" spans="1:65" s="18" customFormat="1">
      <c r="A45" s="16" t="s">
        <v>342</v>
      </c>
      <c r="B45" s="17">
        <f t="shared" si="0"/>
        <v>11267010</v>
      </c>
      <c r="C45" s="17">
        <f t="shared" si="1"/>
        <v>0</v>
      </c>
      <c r="D45" s="17">
        <f>SUM(D46:D58)</f>
        <v>0</v>
      </c>
      <c r="E45" s="17">
        <f>SUM(E46:E58)</f>
        <v>0</v>
      </c>
      <c r="F45" s="17">
        <f t="shared" ref="F45:M45" si="21">SUM(F46:F58)</f>
        <v>11267010</v>
      </c>
      <c r="G45" s="17">
        <f>SUM(G46:G58)</f>
        <v>0</v>
      </c>
      <c r="H45" s="17">
        <f t="shared" si="21"/>
        <v>0</v>
      </c>
      <c r="I45" s="17">
        <f t="shared" si="21"/>
        <v>0</v>
      </c>
      <c r="J45" s="17">
        <f t="shared" si="21"/>
        <v>0</v>
      </c>
      <c r="K45" s="17">
        <f t="shared" si="21"/>
        <v>194564.796875</v>
      </c>
      <c r="L45" s="17">
        <f t="shared" si="21"/>
        <v>0</v>
      </c>
      <c r="M45" s="17">
        <f t="shared" si="21"/>
        <v>0</v>
      </c>
      <c r="N45" s="17">
        <f>SUM(N46:N58)</f>
        <v>23914.453944206238</v>
      </c>
      <c r="O45" s="17">
        <v>0</v>
      </c>
      <c r="P45" s="17">
        <f>SUM(P46:P58)</f>
        <v>22961</v>
      </c>
      <c r="Q45" s="17">
        <f t="shared" ref="Q45:BD45" si="22">SUM(Q46:Q58)</f>
        <v>0</v>
      </c>
      <c r="R45" s="17">
        <f t="shared" si="22"/>
        <v>396975.34375</v>
      </c>
      <c r="S45" s="17">
        <f t="shared" si="22"/>
        <v>396975.34375</v>
      </c>
      <c r="T45" s="17">
        <f t="shared" si="22"/>
        <v>0</v>
      </c>
      <c r="U45" s="17">
        <f t="shared" si="22"/>
        <v>0</v>
      </c>
      <c r="V45" s="17">
        <f t="shared" si="22"/>
        <v>0</v>
      </c>
      <c r="W45" s="17">
        <f t="shared" si="22"/>
        <v>84240.725633621216</v>
      </c>
      <c r="X45" s="17">
        <f t="shared" si="3"/>
        <v>0</v>
      </c>
      <c r="Y45" s="17">
        <f t="shared" si="22"/>
        <v>0</v>
      </c>
      <c r="Z45" s="17">
        <f t="shared" si="22"/>
        <v>0</v>
      </c>
      <c r="AA45" s="17">
        <f t="shared" si="22"/>
        <v>0</v>
      </c>
      <c r="AB45" s="17">
        <f t="shared" si="22"/>
        <v>0</v>
      </c>
      <c r="AC45" s="17">
        <f t="shared" si="22"/>
        <v>0</v>
      </c>
      <c r="AD45" s="17">
        <f t="shared" si="22"/>
        <v>0</v>
      </c>
      <c r="AE45" s="17">
        <f t="shared" si="22"/>
        <v>0</v>
      </c>
      <c r="AF45" s="17">
        <f t="shared" si="22"/>
        <v>29561.080810546875</v>
      </c>
      <c r="AG45" s="17">
        <f>SUM(AG46:AG58)</f>
        <v>100856.47893667221</v>
      </c>
      <c r="AH45" s="17">
        <f>SUM(AH46:AH58)</f>
        <v>0</v>
      </c>
      <c r="AI45" s="17">
        <f t="shared" si="22"/>
        <v>0</v>
      </c>
      <c r="AJ45" s="17">
        <f t="shared" si="22"/>
        <v>0</v>
      </c>
      <c r="AK45" s="17">
        <f t="shared" si="22"/>
        <v>44707.520958185196</v>
      </c>
      <c r="AL45" s="17">
        <f t="shared" si="22"/>
        <v>1543839.8068237305</v>
      </c>
      <c r="AM45" s="17">
        <f t="shared" si="22"/>
        <v>375479.36480712891</v>
      </c>
      <c r="AN45" s="17">
        <f t="shared" si="22"/>
        <v>296192.78125</v>
      </c>
      <c r="AO45" s="17">
        <f t="shared" si="22"/>
        <v>0</v>
      </c>
      <c r="AP45" s="17">
        <f>SUM(AP46:AP58)</f>
        <v>0</v>
      </c>
      <c r="AQ45" s="17">
        <f>SUM(AQ46:AQ58)</f>
        <v>0</v>
      </c>
      <c r="AR45" s="17">
        <f t="shared" si="22"/>
        <v>0</v>
      </c>
      <c r="AS45" s="17">
        <f t="shared" si="22"/>
        <v>0</v>
      </c>
      <c r="AT45" s="17">
        <f t="shared" si="22"/>
        <v>0</v>
      </c>
      <c r="AU45" s="17">
        <f t="shared" si="22"/>
        <v>0</v>
      </c>
      <c r="AV45" s="17">
        <f t="shared" si="22"/>
        <v>0</v>
      </c>
      <c r="AW45" s="17">
        <f t="shared" si="22"/>
        <v>0</v>
      </c>
      <c r="AX45" s="17">
        <f t="shared" si="22"/>
        <v>0</v>
      </c>
      <c r="AY45" s="17">
        <f t="shared" si="22"/>
        <v>0</v>
      </c>
      <c r="AZ45" s="17">
        <f t="shared" si="22"/>
        <v>0</v>
      </c>
      <c r="BA45" s="17">
        <f t="shared" si="22"/>
        <v>0</v>
      </c>
      <c r="BB45" s="17">
        <f t="shared" si="22"/>
        <v>0</v>
      </c>
      <c r="BC45" s="17">
        <f t="shared" si="22"/>
        <v>0</v>
      </c>
      <c r="BD45" s="17">
        <f t="shared" si="22"/>
        <v>0</v>
      </c>
      <c r="BE45" s="17">
        <f>SUM(BE46:BE58)</f>
        <v>107107256.5703125</v>
      </c>
      <c r="BF45" s="17">
        <f>SUM(BF46:BF58)</f>
        <v>0</v>
      </c>
      <c r="BG45" s="22"/>
    </row>
    <row r="46" spans="1:65">
      <c r="A46" s="12" t="s">
        <v>343</v>
      </c>
      <c r="B46" s="13">
        <f t="shared" si="0"/>
        <v>2804774</v>
      </c>
      <c r="C46" s="13">
        <f t="shared" si="1"/>
        <v>0</v>
      </c>
      <c r="D46" s="13"/>
      <c r="E46" s="13"/>
      <c r="F46" s="13">
        <v>2804774</v>
      </c>
      <c r="G46" s="13"/>
      <c r="H46" s="13"/>
      <c r="I46" s="13"/>
      <c r="J46" s="13"/>
      <c r="K46" s="13">
        <v>194564.796875</v>
      </c>
      <c r="L46" s="13"/>
      <c r="M46" s="13"/>
      <c r="N46" s="13">
        <v>6049.716796875</v>
      </c>
      <c r="O46" s="13">
        <v>23257.001953125</v>
      </c>
      <c r="P46" s="13">
        <v>22961</v>
      </c>
      <c r="Q46" s="13"/>
      <c r="R46" s="13">
        <f t="shared" ref="R46:R58" si="23">SUM(S46:V46)</f>
        <v>0</v>
      </c>
      <c r="S46" s="13"/>
      <c r="T46" s="13"/>
      <c r="U46" s="13"/>
      <c r="V46" s="13"/>
      <c r="W46" s="13">
        <v>9877.6650390625</v>
      </c>
      <c r="X46" s="13">
        <f t="shared" si="3"/>
        <v>0</v>
      </c>
      <c r="Y46" s="13"/>
      <c r="Z46" s="13"/>
      <c r="AA46" s="13"/>
      <c r="AB46" s="13"/>
      <c r="AC46" s="13"/>
      <c r="AD46" s="13"/>
      <c r="AE46" s="13"/>
      <c r="AF46" s="13"/>
      <c r="AG46" s="13">
        <v>128.89999389648438</v>
      </c>
      <c r="AH46" s="13"/>
      <c r="AI46" s="13"/>
      <c r="AJ46" s="13"/>
      <c r="AK46" s="13">
        <v>2.3199999332427979</v>
      </c>
      <c r="AL46" s="13">
        <v>9699.4404296875</v>
      </c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>
        <v>19225132</v>
      </c>
      <c r="BF46" s="13"/>
    </row>
    <row r="47" spans="1:65">
      <c r="A47" s="12" t="s">
        <v>344</v>
      </c>
      <c r="B47" s="13">
        <f t="shared" si="0"/>
        <v>1832853</v>
      </c>
      <c r="C47" s="13">
        <f t="shared" si="1"/>
        <v>0</v>
      </c>
      <c r="D47" s="13"/>
      <c r="E47" s="13"/>
      <c r="F47" s="13">
        <v>1832853</v>
      </c>
      <c r="G47" s="13"/>
      <c r="H47" s="13"/>
      <c r="I47" s="13"/>
      <c r="J47" s="13"/>
      <c r="K47" s="13"/>
      <c r="L47" s="13"/>
      <c r="M47" s="13"/>
      <c r="N47" s="13">
        <v>5246.56103515625</v>
      </c>
      <c r="O47" s="13"/>
      <c r="P47" s="13"/>
      <c r="Q47" s="13"/>
      <c r="R47" s="13">
        <f t="shared" si="23"/>
        <v>0</v>
      </c>
      <c r="S47" s="13"/>
      <c r="T47" s="13"/>
      <c r="U47" s="13"/>
      <c r="V47" s="13"/>
      <c r="W47" s="13">
        <v>49995.85546875</v>
      </c>
      <c r="X47" s="13">
        <f t="shared" si="3"/>
        <v>0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>
        <v>4422.39013671875</v>
      </c>
      <c r="AL47" s="13">
        <v>547.57000732421875</v>
      </c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>
        <v>8838487</v>
      </c>
      <c r="BF47" s="13"/>
    </row>
    <row r="48" spans="1:65">
      <c r="A48" s="4" t="s">
        <v>345</v>
      </c>
      <c r="B48" s="13">
        <f t="shared" si="0"/>
        <v>128933</v>
      </c>
      <c r="C48" s="13">
        <f t="shared" si="1"/>
        <v>0</v>
      </c>
      <c r="D48" s="13"/>
      <c r="E48" s="13"/>
      <c r="F48" s="13">
        <v>128933</v>
      </c>
      <c r="G48" s="13"/>
      <c r="H48" s="13"/>
      <c r="I48" s="13"/>
      <c r="J48" s="13"/>
      <c r="K48" s="13"/>
      <c r="L48" s="13"/>
      <c r="M48" s="13"/>
      <c r="N48" s="13">
        <v>1747.2359619140625</v>
      </c>
      <c r="O48" s="13"/>
      <c r="P48" s="13"/>
      <c r="Q48" s="13"/>
      <c r="R48" s="13">
        <f t="shared" si="23"/>
        <v>0</v>
      </c>
      <c r="S48" s="13"/>
      <c r="T48" s="13"/>
      <c r="U48" s="13"/>
      <c r="V48" s="13"/>
      <c r="W48" s="13">
        <v>506.87100219726563</v>
      </c>
      <c r="X48" s="13">
        <f t="shared" si="3"/>
        <v>0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>
        <v>538.07000732421875</v>
      </c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>
        <v>15021979</v>
      </c>
      <c r="BF48" s="13"/>
    </row>
    <row r="49" spans="1:59">
      <c r="A49" s="12" t="s">
        <v>346</v>
      </c>
      <c r="B49" s="13">
        <f t="shared" si="0"/>
        <v>1626011</v>
      </c>
      <c r="C49" s="13">
        <f t="shared" si="1"/>
        <v>0</v>
      </c>
      <c r="D49" s="13"/>
      <c r="E49" s="13"/>
      <c r="F49" s="13">
        <v>1626011</v>
      </c>
      <c r="G49" s="13"/>
      <c r="H49" s="13"/>
      <c r="I49" s="13"/>
      <c r="J49" s="13"/>
      <c r="K49" s="13"/>
      <c r="L49" s="13"/>
      <c r="M49" s="13"/>
      <c r="N49" s="13">
        <v>375.59799194335938</v>
      </c>
      <c r="O49" s="13"/>
      <c r="P49" s="13"/>
      <c r="Q49" s="13"/>
      <c r="R49" s="13">
        <f t="shared" si="23"/>
        <v>0</v>
      </c>
      <c r="S49" s="13"/>
      <c r="T49" s="13"/>
      <c r="U49" s="13"/>
      <c r="V49" s="13"/>
      <c r="W49" s="13">
        <v>15122.775390625</v>
      </c>
      <c r="X49" s="13">
        <f t="shared" si="3"/>
        <v>0</v>
      </c>
      <c r="Y49" s="13"/>
      <c r="Z49" s="13"/>
      <c r="AA49" s="13"/>
      <c r="AB49" s="13"/>
      <c r="AC49" s="13"/>
      <c r="AD49" s="13"/>
      <c r="AE49" s="13"/>
      <c r="AF49" s="13"/>
      <c r="AG49" s="13">
        <v>1577.5899658203125</v>
      </c>
      <c r="AH49" s="13"/>
      <c r="AI49" s="13"/>
      <c r="AJ49" s="13"/>
      <c r="AK49" s="13">
        <v>501.25</v>
      </c>
      <c r="AL49" s="13">
        <v>6253.240234375</v>
      </c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>
        <v>2456485</v>
      </c>
      <c r="BF49" s="13"/>
    </row>
    <row r="50" spans="1:59">
      <c r="A50" s="4" t="s">
        <v>347</v>
      </c>
      <c r="B50" s="13">
        <f t="shared" si="0"/>
        <v>0</v>
      </c>
      <c r="C50" s="13">
        <f t="shared" si="1"/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>
        <v>14.824000358581543</v>
      </c>
      <c r="O50" s="13"/>
      <c r="P50" s="13"/>
      <c r="Q50" s="13"/>
      <c r="R50" s="13">
        <f t="shared" si="23"/>
        <v>0</v>
      </c>
      <c r="S50" s="13"/>
      <c r="T50" s="13"/>
      <c r="U50" s="13"/>
      <c r="V50" s="13"/>
      <c r="W50" s="13">
        <v>654.31597900390625</v>
      </c>
      <c r="X50" s="13">
        <f t="shared" si="3"/>
        <v>0</v>
      </c>
      <c r="Y50" s="13"/>
      <c r="Z50" s="13"/>
      <c r="AA50" s="13"/>
      <c r="AB50" s="13"/>
      <c r="AC50" s="13"/>
      <c r="AD50" s="13"/>
      <c r="AE50" s="13"/>
      <c r="AF50" s="13"/>
      <c r="AG50" s="13">
        <v>1193.77001953125</v>
      </c>
      <c r="AH50" s="13"/>
      <c r="AI50" s="13"/>
      <c r="AJ50" s="13"/>
      <c r="AK50" s="13"/>
      <c r="AL50" s="13">
        <v>1139.0899658203125</v>
      </c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>
        <v>53920.56640625</v>
      </c>
      <c r="BF50" s="13"/>
    </row>
    <row r="51" spans="1:59">
      <c r="A51" s="12" t="s">
        <v>348</v>
      </c>
      <c r="B51" s="13">
        <f t="shared" si="0"/>
        <v>0</v>
      </c>
      <c r="C51" s="13">
        <f t="shared" si="1"/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>
        <v>358.18099975585938</v>
      </c>
      <c r="O51" s="13"/>
      <c r="P51" s="13"/>
      <c r="Q51" s="13"/>
      <c r="R51" s="13">
        <f t="shared" si="23"/>
        <v>0</v>
      </c>
      <c r="S51" s="13"/>
      <c r="T51" s="13"/>
      <c r="U51" s="13"/>
      <c r="V51" s="13"/>
      <c r="W51" s="13">
        <v>1054.633056640625</v>
      </c>
      <c r="X51" s="13">
        <f t="shared" si="3"/>
        <v>0</v>
      </c>
      <c r="Y51" s="13"/>
      <c r="Z51" s="13"/>
      <c r="AA51" s="13"/>
      <c r="AB51" s="13"/>
      <c r="AC51" s="13"/>
      <c r="AD51" s="13"/>
      <c r="AE51" s="13"/>
      <c r="AF51" s="13">
        <v>20816.880859375</v>
      </c>
      <c r="AG51" s="13"/>
      <c r="AH51" s="13"/>
      <c r="AI51" s="13"/>
      <c r="AJ51" s="13"/>
      <c r="AK51" s="13"/>
      <c r="AL51" s="13">
        <v>3335.239990234375</v>
      </c>
      <c r="AM51" s="13">
        <v>8222.69921875</v>
      </c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>
        <v>58788.66015625</v>
      </c>
      <c r="BF51" s="13"/>
    </row>
    <row r="52" spans="1:59">
      <c r="A52" s="12" t="s">
        <v>349</v>
      </c>
      <c r="B52" s="13">
        <f t="shared" si="0"/>
        <v>52188</v>
      </c>
      <c r="C52" s="13">
        <f t="shared" si="1"/>
        <v>0</v>
      </c>
      <c r="D52" s="13"/>
      <c r="E52" s="13"/>
      <c r="F52" s="13">
        <v>52188</v>
      </c>
      <c r="G52" s="13"/>
      <c r="H52" s="13"/>
      <c r="I52" s="13"/>
      <c r="J52" s="13"/>
      <c r="K52" s="13"/>
      <c r="L52" s="13"/>
      <c r="M52" s="13"/>
      <c r="N52" s="13">
        <v>1001.4639892578125</v>
      </c>
      <c r="O52" s="13"/>
      <c r="P52" s="13"/>
      <c r="Q52" s="13"/>
      <c r="R52" s="13">
        <f t="shared" si="23"/>
        <v>0</v>
      </c>
      <c r="S52" s="13"/>
      <c r="T52" s="13"/>
      <c r="U52" s="13"/>
      <c r="V52" s="13"/>
      <c r="W52" s="13"/>
      <c r="X52" s="13">
        <f t="shared" si="3"/>
        <v>0</v>
      </c>
      <c r="Y52" s="13"/>
      <c r="Z52" s="13"/>
      <c r="AA52" s="13"/>
      <c r="AB52" s="13"/>
      <c r="AC52" s="13"/>
      <c r="AD52" s="13"/>
      <c r="AE52" s="13"/>
      <c r="AF52" s="13">
        <v>5088.2900390625</v>
      </c>
      <c r="AG52" s="13">
        <v>72304.0390625</v>
      </c>
      <c r="AH52" s="13"/>
      <c r="AI52" s="13"/>
      <c r="AJ52" s="13"/>
      <c r="AK52" s="13">
        <v>12389.73046875</v>
      </c>
      <c r="AL52" s="13">
        <v>1300426</v>
      </c>
      <c r="AM52" s="13">
        <v>8742.423828125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>
        <v>30575540</v>
      </c>
      <c r="BF52" s="13"/>
    </row>
    <row r="53" spans="1:59">
      <c r="A53" s="12" t="s">
        <v>350</v>
      </c>
      <c r="B53" s="13">
        <f t="shared" si="0"/>
        <v>0</v>
      </c>
      <c r="C53" s="13">
        <f t="shared" si="1"/>
        <v>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>
        <v>3541.3291015625</v>
      </c>
      <c r="O53" s="13"/>
      <c r="P53" s="13"/>
      <c r="Q53" s="13"/>
      <c r="R53" s="13">
        <f t="shared" si="23"/>
        <v>0</v>
      </c>
      <c r="S53" s="13"/>
      <c r="T53" s="13"/>
      <c r="U53" s="13"/>
      <c r="V53" s="13"/>
      <c r="W53" s="13">
        <v>3824.499755859375</v>
      </c>
      <c r="X53" s="13">
        <f t="shared" si="3"/>
        <v>0</v>
      </c>
      <c r="Y53" s="13"/>
      <c r="Z53" s="13"/>
      <c r="AA53" s="13"/>
      <c r="AB53" s="13"/>
      <c r="AC53" s="13"/>
      <c r="AD53" s="13"/>
      <c r="AE53" s="13"/>
      <c r="AF53" s="13"/>
      <c r="AG53" s="13">
        <v>644.40997314453125</v>
      </c>
      <c r="AH53" s="13"/>
      <c r="AI53" s="13"/>
      <c r="AJ53" s="13"/>
      <c r="AK53" s="13">
        <v>3526.1201171875</v>
      </c>
      <c r="AL53" s="13">
        <v>10867.0595703125</v>
      </c>
      <c r="AM53" s="13">
        <v>1313.43701171875</v>
      </c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>
        <v>739856.0625</v>
      </c>
      <c r="BF53" s="13"/>
    </row>
    <row r="54" spans="1:59">
      <c r="A54" s="12" t="s">
        <v>351</v>
      </c>
      <c r="B54" s="13">
        <f t="shared" si="0"/>
        <v>0</v>
      </c>
      <c r="C54" s="13">
        <f t="shared" si="1"/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>
        <v>3541.3291015625</v>
      </c>
      <c r="O54" s="13"/>
      <c r="P54" s="13"/>
      <c r="Q54" s="13"/>
      <c r="R54" s="13">
        <f t="shared" si="23"/>
        <v>0</v>
      </c>
      <c r="S54" s="13"/>
      <c r="T54" s="13"/>
      <c r="U54" s="13"/>
      <c r="V54" s="13"/>
      <c r="W54" s="13">
        <v>624.001708984375</v>
      </c>
      <c r="X54" s="13">
        <f t="shared" si="3"/>
        <v>0</v>
      </c>
      <c r="Y54" s="13"/>
      <c r="Z54" s="13"/>
      <c r="AA54" s="13"/>
      <c r="AB54" s="13"/>
      <c r="AC54" s="13"/>
      <c r="AD54" s="13"/>
      <c r="AE54" s="13"/>
      <c r="AF54" s="13"/>
      <c r="AG54" s="13">
        <v>6.5999999046325684</v>
      </c>
      <c r="AH54" s="13"/>
      <c r="AI54" s="13"/>
      <c r="AJ54" s="13"/>
      <c r="AK54" s="13"/>
      <c r="AL54" s="13">
        <v>2368.030029296875</v>
      </c>
      <c r="AM54" s="13">
        <v>783.25897216796875</v>
      </c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>
        <v>1151347.875</v>
      </c>
      <c r="BF54" s="13"/>
    </row>
    <row r="55" spans="1:59">
      <c r="A55" s="4" t="s">
        <v>352</v>
      </c>
      <c r="B55" s="13">
        <f t="shared" si="0"/>
        <v>0</v>
      </c>
      <c r="C55" s="13">
        <f t="shared" si="1"/>
        <v>0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>
        <f t="shared" si="23"/>
        <v>0</v>
      </c>
      <c r="S55" s="13"/>
      <c r="T55" s="13"/>
      <c r="U55" s="13"/>
      <c r="V55" s="13"/>
      <c r="W55" s="13"/>
      <c r="X55" s="13">
        <f t="shared" si="3"/>
        <v>0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>
        <v>4</v>
      </c>
      <c r="AL55" s="13">
        <v>1181.4100341796875</v>
      </c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>
        <v>332506.9375</v>
      </c>
      <c r="BF55" s="13"/>
    </row>
    <row r="56" spans="1:59">
      <c r="A56" s="4" t="s">
        <v>353</v>
      </c>
      <c r="B56" s="13">
        <f t="shared" si="0"/>
        <v>0</v>
      </c>
      <c r="C56" s="13">
        <f t="shared" si="1"/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>
        <f t="shared" si="23"/>
        <v>0</v>
      </c>
      <c r="S56" s="13"/>
      <c r="T56" s="13"/>
      <c r="U56" s="13"/>
      <c r="V56" s="13"/>
      <c r="W56" s="13"/>
      <c r="X56" s="13">
        <f t="shared" si="3"/>
        <v>0</v>
      </c>
      <c r="Y56" s="13"/>
      <c r="Z56" s="13"/>
      <c r="AA56" s="13"/>
      <c r="AB56" s="13"/>
      <c r="AC56" s="13"/>
      <c r="AD56" s="13"/>
      <c r="AE56" s="13"/>
      <c r="AF56" s="13"/>
      <c r="AG56" s="13">
        <v>6626.169921875</v>
      </c>
      <c r="AH56" s="13"/>
      <c r="AI56" s="13"/>
      <c r="AJ56" s="13"/>
      <c r="AK56" s="13">
        <v>8023.22021484375</v>
      </c>
      <c r="AL56" s="13">
        <v>124469.7890625</v>
      </c>
      <c r="AM56" s="13">
        <v>324577.625</v>
      </c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182369.59375</v>
      </c>
      <c r="BF56" s="13"/>
    </row>
    <row r="57" spans="1:59">
      <c r="A57" s="4" t="s">
        <v>354</v>
      </c>
      <c r="B57" s="13">
        <f t="shared" si="0"/>
        <v>0</v>
      </c>
      <c r="C57" s="13">
        <f t="shared" si="1"/>
        <v>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>
        <f t="shared" si="23"/>
        <v>0</v>
      </c>
      <c r="S57" s="13"/>
      <c r="T57" s="13"/>
      <c r="U57" s="13"/>
      <c r="V57" s="13"/>
      <c r="W57" s="13">
        <v>14.420000076293945</v>
      </c>
      <c r="X57" s="13">
        <f t="shared" si="3"/>
        <v>0</v>
      </c>
      <c r="Y57" s="13"/>
      <c r="Z57" s="13"/>
      <c r="AA57" s="13"/>
      <c r="AB57" s="13"/>
      <c r="AC57" s="13"/>
      <c r="AD57" s="13"/>
      <c r="AE57" s="13"/>
      <c r="AF57" s="13">
        <v>3655.909912109375</v>
      </c>
      <c r="AG57" s="13"/>
      <c r="AH57" s="13"/>
      <c r="AI57" s="13"/>
      <c r="AJ57" s="13"/>
      <c r="AK57" s="13">
        <v>325.42001342773438</v>
      </c>
      <c r="AL57" s="13"/>
      <c r="AM57" s="13">
        <v>516.9949951171875</v>
      </c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>
        <v>164723.875</v>
      </c>
      <c r="BF57" s="13"/>
    </row>
    <row r="58" spans="1:59">
      <c r="A58" s="12" t="s">
        <v>355</v>
      </c>
      <c r="B58" s="13">
        <f t="shared" si="0"/>
        <v>4822251</v>
      </c>
      <c r="C58" s="13">
        <f t="shared" si="1"/>
        <v>0</v>
      </c>
      <c r="D58" s="13"/>
      <c r="E58" s="13"/>
      <c r="F58" s="13">
        <v>4822251</v>
      </c>
      <c r="G58" s="13"/>
      <c r="H58" s="13"/>
      <c r="I58" s="13"/>
      <c r="J58" s="13"/>
      <c r="K58" s="13"/>
      <c r="L58" s="13"/>
      <c r="M58" s="13"/>
      <c r="N58" s="13">
        <v>2038.2149658203125</v>
      </c>
      <c r="O58" s="13"/>
      <c r="P58" s="13"/>
      <c r="Q58" s="13"/>
      <c r="R58" s="13">
        <f t="shared" si="23"/>
        <v>396975.34375</v>
      </c>
      <c r="S58" s="13">
        <v>396975.34375</v>
      </c>
      <c r="T58" s="13"/>
      <c r="U58" s="13"/>
      <c r="V58" s="13"/>
      <c r="W58" s="13">
        <v>2565.688232421875</v>
      </c>
      <c r="X58" s="13">
        <f t="shared" si="3"/>
        <v>0</v>
      </c>
      <c r="Y58" s="13"/>
      <c r="Z58" s="13"/>
      <c r="AA58" s="13"/>
      <c r="AB58" s="13"/>
      <c r="AC58" s="13"/>
      <c r="AD58" s="13"/>
      <c r="AE58" s="13"/>
      <c r="AF58" s="13"/>
      <c r="AG58" s="13">
        <v>18375</v>
      </c>
      <c r="AH58" s="13"/>
      <c r="AI58" s="13"/>
      <c r="AJ58" s="13"/>
      <c r="AK58" s="13">
        <v>14975</v>
      </c>
      <c r="AL58" s="13">
        <v>83552.9375</v>
      </c>
      <c r="AM58" s="13">
        <v>31322.92578125</v>
      </c>
      <c r="AN58" s="13">
        <v>296192.78125</v>
      </c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>
        <v>28306120</v>
      </c>
      <c r="BF58" s="13"/>
    </row>
    <row r="59" spans="1:59" s="18" customFormat="1">
      <c r="A59" s="16" t="s">
        <v>356</v>
      </c>
      <c r="B59" s="17">
        <f t="shared" si="0"/>
        <v>1590</v>
      </c>
      <c r="C59" s="17">
        <f t="shared" si="1"/>
        <v>0</v>
      </c>
      <c r="D59" s="17">
        <f t="shared" ref="D59:M59" si="24">SUM(D60:D66)</f>
        <v>0</v>
      </c>
      <c r="E59" s="17">
        <f t="shared" si="24"/>
        <v>0</v>
      </c>
      <c r="F59" s="17">
        <f t="shared" si="24"/>
        <v>1590</v>
      </c>
      <c r="G59" s="17">
        <f t="shared" si="24"/>
        <v>0</v>
      </c>
      <c r="H59" s="17">
        <f t="shared" si="24"/>
        <v>0</v>
      </c>
      <c r="I59" s="17">
        <f t="shared" si="24"/>
        <v>0</v>
      </c>
      <c r="J59" s="17">
        <f t="shared" si="24"/>
        <v>0</v>
      </c>
      <c r="K59" s="17">
        <f t="shared" si="24"/>
        <v>0</v>
      </c>
      <c r="L59" s="17">
        <f t="shared" si="24"/>
        <v>0</v>
      </c>
      <c r="M59" s="17">
        <f t="shared" si="24"/>
        <v>0</v>
      </c>
      <c r="N59" s="17">
        <f>SUM(N60:N66)</f>
        <v>0</v>
      </c>
      <c r="O59" s="17">
        <v>0</v>
      </c>
      <c r="P59" s="17">
        <v>0</v>
      </c>
      <c r="Q59" s="17">
        <f t="shared" ref="Q59:BD59" si="25">SUM(Q60:Q66)</f>
        <v>0</v>
      </c>
      <c r="R59" s="17">
        <f t="shared" si="25"/>
        <v>0</v>
      </c>
      <c r="S59" s="17">
        <f t="shared" si="25"/>
        <v>0</v>
      </c>
      <c r="T59" s="17">
        <f t="shared" si="25"/>
        <v>0</v>
      </c>
      <c r="U59" s="17">
        <f t="shared" si="25"/>
        <v>0</v>
      </c>
      <c r="V59" s="17">
        <f t="shared" si="25"/>
        <v>0</v>
      </c>
      <c r="W59" s="17">
        <f t="shared" si="25"/>
        <v>0</v>
      </c>
      <c r="X59" s="17">
        <f t="shared" si="3"/>
        <v>0</v>
      </c>
      <c r="Y59" s="17">
        <f t="shared" si="25"/>
        <v>0</v>
      </c>
      <c r="Z59" s="17">
        <f t="shared" si="25"/>
        <v>0</v>
      </c>
      <c r="AA59" s="17">
        <f t="shared" si="25"/>
        <v>0</v>
      </c>
      <c r="AB59" s="17">
        <f t="shared" si="25"/>
        <v>0</v>
      </c>
      <c r="AC59" s="17">
        <f t="shared" si="25"/>
        <v>0</v>
      </c>
      <c r="AD59" s="17">
        <f t="shared" si="25"/>
        <v>0</v>
      </c>
      <c r="AE59" s="17">
        <f t="shared" si="25"/>
        <v>0</v>
      </c>
      <c r="AF59" s="17">
        <f>SUM(AF60:AF66)</f>
        <v>4717.6202087402344</v>
      </c>
      <c r="AG59" s="17">
        <f>SUM(AG60:AG66)</f>
        <v>7876567.2304077148</v>
      </c>
      <c r="AH59" s="17">
        <f>SUM(AH60:AH66)</f>
        <v>427722.25</v>
      </c>
      <c r="AI59" s="17">
        <f t="shared" si="25"/>
        <v>1356357.5625</v>
      </c>
      <c r="AJ59" s="17">
        <f t="shared" si="25"/>
        <v>1588803.4375</v>
      </c>
      <c r="AK59" s="17">
        <f t="shared" si="25"/>
        <v>17501.29962015152</v>
      </c>
      <c r="AL59" s="17">
        <f t="shared" si="25"/>
        <v>9832151.515625</v>
      </c>
      <c r="AM59" s="17">
        <f t="shared" si="25"/>
        <v>29399.658203125</v>
      </c>
      <c r="AN59" s="17">
        <f t="shared" si="25"/>
        <v>0</v>
      </c>
      <c r="AO59" s="17">
        <f t="shared" si="25"/>
        <v>0</v>
      </c>
      <c r="AP59" s="17">
        <f>SUM(AP60:AP66)</f>
        <v>0</v>
      </c>
      <c r="AQ59" s="17">
        <f>SUM(AQ60:AQ66)</f>
        <v>0</v>
      </c>
      <c r="AR59" s="17">
        <f t="shared" si="25"/>
        <v>0</v>
      </c>
      <c r="AS59" s="17">
        <f t="shared" si="25"/>
        <v>0</v>
      </c>
      <c r="AT59" s="17">
        <f t="shared" si="25"/>
        <v>0</v>
      </c>
      <c r="AU59" s="17">
        <f t="shared" si="25"/>
        <v>0</v>
      </c>
      <c r="AV59" s="17">
        <f t="shared" si="25"/>
        <v>0</v>
      </c>
      <c r="AW59" s="17">
        <f t="shared" si="25"/>
        <v>0</v>
      </c>
      <c r="AX59" s="17">
        <f t="shared" si="25"/>
        <v>0</v>
      </c>
      <c r="AY59" s="17">
        <f t="shared" si="25"/>
        <v>0</v>
      </c>
      <c r="AZ59" s="17">
        <f t="shared" si="25"/>
        <v>0</v>
      </c>
      <c r="BA59" s="17">
        <f t="shared" si="25"/>
        <v>0</v>
      </c>
      <c r="BB59" s="17">
        <f t="shared" si="25"/>
        <v>0</v>
      </c>
      <c r="BC59" s="17">
        <f t="shared" si="25"/>
        <v>0</v>
      </c>
      <c r="BD59" s="17">
        <f t="shared" si="25"/>
        <v>0</v>
      </c>
      <c r="BE59" s="17">
        <f>SUM(BE60:BE66)</f>
        <v>3330817.5390625</v>
      </c>
      <c r="BF59" s="17">
        <f>SUM(BF60:BF66)</f>
        <v>0</v>
      </c>
      <c r="BG59" s="22"/>
    </row>
    <row r="60" spans="1:59">
      <c r="A60" s="4" t="s">
        <v>357</v>
      </c>
      <c r="B60" s="13">
        <f t="shared" si="0"/>
        <v>0</v>
      </c>
      <c r="C60" s="13">
        <f t="shared" si="1"/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>
        <f t="shared" ref="R60:R66" si="26">SUM(S60:V60)</f>
        <v>0</v>
      </c>
      <c r="S60" s="13"/>
      <c r="T60" s="13"/>
      <c r="U60" s="13"/>
      <c r="V60" s="13"/>
      <c r="W60" s="13"/>
      <c r="X60" s="13">
        <f t="shared" si="3"/>
        <v>0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>
        <v>427722.25</v>
      </c>
      <c r="AI60" s="13">
        <v>1085086</v>
      </c>
      <c r="AJ60" s="13">
        <v>1271042.75</v>
      </c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</row>
    <row r="61" spans="1:59">
      <c r="A61" s="4" t="s">
        <v>358</v>
      </c>
      <c r="B61" s="13">
        <f t="shared" si="0"/>
        <v>0</v>
      </c>
      <c r="C61" s="13">
        <f t="shared" si="1"/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>
        <f t="shared" si="26"/>
        <v>0</v>
      </c>
      <c r="S61" s="13"/>
      <c r="T61" s="13"/>
      <c r="U61" s="13"/>
      <c r="V61" s="13"/>
      <c r="W61" s="13"/>
      <c r="X61" s="13">
        <f t="shared" si="3"/>
        <v>0</v>
      </c>
      <c r="Y61" s="13"/>
      <c r="Z61" s="13"/>
      <c r="AA61" s="13"/>
      <c r="AB61" s="13"/>
      <c r="AC61" s="13"/>
      <c r="AD61" s="13"/>
      <c r="AE61" s="13"/>
      <c r="AF61" s="13"/>
      <c r="AG61" s="13">
        <v>14022.6904296875</v>
      </c>
      <c r="AH61" s="13"/>
      <c r="AI61" s="13">
        <v>271271.5625</v>
      </c>
      <c r="AJ61" s="13">
        <v>317760.6875</v>
      </c>
      <c r="AK61" s="13">
        <v>473.04000854492188</v>
      </c>
      <c r="AL61" s="13">
        <v>20117.73046875</v>
      </c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>
        <v>73359.734375</v>
      </c>
      <c r="BF61" s="13"/>
    </row>
    <row r="62" spans="1:59">
      <c r="A62" s="4" t="s">
        <v>359</v>
      </c>
      <c r="B62" s="13">
        <f t="shared" si="0"/>
        <v>0</v>
      </c>
      <c r="C62" s="13">
        <f t="shared" si="1"/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>
        <f t="shared" si="26"/>
        <v>0</v>
      </c>
      <c r="S62" s="13"/>
      <c r="T62" s="13"/>
      <c r="U62" s="13"/>
      <c r="V62" s="13"/>
      <c r="W62" s="13"/>
      <c r="X62" s="13">
        <f t="shared" si="3"/>
        <v>0</v>
      </c>
      <c r="Y62" s="13"/>
      <c r="Z62" s="13"/>
      <c r="AA62" s="13"/>
      <c r="AB62" s="13"/>
      <c r="AC62" s="13"/>
      <c r="AD62" s="13"/>
      <c r="AE62" s="13"/>
      <c r="AF62" s="13">
        <v>4391.7001953125</v>
      </c>
      <c r="AG62" s="13">
        <v>7799955</v>
      </c>
      <c r="AH62" s="13"/>
      <c r="AI62" s="13"/>
      <c r="AJ62" s="13"/>
      <c r="AK62" s="13">
        <v>16903.849609375</v>
      </c>
      <c r="AL62" s="13">
        <v>9359175</v>
      </c>
      <c r="AM62" s="13">
        <v>2407.873046875</v>
      </c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>
        <v>46346.015625</v>
      </c>
      <c r="BF62" s="13"/>
    </row>
    <row r="63" spans="1:59">
      <c r="A63" s="4" t="s">
        <v>360</v>
      </c>
      <c r="B63" s="13">
        <f t="shared" si="0"/>
        <v>0</v>
      </c>
      <c r="C63" s="13">
        <f t="shared" si="1"/>
        <v>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>
        <f t="shared" si="26"/>
        <v>0</v>
      </c>
      <c r="S63" s="13"/>
      <c r="T63" s="13"/>
      <c r="U63" s="13"/>
      <c r="V63" s="13"/>
      <c r="W63" s="13"/>
      <c r="X63" s="13">
        <f t="shared" si="3"/>
        <v>0</v>
      </c>
      <c r="Y63" s="13"/>
      <c r="Z63" s="13"/>
      <c r="AA63" s="13"/>
      <c r="AB63" s="13"/>
      <c r="AC63" s="13"/>
      <c r="AD63" s="13"/>
      <c r="AE63" s="13"/>
      <c r="AF63" s="13"/>
      <c r="AG63" s="13">
        <v>59940</v>
      </c>
      <c r="AH63" s="13"/>
      <c r="AI63" s="13"/>
      <c r="AJ63" s="13"/>
      <c r="AK63" s="13">
        <v>3.4000000953674316</v>
      </c>
      <c r="AL63" s="13">
        <v>136104.515625</v>
      </c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>
        <v>2972340.5</v>
      </c>
      <c r="BF63" s="13"/>
    </row>
    <row r="64" spans="1:59">
      <c r="A64" s="4" t="s">
        <v>361</v>
      </c>
      <c r="B64" s="13">
        <f t="shared" si="0"/>
        <v>0</v>
      </c>
      <c r="C64" s="13">
        <f t="shared" si="1"/>
        <v>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>
        <f t="shared" si="26"/>
        <v>0</v>
      </c>
      <c r="S64" s="13"/>
      <c r="T64" s="13"/>
      <c r="U64" s="13"/>
      <c r="V64" s="13"/>
      <c r="W64" s="13"/>
      <c r="X64" s="13">
        <f t="shared" si="3"/>
        <v>0</v>
      </c>
      <c r="Y64" s="13"/>
      <c r="Z64" s="13"/>
      <c r="AA64" s="13"/>
      <c r="AB64" s="13"/>
      <c r="AC64" s="13"/>
      <c r="AD64" s="13"/>
      <c r="AE64" s="13"/>
      <c r="AF64" s="13">
        <v>325.92001342773438</v>
      </c>
      <c r="AG64" s="13">
        <v>815.09002685546875</v>
      </c>
      <c r="AH64" s="13"/>
      <c r="AI64" s="13"/>
      <c r="AJ64" s="13"/>
      <c r="AK64" s="13">
        <v>121.01000213623047</v>
      </c>
      <c r="AL64" s="13">
        <v>19719.26953125</v>
      </c>
      <c r="AM64" s="13">
        <v>26991.78515625</v>
      </c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>
        <v>79716.8984375</v>
      </c>
      <c r="BF64" s="13"/>
    </row>
    <row r="65" spans="1:58">
      <c r="A65" s="4" t="s">
        <v>362</v>
      </c>
      <c r="B65" s="13">
        <f t="shared" si="0"/>
        <v>0</v>
      </c>
      <c r="C65" s="13">
        <f t="shared" si="1"/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>
        <f t="shared" si="26"/>
        <v>0</v>
      </c>
      <c r="S65" s="13"/>
      <c r="T65" s="13"/>
      <c r="U65" s="13"/>
      <c r="V65" s="13"/>
      <c r="W65" s="13"/>
      <c r="X65" s="13">
        <f t="shared" si="3"/>
        <v>0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</row>
    <row r="66" spans="1:58">
      <c r="A66" s="4" t="s">
        <v>363</v>
      </c>
      <c r="B66" s="13">
        <f t="shared" si="0"/>
        <v>1590</v>
      </c>
      <c r="C66" s="13">
        <f t="shared" si="1"/>
        <v>0</v>
      </c>
      <c r="D66" s="13"/>
      <c r="E66" s="13"/>
      <c r="F66" s="13">
        <v>1590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>
        <f t="shared" si="26"/>
        <v>0</v>
      </c>
      <c r="S66" s="13"/>
      <c r="T66" s="13"/>
      <c r="U66" s="13"/>
      <c r="V66" s="13"/>
      <c r="W66" s="13"/>
      <c r="X66" s="13">
        <f t="shared" si="3"/>
        <v>0</v>
      </c>
      <c r="Y66" s="13"/>
      <c r="Z66" s="13"/>
      <c r="AA66" s="13"/>
      <c r="AB66" s="13"/>
      <c r="AC66" s="13"/>
      <c r="AD66" s="13"/>
      <c r="AE66" s="13"/>
      <c r="AF66" s="13"/>
      <c r="AG66" s="13">
        <v>1834.449951171875</v>
      </c>
      <c r="AH66" s="13"/>
      <c r="AI66" s="13"/>
      <c r="AJ66" s="13"/>
      <c r="AK66" s="13"/>
      <c r="AL66" s="13">
        <v>297035</v>
      </c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>
        <v>159054.390625</v>
      </c>
      <c r="BF66" s="13"/>
    </row>
    <row r="67" spans="1:58" s="18" customFormat="1">
      <c r="A67" s="16" t="s">
        <v>364</v>
      </c>
      <c r="B67" s="17">
        <f t="shared" si="0"/>
        <v>4816699.125</v>
      </c>
      <c r="C67" s="17">
        <f>H67+I67</f>
        <v>0</v>
      </c>
      <c r="D67" s="17">
        <f>SUM(D68:D71)</f>
        <v>59661</v>
      </c>
      <c r="E67" s="17">
        <f>SUM(E68:E71)</f>
        <v>0</v>
      </c>
      <c r="F67" s="17">
        <f>SUM(F68:F71)</f>
        <v>4757038.125</v>
      </c>
      <c r="G67" s="17">
        <f t="shared" ref="G67:M67" si="27">SUM(G68:G71)</f>
        <v>0</v>
      </c>
      <c r="H67" s="17">
        <f t="shared" si="27"/>
        <v>0</v>
      </c>
      <c r="I67" s="17">
        <f t="shared" si="27"/>
        <v>0</v>
      </c>
      <c r="J67" s="17">
        <f t="shared" si="27"/>
        <v>0</v>
      </c>
      <c r="K67" s="17">
        <f t="shared" si="27"/>
        <v>0</v>
      </c>
      <c r="L67" s="17">
        <f t="shared" si="27"/>
        <v>0</v>
      </c>
      <c r="M67" s="17">
        <f t="shared" si="27"/>
        <v>0</v>
      </c>
      <c r="N67" s="17">
        <f>SUM(N68:N71)</f>
        <v>0</v>
      </c>
      <c r="O67" s="17">
        <v>0</v>
      </c>
      <c r="P67" s="17">
        <v>0</v>
      </c>
      <c r="Q67" s="17">
        <f t="shared" ref="Q67:AT67" si="28">SUM(Q68:Q71)</f>
        <v>0</v>
      </c>
      <c r="R67" s="17">
        <f>SUM(R68:R71)</f>
        <v>28925.7578125</v>
      </c>
      <c r="S67" s="17">
        <f t="shared" si="28"/>
        <v>28925.7578125</v>
      </c>
      <c r="T67" s="17">
        <f t="shared" si="28"/>
        <v>0</v>
      </c>
      <c r="U67" s="17">
        <f t="shared" si="28"/>
        <v>0</v>
      </c>
      <c r="V67" s="17">
        <f t="shared" si="28"/>
        <v>0</v>
      </c>
      <c r="W67" s="17">
        <f t="shared" si="28"/>
        <v>1452.7976531982422</v>
      </c>
      <c r="X67" s="17">
        <f t="shared" si="3"/>
        <v>0</v>
      </c>
      <c r="Y67" s="17">
        <f t="shared" si="28"/>
        <v>0</v>
      </c>
      <c r="Z67" s="17">
        <f t="shared" si="28"/>
        <v>0</v>
      </c>
      <c r="AA67" s="17">
        <f t="shared" si="28"/>
        <v>0</v>
      </c>
      <c r="AB67" s="17">
        <f t="shared" si="28"/>
        <v>0</v>
      </c>
      <c r="AC67" s="17">
        <f t="shared" si="28"/>
        <v>0</v>
      </c>
      <c r="AD67" s="17">
        <f t="shared" si="28"/>
        <v>0</v>
      </c>
      <c r="AE67" s="17">
        <f t="shared" si="28"/>
        <v>0</v>
      </c>
      <c r="AF67" s="17">
        <f t="shared" si="28"/>
        <v>532047.89745330811</v>
      </c>
      <c r="AG67" s="17">
        <f>SUM(AG68:AG71)</f>
        <v>3834644.25</v>
      </c>
      <c r="AH67" s="17">
        <f t="shared" si="28"/>
        <v>0</v>
      </c>
      <c r="AI67" s="17">
        <f t="shared" si="28"/>
        <v>0</v>
      </c>
      <c r="AJ67" s="17">
        <f t="shared" si="28"/>
        <v>0</v>
      </c>
      <c r="AK67" s="17">
        <f t="shared" si="28"/>
        <v>625093.96875</v>
      </c>
      <c r="AL67" s="17">
        <f t="shared" si="28"/>
        <v>1882467.2399902344</v>
      </c>
      <c r="AM67" s="17">
        <f t="shared" si="28"/>
        <v>73222.919921875</v>
      </c>
      <c r="AN67" s="17">
        <f t="shared" si="28"/>
        <v>0</v>
      </c>
      <c r="AO67" s="17">
        <f t="shared" si="28"/>
        <v>0</v>
      </c>
      <c r="AP67" s="17">
        <f>SUM(AP68:AP71)</f>
        <v>0</v>
      </c>
      <c r="AQ67" s="17">
        <f>SUM(AQ68:AQ71)</f>
        <v>0</v>
      </c>
      <c r="AR67" s="17">
        <f t="shared" si="28"/>
        <v>0</v>
      </c>
      <c r="AS67" s="17">
        <f t="shared" si="28"/>
        <v>0</v>
      </c>
      <c r="AT67" s="17">
        <f t="shared" si="28"/>
        <v>0</v>
      </c>
      <c r="AU67" s="17">
        <f>SUM(AU68:AU71)</f>
        <v>0</v>
      </c>
      <c r="AV67" s="17">
        <f t="shared" ref="AV67:BD67" si="29">SUM(AV68:AV71)</f>
        <v>0</v>
      </c>
      <c r="AW67" s="17">
        <f t="shared" si="29"/>
        <v>0</v>
      </c>
      <c r="AX67" s="17">
        <f t="shared" si="29"/>
        <v>0</v>
      </c>
      <c r="AY67" s="17">
        <f t="shared" si="29"/>
        <v>3869.97998046875</v>
      </c>
      <c r="AZ67" s="17">
        <f t="shared" si="29"/>
        <v>0</v>
      </c>
      <c r="BA67" s="17">
        <f t="shared" si="29"/>
        <v>0</v>
      </c>
      <c r="BB67" s="17">
        <f t="shared" si="29"/>
        <v>0</v>
      </c>
      <c r="BC67" s="17">
        <f t="shared" si="29"/>
        <v>0</v>
      </c>
      <c r="BD67" s="17">
        <f t="shared" si="29"/>
        <v>0</v>
      </c>
      <c r="BE67" s="17">
        <f>SUM(BE68:BE71)</f>
        <v>92237000</v>
      </c>
      <c r="BF67" s="17">
        <f>SUM(BF68:BF71)</f>
        <v>0</v>
      </c>
    </row>
    <row r="68" spans="1:58">
      <c r="A68" s="12" t="s">
        <v>365</v>
      </c>
      <c r="B68" s="13">
        <f t="shared" si="0"/>
        <v>74009</v>
      </c>
      <c r="C68" s="13">
        <f t="shared" si="1"/>
        <v>0</v>
      </c>
      <c r="D68" s="13"/>
      <c r="E68" s="13"/>
      <c r="F68" s="13">
        <v>74009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>
        <f t="shared" ref="R68:R71" si="30">SUM(S68:V68)</f>
        <v>0</v>
      </c>
      <c r="S68" s="13"/>
      <c r="T68" s="13"/>
      <c r="U68" s="13"/>
      <c r="V68" s="13"/>
      <c r="W68" s="13"/>
      <c r="X68" s="13">
        <f t="shared" si="3"/>
        <v>0</v>
      </c>
      <c r="Y68" s="13"/>
      <c r="Z68" s="13"/>
      <c r="AA68" s="13"/>
      <c r="AB68" s="13"/>
      <c r="AC68" s="13"/>
      <c r="AD68" s="13"/>
      <c r="AE68" s="13"/>
      <c r="AF68" s="13">
        <v>37.881828308105469</v>
      </c>
      <c r="AG68" s="13">
        <v>1951260</v>
      </c>
      <c r="AH68" s="13"/>
      <c r="AI68" s="13"/>
      <c r="AJ68" s="13"/>
      <c r="AK68" s="13">
        <v>272852</v>
      </c>
      <c r="AL68" s="13">
        <v>1876914</v>
      </c>
      <c r="AM68" s="13">
        <v>18339.931640625</v>
      </c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>
        <v>5968000</v>
      </c>
      <c r="BF68" s="13"/>
    </row>
    <row r="69" spans="1:58">
      <c r="A69" s="12" t="s">
        <v>366</v>
      </c>
      <c r="B69" s="13">
        <f t="shared" ref="B69:B92" si="31">E69+F69+G69+D69</f>
        <v>611514.5625</v>
      </c>
      <c r="C69" s="13">
        <f>H69+I69</f>
        <v>0</v>
      </c>
      <c r="D69" s="13"/>
      <c r="E69" s="13"/>
      <c r="F69" s="13">
        <v>611514.5625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>
        <f t="shared" si="30"/>
        <v>0</v>
      </c>
      <c r="S69" s="13"/>
      <c r="T69" s="13"/>
      <c r="U69" s="13"/>
      <c r="V69" s="13"/>
      <c r="W69" s="13">
        <v>1232.300537109375</v>
      </c>
      <c r="X69" s="13">
        <f t="shared" si="3"/>
        <v>0</v>
      </c>
      <c r="Y69" s="13"/>
      <c r="Z69" s="13"/>
      <c r="AA69" s="13"/>
      <c r="AB69" s="13"/>
      <c r="AC69" s="13"/>
      <c r="AD69" s="13"/>
      <c r="AE69" s="13"/>
      <c r="AF69" s="13">
        <v>69161.296875</v>
      </c>
      <c r="AG69" s="13">
        <v>1883384.25</v>
      </c>
      <c r="AH69" s="13"/>
      <c r="AI69" s="13"/>
      <c r="AJ69" s="13"/>
      <c r="AK69" s="13">
        <v>352241.96875</v>
      </c>
      <c r="AL69" s="13"/>
      <c r="AM69" s="13">
        <v>54882.98828125</v>
      </c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>
        <v>37000000</v>
      </c>
      <c r="BF69" s="13"/>
    </row>
    <row r="70" spans="1:58">
      <c r="A70" s="12" t="s">
        <v>367</v>
      </c>
      <c r="B70" s="13">
        <f t="shared" si="31"/>
        <v>614355.5625</v>
      </c>
      <c r="C70" s="13">
        <f>H70+I70</f>
        <v>0</v>
      </c>
      <c r="D70" s="13">
        <v>2841</v>
      </c>
      <c r="E70" s="13"/>
      <c r="F70" s="13">
        <v>611514.5625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>
        <f t="shared" si="30"/>
        <v>28925.7578125</v>
      </c>
      <c r="S70" s="13">
        <v>28925.7578125</v>
      </c>
      <c r="T70" s="13"/>
      <c r="U70" s="13"/>
      <c r="V70" s="13"/>
      <c r="W70" s="13">
        <v>220.49711608886719</v>
      </c>
      <c r="X70" s="13">
        <f t="shared" si="3"/>
        <v>0</v>
      </c>
      <c r="Y70" s="13"/>
      <c r="Z70" s="13"/>
      <c r="AA70" s="13"/>
      <c r="AB70" s="13"/>
      <c r="AC70" s="13"/>
      <c r="AD70" s="13"/>
      <c r="AE70" s="13"/>
      <c r="AF70" s="13">
        <v>462848.71875</v>
      </c>
      <c r="AG70" s="13"/>
      <c r="AH70" s="13"/>
      <c r="AI70" s="13"/>
      <c r="AJ70" s="13"/>
      <c r="AK70" s="13"/>
      <c r="AL70" s="13">
        <v>305.239990234375</v>
      </c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>
        <v>48523000</v>
      </c>
      <c r="BF70" s="13"/>
    </row>
    <row r="71" spans="1:58">
      <c r="A71" s="12" t="s">
        <v>368</v>
      </c>
      <c r="B71" s="13">
        <f t="shared" si="31"/>
        <v>3516820</v>
      </c>
      <c r="C71" s="13">
        <f>H71+I71</f>
        <v>0</v>
      </c>
      <c r="D71" s="13">
        <v>56820</v>
      </c>
      <c r="E71" s="13"/>
      <c r="F71" s="13">
        <v>3460000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>
        <f t="shared" si="30"/>
        <v>0</v>
      </c>
      <c r="S71" s="13"/>
      <c r="T71" s="13"/>
      <c r="U71" s="13"/>
      <c r="V71" s="13"/>
      <c r="W71" s="13"/>
      <c r="X71" s="13">
        <f t="shared" ref="X71:X74" si="32">SUM(Y71:AC71)</f>
        <v>0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>
        <v>5248</v>
      </c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>
        <v>3869.97998046875</v>
      </c>
      <c r="AZ71" s="13"/>
      <c r="BA71" s="13"/>
      <c r="BB71" s="13"/>
      <c r="BC71" s="13"/>
      <c r="BD71" s="13"/>
      <c r="BE71" s="13">
        <v>746000</v>
      </c>
      <c r="BF71" s="13"/>
    </row>
    <row r="72" spans="1:58" s="18" customFormat="1">
      <c r="A72" s="16" t="s">
        <v>369</v>
      </c>
      <c r="B72" s="17">
        <f t="shared" si="31"/>
        <v>0</v>
      </c>
      <c r="C72" s="17">
        <f t="shared" ref="C72:C92" si="33">H72+I72</f>
        <v>0</v>
      </c>
      <c r="D72" s="17">
        <f>SUM(D73:D75)</f>
        <v>0</v>
      </c>
      <c r="E72" s="17">
        <f>SUM(E73:E75)</f>
        <v>0</v>
      </c>
      <c r="F72" s="17">
        <f>SUM(F73:F75)</f>
        <v>0</v>
      </c>
      <c r="G72" s="17">
        <f t="shared" ref="G72:W72" si="34">SUM(G73:G75)</f>
        <v>0</v>
      </c>
      <c r="H72" s="17">
        <f t="shared" si="34"/>
        <v>0</v>
      </c>
      <c r="I72" s="17">
        <f t="shared" si="34"/>
        <v>0</v>
      </c>
      <c r="J72" s="17">
        <f t="shared" si="34"/>
        <v>0</v>
      </c>
      <c r="K72" s="17">
        <f t="shared" si="34"/>
        <v>0</v>
      </c>
      <c r="L72" s="17">
        <f t="shared" si="34"/>
        <v>0</v>
      </c>
      <c r="M72" s="17">
        <f t="shared" si="34"/>
        <v>0</v>
      </c>
      <c r="N72" s="17">
        <f t="shared" si="34"/>
        <v>0</v>
      </c>
      <c r="O72" s="17">
        <f t="shared" si="34"/>
        <v>0</v>
      </c>
      <c r="P72" s="17">
        <f t="shared" si="34"/>
        <v>0</v>
      </c>
      <c r="Q72" s="17">
        <f t="shared" si="34"/>
        <v>0</v>
      </c>
      <c r="R72" s="17">
        <f t="shared" si="34"/>
        <v>0</v>
      </c>
      <c r="S72" s="17">
        <f t="shared" si="34"/>
        <v>0</v>
      </c>
      <c r="T72" s="17">
        <f t="shared" si="34"/>
        <v>0</v>
      </c>
      <c r="U72" s="17">
        <f t="shared" si="34"/>
        <v>0</v>
      </c>
      <c r="V72" s="17">
        <f t="shared" si="34"/>
        <v>0</v>
      </c>
      <c r="W72" s="17">
        <f t="shared" si="34"/>
        <v>0</v>
      </c>
      <c r="X72" s="17">
        <f t="shared" si="32"/>
        <v>0</v>
      </c>
      <c r="Y72" s="17">
        <f t="shared" ref="Y72:BE72" si="35">SUM(Y73:Y75)</f>
        <v>0</v>
      </c>
      <c r="Z72" s="17">
        <f t="shared" si="35"/>
        <v>0</v>
      </c>
      <c r="AA72" s="17">
        <f t="shared" si="35"/>
        <v>0</v>
      </c>
      <c r="AB72" s="17">
        <f t="shared" si="35"/>
        <v>0</v>
      </c>
      <c r="AC72" s="17">
        <f t="shared" si="35"/>
        <v>0</v>
      </c>
      <c r="AD72" s="17">
        <f t="shared" si="35"/>
        <v>0</v>
      </c>
      <c r="AE72" s="17">
        <f t="shared" si="35"/>
        <v>0</v>
      </c>
      <c r="AF72" s="17">
        <f t="shared" si="35"/>
        <v>0</v>
      </c>
      <c r="AG72" s="17">
        <f t="shared" si="35"/>
        <v>0</v>
      </c>
      <c r="AH72" s="17">
        <f t="shared" si="35"/>
        <v>0</v>
      </c>
      <c r="AI72" s="17">
        <f t="shared" si="35"/>
        <v>0</v>
      </c>
      <c r="AJ72" s="17">
        <f t="shared" si="35"/>
        <v>0</v>
      </c>
      <c r="AK72" s="17">
        <f t="shared" si="35"/>
        <v>0</v>
      </c>
      <c r="AL72" s="17">
        <f t="shared" si="35"/>
        <v>0</v>
      </c>
      <c r="AM72" s="17">
        <f t="shared" si="35"/>
        <v>0</v>
      </c>
      <c r="AN72" s="17">
        <f t="shared" si="35"/>
        <v>0</v>
      </c>
      <c r="AO72" s="17">
        <f>SUM(AO73:AO75)</f>
        <v>95496.451171875</v>
      </c>
      <c r="AP72" s="17">
        <f t="shared" si="35"/>
        <v>133300</v>
      </c>
      <c r="AQ72" s="17">
        <f>SUM(AQ73:AQ75)</f>
        <v>358749.96875</v>
      </c>
      <c r="AR72" s="17">
        <f t="shared" si="35"/>
        <v>9940</v>
      </c>
      <c r="AS72" s="17">
        <f t="shared" si="35"/>
        <v>0</v>
      </c>
      <c r="AT72" s="17">
        <f t="shared" si="35"/>
        <v>0</v>
      </c>
      <c r="AU72" s="17">
        <f t="shared" si="35"/>
        <v>24920.690032958984</v>
      </c>
      <c r="AV72" s="17">
        <f t="shared" si="35"/>
        <v>0</v>
      </c>
      <c r="AW72" s="17">
        <f t="shared" si="35"/>
        <v>0</v>
      </c>
      <c r="AX72" s="17">
        <f t="shared" si="35"/>
        <v>0</v>
      </c>
      <c r="AY72" s="17">
        <f t="shared" si="35"/>
        <v>0</v>
      </c>
      <c r="AZ72" s="17">
        <f t="shared" si="35"/>
        <v>0</v>
      </c>
      <c r="BA72" s="17">
        <f t="shared" si="35"/>
        <v>0</v>
      </c>
      <c r="BB72" s="17">
        <f t="shared" si="35"/>
        <v>0</v>
      </c>
      <c r="BC72" s="17">
        <f t="shared" si="35"/>
        <v>0</v>
      </c>
      <c r="BD72" s="17">
        <f t="shared" si="35"/>
        <v>0</v>
      </c>
      <c r="BE72" s="17">
        <f t="shared" si="35"/>
        <v>0</v>
      </c>
      <c r="BF72" s="17">
        <f>SUM(BF73:BF75)</f>
        <v>0</v>
      </c>
    </row>
    <row r="73" spans="1:58">
      <c r="A73" s="4" t="s">
        <v>370</v>
      </c>
      <c r="B73" s="13">
        <f t="shared" si="31"/>
        <v>0</v>
      </c>
      <c r="C73" s="13">
        <f t="shared" si="33"/>
        <v>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>
        <f t="shared" ref="R73:R92" si="36">SUM(S73:V73)</f>
        <v>0</v>
      </c>
      <c r="S73" s="13"/>
      <c r="T73" s="13"/>
      <c r="U73" s="13"/>
      <c r="V73" s="13"/>
      <c r="W73" s="13"/>
      <c r="X73" s="13">
        <f t="shared" si="32"/>
        <v>0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>
        <v>51665.921875</v>
      </c>
      <c r="AP73" s="13">
        <v>28940</v>
      </c>
      <c r="AQ73" s="13">
        <v>285049.96875</v>
      </c>
      <c r="AR73" s="13">
        <v>7240</v>
      </c>
      <c r="AS73" s="13"/>
      <c r="AT73" s="13"/>
      <c r="AU73" s="13">
        <v>1019.8096313476563</v>
      </c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</row>
    <row r="74" spans="1:58">
      <c r="A74" s="4" t="s">
        <v>371</v>
      </c>
      <c r="B74" s="13">
        <f t="shared" si="31"/>
        <v>0</v>
      </c>
      <c r="C74" s="13">
        <f t="shared" si="33"/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>
        <f t="shared" si="36"/>
        <v>0</v>
      </c>
      <c r="S74" s="13"/>
      <c r="T74" s="13"/>
      <c r="U74" s="13"/>
      <c r="V74" s="13"/>
      <c r="W74" s="13"/>
      <c r="X74" s="13">
        <f t="shared" si="32"/>
        <v>0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>
        <v>8725.650390625</v>
      </c>
      <c r="AP74" s="13">
        <v>41880</v>
      </c>
      <c r="AQ74" s="13">
        <v>7830</v>
      </c>
      <c r="AR74" s="13">
        <v>2590</v>
      </c>
      <c r="AS74" s="13"/>
      <c r="AT74" s="13"/>
      <c r="AU74" s="13">
        <v>233.93899536132813</v>
      </c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</row>
    <row r="75" spans="1:58">
      <c r="A75" s="4" t="s">
        <v>372</v>
      </c>
      <c r="B75" s="13">
        <f t="shared" si="31"/>
        <v>0</v>
      </c>
      <c r="C75" s="13">
        <f t="shared" si="33"/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>
        <f t="shared" si="36"/>
        <v>0</v>
      </c>
      <c r="S75" s="13"/>
      <c r="T75" s="13"/>
      <c r="U75" s="13"/>
      <c r="V75" s="13"/>
      <c r="W75" s="13"/>
      <c r="X75" s="13">
        <f>SUM(Y75:AC75)</f>
        <v>0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>
        <v>35104.87890625</v>
      </c>
      <c r="AP75" s="13">
        <v>62480</v>
      </c>
      <c r="AQ75" s="13">
        <v>65870</v>
      </c>
      <c r="AR75" s="13">
        <v>110</v>
      </c>
      <c r="AS75" s="13"/>
      <c r="AT75" s="13"/>
      <c r="AU75" s="13">
        <v>23666.94140625</v>
      </c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</row>
    <row r="76" spans="1:58">
      <c r="A76" s="4" t="s">
        <v>373</v>
      </c>
      <c r="B76" s="13">
        <f t="shared" si="31"/>
        <v>1832853</v>
      </c>
      <c r="C76" s="13">
        <f t="shared" si="33"/>
        <v>0</v>
      </c>
      <c r="D76" s="13"/>
      <c r="E76" s="13"/>
      <c r="F76" s="13">
        <v>1832853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>
        <f t="shared" si="36"/>
        <v>0</v>
      </c>
      <c r="S76" s="13"/>
      <c r="T76" s="13"/>
      <c r="U76" s="13"/>
      <c r="V76" s="13"/>
      <c r="W76" s="13"/>
      <c r="X76" s="13">
        <f>SUM(Y76:AC76)</f>
        <v>0</v>
      </c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</row>
    <row r="77" spans="1:58" s="18" customFormat="1">
      <c r="A77" s="16" t="s">
        <v>374</v>
      </c>
      <c r="B77" s="17">
        <f t="shared" si="31"/>
        <v>0</v>
      </c>
      <c r="C77" s="17">
        <f t="shared" si="33"/>
        <v>0</v>
      </c>
      <c r="D77" s="17">
        <f>SUM(D78:D81)</f>
        <v>0</v>
      </c>
      <c r="E77" s="17">
        <f>SUM(E78:E81)</f>
        <v>0</v>
      </c>
      <c r="F77" s="17">
        <f>SUM(F78:F81)</f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f t="shared" ref="Q77:W77" si="37">SUM(Q78:Q81)</f>
        <v>0</v>
      </c>
      <c r="R77" s="17">
        <f>SUM(R78:R81)</f>
        <v>299.67001342773438</v>
      </c>
      <c r="S77" s="17">
        <f t="shared" si="37"/>
        <v>299.67001342773438</v>
      </c>
      <c r="T77" s="17">
        <f>SUM(T78:T81)</f>
        <v>0</v>
      </c>
      <c r="U77" s="17">
        <f t="shared" si="37"/>
        <v>0</v>
      </c>
      <c r="V77" s="17">
        <f t="shared" si="37"/>
        <v>0</v>
      </c>
      <c r="W77" s="17">
        <f t="shared" si="37"/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f t="shared" ref="AV77:BD77" si="38">SUM(AV78:AV81)</f>
        <v>15743.1904296875</v>
      </c>
      <c r="AW77" s="17">
        <f t="shared" si="38"/>
        <v>844.61203002929688</v>
      </c>
      <c r="AX77" s="17">
        <f t="shared" si="38"/>
        <v>0</v>
      </c>
      <c r="AY77" s="17">
        <f>SUM(AY78:AY81)</f>
        <v>3869.97998046875</v>
      </c>
      <c r="AZ77" s="17">
        <f t="shared" si="38"/>
        <v>0</v>
      </c>
      <c r="BA77" s="17">
        <f t="shared" si="38"/>
        <v>5132.1602172851563</v>
      </c>
      <c r="BB77" s="17">
        <f t="shared" si="38"/>
        <v>0</v>
      </c>
      <c r="BC77" s="17">
        <f t="shared" si="38"/>
        <v>0</v>
      </c>
      <c r="BD77" s="17">
        <f t="shared" si="38"/>
        <v>0</v>
      </c>
      <c r="BE77" s="17">
        <f>SUM(BE78:BE81)</f>
        <v>253225.466796875</v>
      </c>
      <c r="BF77" s="17">
        <f>SUM(BF78:BF81)</f>
        <v>0</v>
      </c>
    </row>
    <row r="78" spans="1:58">
      <c r="A78" s="12" t="s">
        <v>375</v>
      </c>
      <c r="B78" s="13">
        <f t="shared" si="31"/>
        <v>0</v>
      </c>
      <c r="C78" s="13">
        <f t="shared" si="33"/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>
        <f t="shared" si="36"/>
        <v>0</v>
      </c>
      <c r="S78" s="13"/>
      <c r="T78" s="13"/>
      <c r="U78" s="13"/>
      <c r="V78" s="13"/>
      <c r="W78" s="13"/>
      <c r="X78" s="13">
        <f t="shared" ref="X78:X86" si="39">SUM(Y78:AC78)</f>
        <v>0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>
        <v>15743.1904296875</v>
      </c>
      <c r="AW78" s="13">
        <v>704.26202392578125</v>
      </c>
      <c r="AX78" s="13"/>
      <c r="AY78" s="13"/>
      <c r="AZ78" s="13"/>
      <c r="BA78" s="13">
        <v>342.69000244140625</v>
      </c>
      <c r="BB78" s="13"/>
      <c r="BC78" s="13"/>
      <c r="BD78" s="13"/>
      <c r="BE78" s="13">
        <v>233169.546875</v>
      </c>
      <c r="BF78" s="13"/>
    </row>
    <row r="79" spans="1:58">
      <c r="A79" s="12" t="s">
        <v>376</v>
      </c>
      <c r="B79" s="13">
        <f t="shared" si="31"/>
        <v>0</v>
      </c>
      <c r="C79" s="13">
        <f t="shared" si="33"/>
        <v>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>
        <v>299.67001342773438</v>
      </c>
      <c r="S79" s="13">
        <v>299.67001342773438</v>
      </c>
      <c r="T79" s="13"/>
      <c r="U79" s="13"/>
      <c r="V79" s="13"/>
      <c r="W79" s="13"/>
      <c r="X79" s="13">
        <f t="shared" si="39"/>
        <v>0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>
        <v>140.35000610351563</v>
      </c>
      <c r="AX79" s="13"/>
      <c r="AY79" s="13">
        <v>3869.97998046875</v>
      </c>
      <c r="AZ79" s="13"/>
      <c r="BA79" s="13">
        <v>4789.47021484375</v>
      </c>
      <c r="BB79" s="13"/>
      <c r="BC79" s="13"/>
      <c r="BD79" s="13"/>
      <c r="BE79" s="13">
        <v>20055.919921875</v>
      </c>
      <c r="BF79" s="13"/>
    </row>
    <row r="80" spans="1:58">
      <c r="A80" s="4" t="s">
        <v>377</v>
      </c>
      <c r="B80" s="13">
        <f t="shared" si="31"/>
        <v>0</v>
      </c>
      <c r="C80" s="13">
        <f t="shared" si="33"/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>
        <f t="shared" si="36"/>
        <v>0</v>
      </c>
      <c r="S80" s="13"/>
      <c r="T80" s="13"/>
      <c r="U80" s="13"/>
      <c r="V80" s="13"/>
      <c r="W80" s="13"/>
      <c r="X80" s="13">
        <f t="shared" si="39"/>
        <v>0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</row>
    <row r="81" spans="1:58">
      <c r="A81" s="4" t="s">
        <v>378</v>
      </c>
      <c r="B81" s="13">
        <f t="shared" si="31"/>
        <v>0</v>
      </c>
      <c r="C81" s="13">
        <f t="shared" si="33"/>
        <v>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f t="shared" si="36"/>
        <v>0</v>
      </c>
      <c r="S81" s="13"/>
      <c r="T81" s="13"/>
      <c r="U81" s="13"/>
      <c r="V81" s="13"/>
      <c r="W81" s="13"/>
      <c r="X81" s="13">
        <f t="shared" si="39"/>
        <v>0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</row>
    <row r="82" spans="1:58">
      <c r="A82" s="4" t="s">
        <v>379</v>
      </c>
      <c r="B82" s="13">
        <f t="shared" si="31"/>
        <v>0</v>
      </c>
      <c r="C82" s="13">
        <f t="shared" si="33"/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>
        <f t="shared" si="36"/>
        <v>0</v>
      </c>
      <c r="S82" s="13"/>
      <c r="T82" s="13"/>
      <c r="U82" s="13"/>
      <c r="V82" s="13"/>
      <c r="W82" s="13"/>
      <c r="X82" s="13">
        <f t="shared" si="39"/>
        <v>0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</row>
    <row r="83" spans="1:58">
      <c r="A83" s="4" t="s">
        <v>380</v>
      </c>
      <c r="B83" s="13">
        <f t="shared" si="31"/>
        <v>0</v>
      </c>
      <c r="C83" s="13">
        <f t="shared" si="33"/>
        <v>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f t="shared" si="36"/>
        <v>0</v>
      </c>
      <c r="S83" s="13"/>
      <c r="T83" s="13"/>
      <c r="U83" s="13"/>
      <c r="V83" s="13"/>
      <c r="W83" s="13"/>
      <c r="X83" s="13">
        <f t="shared" si="39"/>
        <v>0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</row>
    <row r="84" spans="1:58">
      <c r="A84" s="4" t="s">
        <v>381</v>
      </c>
      <c r="B84" s="13">
        <f t="shared" si="31"/>
        <v>0</v>
      </c>
      <c r="C84" s="13">
        <f t="shared" si="33"/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>
        <f t="shared" si="36"/>
        <v>0</v>
      </c>
      <c r="S84" s="13"/>
      <c r="T84" s="13"/>
      <c r="U84" s="13"/>
      <c r="V84" s="13"/>
      <c r="W84" s="13"/>
      <c r="X84" s="13">
        <f t="shared" si="39"/>
        <v>0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</row>
    <row r="85" spans="1:58">
      <c r="A85" s="4" t="s">
        <v>382</v>
      </c>
      <c r="B85" s="13">
        <f t="shared" si="31"/>
        <v>0</v>
      </c>
      <c r="C85" s="13">
        <f t="shared" si="33"/>
        <v>0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>
        <f t="shared" si="36"/>
        <v>0</v>
      </c>
      <c r="S85" s="13"/>
      <c r="T85" s="13"/>
      <c r="U85" s="13"/>
      <c r="V85" s="13"/>
      <c r="W85" s="13"/>
      <c r="X85" s="13">
        <f t="shared" si="39"/>
        <v>0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</row>
    <row r="86" spans="1:58" s="18" customFormat="1">
      <c r="A86" s="16" t="s">
        <v>383</v>
      </c>
      <c r="B86" s="17">
        <f t="shared" si="31"/>
        <v>0</v>
      </c>
      <c r="C86" s="17">
        <f t="shared" si="33"/>
        <v>0</v>
      </c>
      <c r="D86" s="17">
        <f t="shared" ref="D86:AU86" si="40">SUM(D82:D85)</f>
        <v>0</v>
      </c>
      <c r="E86" s="17">
        <f t="shared" si="40"/>
        <v>0</v>
      </c>
      <c r="F86" s="17">
        <f t="shared" si="40"/>
        <v>0</v>
      </c>
      <c r="G86" s="17">
        <f t="shared" si="40"/>
        <v>0</v>
      </c>
      <c r="H86" s="17">
        <f t="shared" si="40"/>
        <v>0</v>
      </c>
      <c r="I86" s="17">
        <f t="shared" si="40"/>
        <v>0</v>
      </c>
      <c r="J86" s="17">
        <f t="shared" si="40"/>
        <v>0</v>
      </c>
      <c r="K86" s="17">
        <f t="shared" si="40"/>
        <v>0</v>
      </c>
      <c r="L86" s="17">
        <f t="shared" si="40"/>
        <v>0</v>
      </c>
      <c r="M86" s="17">
        <f t="shared" si="40"/>
        <v>0</v>
      </c>
      <c r="N86" s="17">
        <f t="shared" si="40"/>
        <v>0</v>
      </c>
      <c r="O86" s="17">
        <f t="shared" si="40"/>
        <v>0</v>
      </c>
      <c r="P86" s="17">
        <f t="shared" si="40"/>
        <v>0</v>
      </c>
      <c r="Q86" s="17">
        <f t="shared" si="40"/>
        <v>0</v>
      </c>
      <c r="R86" s="17">
        <f t="shared" si="36"/>
        <v>0</v>
      </c>
      <c r="S86" s="17">
        <f t="shared" si="40"/>
        <v>0</v>
      </c>
      <c r="T86" s="17">
        <f t="shared" si="40"/>
        <v>0</v>
      </c>
      <c r="U86" s="17">
        <f t="shared" si="40"/>
        <v>0</v>
      </c>
      <c r="V86" s="17">
        <f t="shared" si="40"/>
        <v>0</v>
      </c>
      <c r="W86" s="17">
        <f t="shared" si="40"/>
        <v>0</v>
      </c>
      <c r="X86" s="17">
        <f t="shared" si="39"/>
        <v>0</v>
      </c>
      <c r="Y86" s="17">
        <f t="shared" si="40"/>
        <v>0</v>
      </c>
      <c r="Z86" s="17">
        <f t="shared" si="40"/>
        <v>0</v>
      </c>
      <c r="AA86" s="17">
        <f t="shared" si="40"/>
        <v>0</v>
      </c>
      <c r="AB86" s="17">
        <f t="shared" si="40"/>
        <v>0</v>
      </c>
      <c r="AC86" s="17">
        <f t="shared" si="40"/>
        <v>0</v>
      </c>
      <c r="AD86" s="17">
        <f t="shared" si="40"/>
        <v>0</v>
      </c>
      <c r="AE86" s="17">
        <f t="shared" si="40"/>
        <v>0</v>
      </c>
      <c r="AF86" s="17">
        <f t="shared" si="40"/>
        <v>0</v>
      </c>
      <c r="AG86" s="17">
        <f t="shared" si="40"/>
        <v>0</v>
      </c>
      <c r="AH86" s="17">
        <f t="shared" si="40"/>
        <v>0</v>
      </c>
      <c r="AI86" s="17">
        <f t="shared" si="40"/>
        <v>0</v>
      </c>
      <c r="AJ86" s="17">
        <f t="shared" si="40"/>
        <v>0</v>
      </c>
      <c r="AK86" s="17">
        <f t="shared" si="40"/>
        <v>0</v>
      </c>
      <c r="AL86" s="17">
        <f t="shared" si="40"/>
        <v>0</v>
      </c>
      <c r="AM86" s="17">
        <f t="shared" si="40"/>
        <v>0</v>
      </c>
      <c r="AN86" s="17">
        <f t="shared" si="40"/>
        <v>0</v>
      </c>
      <c r="AO86" s="17">
        <f t="shared" si="40"/>
        <v>0</v>
      </c>
      <c r="AP86" s="17">
        <f t="shared" si="40"/>
        <v>0</v>
      </c>
      <c r="AQ86" s="17">
        <f t="shared" si="40"/>
        <v>0</v>
      </c>
      <c r="AR86" s="17">
        <f t="shared" si="40"/>
        <v>0</v>
      </c>
      <c r="AS86" s="17">
        <f t="shared" si="40"/>
        <v>0</v>
      </c>
      <c r="AT86" s="17">
        <f t="shared" si="40"/>
        <v>0</v>
      </c>
      <c r="AU86" s="17">
        <f t="shared" si="40"/>
        <v>0</v>
      </c>
      <c r="AV86" s="17">
        <f>SUM(AV82:AV85)</f>
        <v>0</v>
      </c>
      <c r="AW86" s="17">
        <f>SUM(AW82:AW85)</f>
        <v>0</v>
      </c>
      <c r="AX86" s="17">
        <f t="shared" ref="AX86:BF86" si="41">SUM(AX82:AX85)</f>
        <v>0</v>
      </c>
      <c r="AY86" s="17">
        <f t="shared" si="41"/>
        <v>0</v>
      </c>
      <c r="AZ86" s="17">
        <f t="shared" si="41"/>
        <v>0</v>
      </c>
      <c r="BA86" s="17">
        <f t="shared" si="41"/>
        <v>0</v>
      </c>
      <c r="BB86" s="17">
        <f t="shared" si="41"/>
        <v>0</v>
      </c>
      <c r="BC86" s="17">
        <f t="shared" si="41"/>
        <v>0</v>
      </c>
      <c r="BD86" s="17">
        <f t="shared" si="41"/>
        <v>0</v>
      </c>
      <c r="BE86" s="17">
        <f>SUM(BE82:BE85)</f>
        <v>0</v>
      </c>
      <c r="BF86" s="17">
        <f t="shared" si="41"/>
        <v>0</v>
      </c>
    </row>
    <row r="87" spans="1:58">
      <c r="A87" s="4" t="s">
        <v>384</v>
      </c>
      <c r="B87" s="13">
        <f t="shared" si="31"/>
        <v>0</v>
      </c>
      <c r="C87" s="13">
        <f t="shared" si="33"/>
        <v>0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>
        <f t="shared" si="36"/>
        <v>0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>
        <v>14584.66015625</v>
      </c>
      <c r="AX87" s="13"/>
      <c r="AY87" s="13"/>
      <c r="AZ87" s="13"/>
      <c r="BA87" s="13"/>
      <c r="BB87" s="13"/>
      <c r="BC87" s="13"/>
      <c r="BD87" s="13"/>
      <c r="BE87" s="13">
        <v>14584.66015625</v>
      </c>
      <c r="BF87" s="13"/>
    </row>
    <row r="88" spans="1:58">
      <c r="A88" s="4" t="s">
        <v>385</v>
      </c>
      <c r="B88" s="13">
        <f t="shared" si="31"/>
        <v>0</v>
      </c>
      <c r="C88" s="13">
        <f t="shared" si="33"/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>
        <f t="shared" si="36"/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</row>
    <row r="89" spans="1:58">
      <c r="A89" s="4" t="s">
        <v>386</v>
      </c>
      <c r="B89" s="13">
        <f t="shared" si="31"/>
        <v>0</v>
      </c>
      <c r="C89" s="13">
        <f t="shared" si="33"/>
        <v>0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>
        <f t="shared" si="36"/>
        <v>0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</row>
    <row r="90" spans="1:58">
      <c r="A90" s="4" t="s">
        <v>387</v>
      </c>
      <c r="B90" s="13">
        <f t="shared" si="31"/>
        <v>0</v>
      </c>
      <c r="C90" s="13">
        <f t="shared" si="33"/>
        <v>0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>
        <f t="shared" si="36"/>
        <v>0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</row>
    <row r="91" spans="1:58">
      <c r="A91" s="4" t="s">
        <v>388</v>
      </c>
      <c r="B91" s="13">
        <f t="shared" si="31"/>
        <v>0</v>
      </c>
      <c r="C91" s="13">
        <f t="shared" si="33"/>
        <v>0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>
        <f t="shared" si="36"/>
        <v>0</v>
      </c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</row>
    <row r="92" spans="1:58">
      <c r="A92" s="4" t="s">
        <v>389</v>
      </c>
      <c r="B92" s="13">
        <f t="shared" si="31"/>
        <v>0</v>
      </c>
      <c r="C92" s="13">
        <f t="shared" si="33"/>
        <v>0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>
        <f t="shared" si="36"/>
        <v>0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</row>
    <row r="95" spans="1:58">
      <c r="B95" s="16"/>
      <c r="C95" s="23"/>
      <c r="D95" s="23"/>
    </row>
    <row r="96" spans="1:58">
      <c r="B96" s="23"/>
      <c r="C96" s="23"/>
      <c r="D96" s="23"/>
    </row>
    <row r="97" spans="2:4">
      <c r="B97" s="23"/>
      <c r="C97" s="23"/>
      <c r="D97" s="23"/>
    </row>
    <row r="98" spans="2:4">
      <c r="B98" s="23"/>
      <c r="C98" s="23"/>
      <c r="D98" s="23"/>
    </row>
    <row r="99" spans="2:4">
      <c r="B99" s="23"/>
      <c r="C99" s="23"/>
      <c r="D99" s="23"/>
    </row>
    <row r="100" spans="2:4">
      <c r="B100" s="23"/>
      <c r="C100" s="23"/>
      <c r="D100" s="23"/>
    </row>
    <row r="101" spans="2:4">
      <c r="B101" s="23"/>
    </row>
    <row r="102" spans="2:4">
      <c r="B102" s="23"/>
      <c r="C102" s="5"/>
      <c r="D102" s="5"/>
    </row>
    <row r="103" spans="2:4">
      <c r="C103" s="5"/>
      <c r="D103" s="5"/>
    </row>
    <row r="104" spans="2:4">
      <c r="C104" s="5"/>
      <c r="D104" s="5"/>
    </row>
    <row r="105" spans="2:4">
      <c r="B105" s="4"/>
      <c r="C105" s="5"/>
      <c r="D105" s="5"/>
    </row>
    <row r="106" spans="2:4">
      <c r="B106" s="5"/>
      <c r="C106" s="5"/>
      <c r="D106" s="5"/>
    </row>
    <row r="107" spans="2:4">
      <c r="B107" s="5"/>
      <c r="C107" s="5"/>
      <c r="D107" s="5"/>
    </row>
    <row r="108" spans="2:4">
      <c r="B108" s="5"/>
      <c r="C108" s="5"/>
      <c r="D108" s="5"/>
    </row>
    <row r="109" spans="2:4">
      <c r="B109" s="5"/>
      <c r="C109" s="5"/>
      <c r="D109" s="5"/>
    </row>
    <row r="110" spans="2:4">
      <c r="B110" s="5"/>
      <c r="C110" s="5"/>
      <c r="D110" s="5"/>
    </row>
    <row r="111" spans="2:4">
      <c r="B111" s="5"/>
      <c r="C111" s="5"/>
      <c r="D111" s="5"/>
    </row>
    <row r="112" spans="2:4">
      <c r="B112" s="5"/>
      <c r="C112" s="5"/>
      <c r="D112" s="5"/>
    </row>
    <row r="113" spans="2:4">
      <c r="B113" s="5"/>
      <c r="C113" s="5"/>
      <c r="D113" s="5"/>
    </row>
    <row r="114" spans="2:4">
      <c r="B114" s="5"/>
      <c r="C114" s="5"/>
      <c r="D114" s="5"/>
    </row>
    <row r="115" spans="2:4">
      <c r="B115" s="5"/>
      <c r="C115" s="5"/>
      <c r="D115" s="5"/>
    </row>
    <row r="116" spans="2:4">
      <c r="B116" s="5"/>
      <c r="C116" s="5"/>
      <c r="D116" s="5"/>
    </row>
    <row r="117" spans="2:4">
      <c r="B117" s="5"/>
      <c r="C117" s="5"/>
      <c r="D117" s="5"/>
    </row>
    <row r="118" spans="2:4">
      <c r="B118" s="5"/>
      <c r="C118" s="5"/>
      <c r="D118" s="5"/>
    </row>
    <row r="119" spans="2:4">
      <c r="B119" s="5"/>
      <c r="C119" s="5"/>
      <c r="D119" s="5"/>
    </row>
    <row r="120" spans="2:4">
      <c r="B120" s="5"/>
      <c r="C120" s="5"/>
      <c r="D120" s="5"/>
    </row>
    <row r="121" spans="2:4">
      <c r="B121" s="5"/>
      <c r="C121" s="5"/>
      <c r="D121" s="5"/>
    </row>
    <row r="122" spans="2:4">
      <c r="B122" s="5"/>
      <c r="C122" s="5"/>
      <c r="D122" s="5"/>
    </row>
    <row r="123" spans="2:4">
      <c r="B123" s="5"/>
      <c r="C123" s="5"/>
      <c r="D123" s="5"/>
    </row>
    <row r="124" spans="2:4">
      <c r="B124" s="5"/>
    </row>
    <row r="125" spans="2:4">
      <c r="B125" s="5"/>
    </row>
  </sheetData>
  <mergeCells count="2">
    <mergeCell ref="BH3:BI3"/>
    <mergeCell ref="BJ3:B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166E-125E-4916-B1F7-4508666C9CD6}">
  <dimension ref="C4:M14"/>
  <sheetViews>
    <sheetView workbookViewId="0">
      <selection activeCell="F10" sqref="F10"/>
    </sheetView>
  </sheetViews>
  <sheetFormatPr defaultRowHeight="14.4"/>
  <cols>
    <col min="3" max="3" width="29.88671875" customWidth="1"/>
  </cols>
  <sheetData>
    <row r="4" spans="3:13">
      <c r="E4">
        <v>1.22</v>
      </c>
    </row>
    <row r="5" spans="3:13">
      <c r="D5" t="s">
        <v>390</v>
      </c>
      <c r="E5" t="s">
        <v>391</v>
      </c>
      <c r="F5" t="s">
        <v>24</v>
      </c>
      <c r="G5" t="s">
        <v>23</v>
      </c>
    </row>
    <row r="6" spans="3:13">
      <c r="C6" t="s">
        <v>392</v>
      </c>
      <c r="D6">
        <v>45</v>
      </c>
      <c r="E6">
        <f>$E$4*D6</f>
        <v>54.9</v>
      </c>
    </row>
    <row r="7" spans="3:13">
      <c r="C7" t="s">
        <v>393</v>
      </c>
      <c r="D7" s="3">
        <f>10.4*119/1000</f>
        <v>1.2376</v>
      </c>
      <c r="E7" s="2">
        <f>$E$4*D7</f>
        <v>1.5098720000000001</v>
      </c>
    </row>
    <row r="8" spans="3:13">
      <c r="C8" t="s">
        <v>394</v>
      </c>
      <c r="E8" s="2">
        <f>E6-E7</f>
        <v>53.390127999999997</v>
      </c>
    </row>
    <row r="9" spans="3:13">
      <c r="C9" t="s">
        <v>395</v>
      </c>
      <c r="E9">
        <v>58</v>
      </c>
      <c r="F9">
        <v>2271</v>
      </c>
      <c r="G9" s="2">
        <f>E9/F9*1000</f>
        <v>25.53940995156319</v>
      </c>
    </row>
    <row r="10" spans="3:13">
      <c r="C10" t="s">
        <v>396</v>
      </c>
      <c r="E10">
        <v>55.57</v>
      </c>
      <c r="F10">
        <f>F9</f>
        <v>2271</v>
      </c>
      <c r="G10" s="2">
        <f>E10/F10*1000</f>
        <v>24.46939674152356</v>
      </c>
    </row>
    <row r="14" spans="3:13">
      <c r="M14">
        <f>E9/E8</f>
        <v>1.0863431531761827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CoalBalance</vt:lpstr>
      <vt:lpstr>CoalBalance for Word</vt:lpstr>
      <vt:lpstr>CoalBalance SATIM</vt:lpstr>
      <vt:lpstr>CoalBalance for Word final </vt:lpstr>
      <vt:lpstr>CoalBalance SATIM final</vt:lpstr>
      <vt:lpstr>Commodity flow native units</vt:lpstr>
      <vt:lpstr>2019 Eskom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IdeaPadL340</cp:lastModifiedBy>
  <cp:revision/>
  <dcterms:created xsi:type="dcterms:W3CDTF">2021-06-10T09:00:31Z</dcterms:created>
  <dcterms:modified xsi:type="dcterms:W3CDTF">2022-08-29T11:55:25Z</dcterms:modified>
  <cp:category/>
  <cp:contentStatus/>
</cp:coreProperties>
</file>