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mc:AlternateContent xmlns:mc="http://schemas.openxmlformats.org/markup-compatibility/2006">
    <mc:Choice Requires="x15">
      <x15ac:absPath xmlns:x15ac="http://schemas.microsoft.com/office/spreadsheetml/2010/11/ac" url="C:\Models\SATIMGE\Model Documentation\SATIM\Energy Balance\"/>
    </mc:Choice>
  </mc:AlternateContent>
  <xr:revisionPtr revIDLastSave="0" documentId="8_{DBB00164-A417-4E57-AEA6-635573EC7998}" xr6:coauthVersionLast="47" xr6:coauthVersionMax="47" xr10:uidLastSave="{00000000-0000-0000-0000-000000000000}"/>
  <bookViews>
    <workbookView xWindow="-120" yWindow="-120" windowWidth="29040" windowHeight="15840" activeTab="6" xr2:uid="{00000000-000D-0000-FFFF-FFFF00000000}"/>
  </bookViews>
  <sheets>
    <sheet name="SATIM Energy balance 2017 (new)" sheetId="1" r:id="rId1"/>
    <sheet name="Sheet12" sheetId="2" r:id="rId2"/>
    <sheet name="DMRE 2016EB" sheetId="3" r:id="rId3"/>
    <sheet name="DMRE 2017EB" sheetId="4" r:id="rId4"/>
    <sheet name="elec" sheetId="5" r:id="rId5"/>
    <sheet name="EskomSales" sheetId="6" r:id="rId6"/>
    <sheet name="gas" sheetId="7" r:id="rId7"/>
    <sheet name="HFO" sheetId="8" r:id="rId8"/>
    <sheet name="Inventory" sheetId="9" r:id="rId9"/>
    <sheet name="Wood" sheetId="10" r:id="rId10"/>
    <sheet name="NERSA2018" sheetId="11" r:id="rId11"/>
    <sheet name="NERSA2017" sheetId="12" r:id="rId12"/>
    <sheet name="SUT2017" sheetId="13" r:id="rId13"/>
    <sheet name="SUTCoal" sheetId="14" r:id="rId14"/>
    <sheet name="SUTElec" sheetId="15" r:id="rId15"/>
    <sheet name="Petroleum products" sheetId="16" r:id="rId16"/>
  </sheets>
  <definedNames>
    <definedName name="_xlnm._FilterDatabase" localSheetId="11" hidden="1">NERSA2017!$A$1:$P$132</definedName>
    <definedName name="_xlnm._FilterDatabase" localSheetId="10" hidden="1">NERSA2018!$A$1:$P$132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6" i="16" l="1"/>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B4" i="16"/>
  <c r="K88" i="15"/>
  <c r="L81" i="15"/>
  <c r="Q77" i="15"/>
  <c r="P77" i="15"/>
  <c r="O77" i="15"/>
  <c r="N77" i="15"/>
  <c r="Q76" i="15"/>
  <c r="P76" i="15"/>
  <c r="O76" i="15"/>
  <c r="N76" i="15"/>
  <c r="Q75" i="15"/>
  <c r="N75" i="15"/>
  <c r="Q74" i="15"/>
  <c r="N74" i="15"/>
  <c r="Q72" i="15"/>
  <c r="N72" i="15"/>
  <c r="Q71" i="15"/>
  <c r="N71" i="15"/>
  <c r="Q70" i="15"/>
  <c r="N70" i="15"/>
  <c r="Q69" i="15"/>
  <c r="N69" i="15"/>
  <c r="Q68" i="15"/>
  <c r="N68" i="15"/>
  <c r="Q67" i="15"/>
  <c r="N67" i="15"/>
  <c r="Q66" i="15"/>
  <c r="N66" i="15"/>
  <c r="Q65" i="15"/>
  <c r="N65" i="15"/>
  <c r="Q64" i="15"/>
  <c r="N64" i="15"/>
  <c r="M61" i="15"/>
  <c r="M60" i="15"/>
  <c r="M59" i="15"/>
  <c r="Q55" i="15"/>
  <c r="N55" i="15"/>
  <c r="L55" i="15"/>
  <c r="J7" i="15" s="1"/>
  <c r="Q54" i="15"/>
  <c r="N54" i="15"/>
  <c r="Q53" i="15"/>
  <c r="N53" i="15"/>
  <c r="M53" i="15"/>
  <c r="L53" i="15"/>
  <c r="K44" i="15"/>
  <c r="K43" i="15"/>
  <c r="L41" i="15"/>
  <c r="G41" i="15"/>
  <c r="D41" i="15"/>
  <c r="H41" i="15" s="1"/>
  <c r="C41" i="15"/>
  <c r="A41" i="15"/>
  <c r="L40" i="15"/>
  <c r="D40" i="15"/>
  <c r="H40" i="15" s="1"/>
  <c r="C40" i="15"/>
  <c r="G40" i="15" s="1"/>
  <c r="M40" i="15" s="1"/>
  <c r="A40" i="15"/>
  <c r="L39" i="15"/>
  <c r="D39" i="15"/>
  <c r="H39" i="15" s="1"/>
  <c r="C39" i="15"/>
  <c r="G39" i="15" s="1"/>
  <c r="M39" i="15" s="1"/>
  <c r="A39" i="15"/>
  <c r="L38" i="15"/>
  <c r="F38" i="15"/>
  <c r="E38" i="15"/>
  <c r="D38" i="15"/>
  <c r="H38" i="15" s="1"/>
  <c r="C38" i="15"/>
  <c r="G38" i="15" s="1"/>
  <c r="A38" i="15"/>
  <c r="N37" i="15"/>
  <c r="H37" i="15"/>
  <c r="F37" i="15"/>
  <c r="E37" i="15"/>
  <c r="G37" i="15" s="1"/>
  <c r="D37" i="15"/>
  <c r="C37" i="15"/>
  <c r="L36" i="15"/>
  <c r="F36" i="15"/>
  <c r="H36" i="15" s="1"/>
  <c r="E36" i="15"/>
  <c r="D36" i="15"/>
  <c r="C36" i="15"/>
  <c r="G36" i="15" s="1"/>
  <c r="F35" i="15"/>
  <c r="H35" i="15" s="1"/>
  <c r="E35" i="15"/>
  <c r="D35" i="15"/>
  <c r="C35" i="15"/>
  <c r="G35" i="15" s="1"/>
  <c r="M35" i="15" s="1"/>
  <c r="G34" i="15"/>
  <c r="F34" i="15"/>
  <c r="E34" i="15"/>
  <c r="D34" i="15"/>
  <c r="H34" i="15" s="1"/>
  <c r="C34" i="15"/>
  <c r="H33" i="15"/>
  <c r="F33" i="15"/>
  <c r="E33" i="15"/>
  <c r="G33" i="15" s="1"/>
  <c r="M33" i="15" s="1"/>
  <c r="D33" i="15"/>
  <c r="C33" i="15"/>
  <c r="F32" i="15"/>
  <c r="H32" i="15" s="1"/>
  <c r="E32" i="15"/>
  <c r="D32" i="15"/>
  <c r="C32" i="15"/>
  <c r="G32" i="15" s="1"/>
  <c r="M32" i="15" s="1"/>
  <c r="D31" i="15"/>
  <c r="C31" i="15"/>
  <c r="A31" i="15"/>
  <c r="F30" i="15"/>
  <c r="H30" i="15" s="1"/>
  <c r="D30" i="15"/>
  <c r="C30" i="15"/>
  <c r="G30" i="15" s="1"/>
  <c r="A30" i="15"/>
  <c r="J29" i="15"/>
  <c r="F29" i="15"/>
  <c r="E29" i="15"/>
  <c r="D29" i="15"/>
  <c r="H29" i="15" s="1"/>
  <c r="C29" i="15"/>
  <c r="G29" i="15" s="1"/>
  <c r="M29" i="15" s="1"/>
  <c r="K29" i="15" s="1"/>
  <c r="L29" i="15" s="1"/>
  <c r="A29" i="15"/>
  <c r="J28" i="15"/>
  <c r="G28" i="15"/>
  <c r="M28" i="15" s="1"/>
  <c r="F28" i="15"/>
  <c r="E28" i="15"/>
  <c r="D28" i="15"/>
  <c r="H28" i="15" s="1"/>
  <c r="C28" i="15"/>
  <c r="A28" i="15"/>
  <c r="H27" i="15"/>
  <c r="F27" i="15"/>
  <c r="E27" i="15"/>
  <c r="D27" i="15"/>
  <c r="C27" i="15"/>
  <c r="G27" i="15" s="1"/>
  <c r="M27" i="15" s="1"/>
  <c r="A27" i="15"/>
  <c r="F26" i="15"/>
  <c r="E26" i="15"/>
  <c r="D26" i="15"/>
  <c r="H26" i="15" s="1"/>
  <c r="C26" i="15"/>
  <c r="G26" i="15" s="1"/>
  <c r="A26" i="15"/>
  <c r="A32" i="15" s="1"/>
  <c r="A33" i="15" s="1"/>
  <c r="A34" i="15" s="1"/>
  <c r="A35" i="15" s="1"/>
  <c r="G25" i="15"/>
  <c r="F25" i="15"/>
  <c r="E25" i="15"/>
  <c r="D25" i="15"/>
  <c r="H25" i="15" s="1"/>
  <c r="C25" i="15"/>
  <c r="A25" i="15"/>
  <c r="H24" i="15"/>
  <c r="F24" i="15"/>
  <c r="E24" i="15"/>
  <c r="D24" i="15"/>
  <c r="C24" i="15"/>
  <c r="G24" i="15" s="1"/>
  <c r="M24" i="15" s="1"/>
  <c r="A24" i="15"/>
  <c r="F23" i="15"/>
  <c r="E23" i="15"/>
  <c r="D23" i="15"/>
  <c r="C23" i="15"/>
  <c r="A23" i="15"/>
  <c r="F22" i="15"/>
  <c r="E22" i="15"/>
  <c r="D22" i="15"/>
  <c r="C22" i="15"/>
  <c r="A22" i="15"/>
  <c r="O21" i="15"/>
  <c r="L21" i="15"/>
  <c r="D21" i="15"/>
  <c r="C21" i="15"/>
  <c r="I20" i="15"/>
  <c r="O17" i="15"/>
  <c r="N17" i="15" s="1"/>
  <c r="O16" i="15"/>
  <c r="A10" i="15"/>
  <c r="L75" i="15" s="1"/>
  <c r="A9" i="15"/>
  <c r="L76" i="15" s="1"/>
  <c r="L8" i="15"/>
  <c r="L54" i="15" s="1"/>
  <c r="M54" i="15" s="1"/>
  <c r="O6" i="15"/>
  <c r="N6" i="15"/>
  <c r="D6" i="15"/>
  <c r="H6" i="15" s="1"/>
  <c r="C6" i="15"/>
  <c r="G6" i="15" s="1"/>
  <c r="O4" i="15"/>
  <c r="N4" i="15"/>
  <c r="M4" i="15"/>
  <c r="J4" i="15"/>
  <c r="L4" i="15" s="1"/>
  <c r="L49" i="15" s="1"/>
  <c r="D4" i="15"/>
  <c r="C4" i="15"/>
  <c r="E4" i="15" s="1"/>
  <c r="A4" i="15"/>
  <c r="P66" i="14"/>
  <c r="O66" i="14"/>
  <c r="L58" i="14"/>
  <c r="K58" i="14"/>
  <c r="O50" i="14"/>
  <c r="O49" i="14"/>
  <c r="R48" i="14"/>
  <c r="S48" i="14" s="1"/>
  <c r="O48" i="14"/>
  <c r="O47" i="14"/>
  <c r="O46" i="14"/>
  <c r="O45" i="14"/>
  <c r="S44" i="14"/>
  <c r="R44" i="14"/>
  <c r="O44" i="14"/>
  <c r="O43" i="14"/>
  <c r="M43" i="14"/>
  <c r="L43" i="14"/>
  <c r="H43" i="14"/>
  <c r="F43" i="14"/>
  <c r="E43" i="14"/>
  <c r="C43" i="14"/>
  <c r="G43" i="14" s="1"/>
  <c r="A43" i="14"/>
  <c r="S42" i="14"/>
  <c r="R42" i="14"/>
  <c r="O42" i="14"/>
  <c r="K42" i="14"/>
  <c r="G42" i="14"/>
  <c r="E42" i="14"/>
  <c r="L42" i="14" s="1"/>
  <c r="C42" i="14"/>
  <c r="A42" i="14"/>
  <c r="Q41" i="14"/>
  <c r="O41" i="14"/>
  <c r="L41" i="14"/>
  <c r="K41" i="14"/>
  <c r="H41" i="14"/>
  <c r="E41" i="14"/>
  <c r="C41" i="14"/>
  <c r="A41" i="14"/>
  <c r="U40" i="14"/>
  <c r="U41" i="14" s="1"/>
  <c r="Q40" i="14"/>
  <c r="R40" i="14" s="1"/>
  <c r="S40" i="14" s="1"/>
  <c r="O40" i="14"/>
  <c r="M40" i="14"/>
  <c r="L40" i="14"/>
  <c r="K40" i="14"/>
  <c r="E40" i="14"/>
  <c r="C40" i="14"/>
  <c r="A40" i="14"/>
  <c r="O39" i="14"/>
  <c r="R37" i="14"/>
  <c r="S37" i="14" s="1"/>
  <c r="Q37" i="14"/>
  <c r="P37" i="14"/>
  <c r="M37" i="14"/>
  <c r="F37" i="14"/>
  <c r="C37" i="14"/>
  <c r="G37" i="14" s="1"/>
  <c r="K37" i="14" s="1"/>
  <c r="L37" i="14" s="1"/>
  <c r="Y36" i="14"/>
  <c r="S36" i="14"/>
  <c r="C36" i="14"/>
  <c r="S35" i="14"/>
  <c r="M35" i="14"/>
  <c r="C35" i="14"/>
  <c r="AC34" i="14"/>
  <c r="AB34" i="14"/>
  <c r="S34" i="14"/>
  <c r="C34" i="14"/>
  <c r="S33" i="14"/>
  <c r="E33" i="14"/>
  <c r="C33" i="14"/>
  <c r="A33" i="14"/>
  <c r="S32" i="14"/>
  <c r="M32" i="14"/>
  <c r="L32" i="14"/>
  <c r="K32" i="14"/>
  <c r="G32" i="14"/>
  <c r="F32" i="14"/>
  <c r="C32" i="14"/>
  <c r="A32" i="14"/>
  <c r="Z31" i="14"/>
  <c r="AB31" i="14" s="1"/>
  <c r="AC31" i="14" s="1"/>
  <c r="S31" i="14"/>
  <c r="M31" i="14"/>
  <c r="L31" i="14"/>
  <c r="K31" i="14"/>
  <c r="G31" i="14"/>
  <c r="F31" i="14"/>
  <c r="C31" i="14"/>
  <c r="A31" i="14"/>
  <c r="S30" i="14"/>
  <c r="M30" i="14"/>
  <c r="G30" i="14"/>
  <c r="F30" i="14"/>
  <c r="C30" i="14"/>
  <c r="A30" i="14"/>
  <c r="S29" i="14"/>
  <c r="M29" i="14"/>
  <c r="L29" i="14"/>
  <c r="C29" i="14"/>
  <c r="A29" i="14"/>
  <c r="Z28" i="14"/>
  <c r="AB28" i="14" s="1"/>
  <c r="AC28" i="14" s="1"/>
  <c r="S28" i="14"/>
  <c r="C28" i="14"/>
  <c r="S27" i="14"/>
  <c r="C27" i="14"/>
  <c r="A27" i="14"/>
  <c r="A28" i="14" s="1"/>
  <c r="A34" i="14" s="1"/>
  <c r="A35" i="14" s="1"/>
  <c r="A36" i="14" s="1"/>
  <c r="A37" i="14" s="1"/>
  <c r="Z26" i="14"/>
  <c r="Z30" i="14" s="1"/>
  <c r="AB30" i="14" s="1"/>
  <c r="AC30" i="14" s="1"/>
  <c r="S26" i="14"/>
  <c r="E26" i="14"/>
  <c r="C26" i="14"/>
  <c r="A26" i="14"/>
  <c r="S25" i="14"/>
  <c r="M25" i="14"/>
  <c r="M22" i="14" s="1"/>
  <c r="M6" i="14" s="1"/>
  <c r="K25" i="14"/>
  <c r="L25" i="14" s="1"/>
  <c r="G25" i="14"/>
  <c r="F25" i="14"/>
  <c r="C25" i="14"/>
  <c r="C24" i="14" s="1"/>
  <c r="G24" i="14" s="1"/>
  <c r="A25" i="14"/>
  <c r="M24" i="14"/>
  <c r="E24" i="14"/>
  <c r="D24" i="14"/>
  <c r="F24" i="14" s="1"/>
  <c r="A24" i="14"/>
  <c r="H23" i="14"/>
  <c r="C23" i="14"/>
  <c r="AB21" i="14"/>
  <c r="I19" i="14"/>
  <c r="I5" i="14" s="1"/>
  <c r="I4" i="14" s="1"/>
  <c r="L18" i="14"/>
  <c r="L62" i="14" s="1"/>
  <c r="K18" i="14"/>
  <c r="K62" i="14" s="1"/>
  <c r="E18" i="14"/>
  <c r="AB17" i="14"/>
  <c r="AB19" i="14" s="1"/>
  <c r="L9" i="14" s="1"/>
  <c r="E17" i="14"/>
  <c r="E16" i="14"/>
  <c r="K15" i="14"/>
  <c r="K59" i="14" s="1"/>
  <c r="E15" i="14"/>
  <c r="L15" i="14" s="1"/>
  <c r="L59" i="14" s="1"/>
  <c r="A13" i="14"/>
  <c r="J12" i="14"/>
  <c r="H12" i="14"/>
  <c r="F12" i="14"/>
  <c r="E12" i="14"/>
  <c r="K12" i="14" s="1"/>
  <c r="L12" i="14" s="1"/>
  <c r="M12" i="14" s="1"/>
  <c r="C12" i="14"/>
  <c r="G12" i="14" s="1"/>
  <c r="A12" i="14"/>
  <c r="M11" i="14"/>
  <c r="L11" i="14"/>
  <c r="N11" i="14" s="1"/>
  <c r="E11" i="14"/>
  <c r="P10" i="14"/>
  <c r="L10" i="14"/>
  <c r="K10" i="14"/>
  <c r="J10" i="14"/>
  <c r="J19" i="14" s="1"/>
  <c r="I10" i="14"/>
  <c r="H10" i="14"/>
  <c r="G10" i="14"/>
  <c r="G19" i="14" s="1"/>
  <c r="F10" i="14"/>
  <c r="C10" i="14"/>
  <c r="M8" i="14"/>
  <c r="L8" i="14"/>
  <c r="H8" i="14"/>
  <c r="I8" i="14" s="1"/>
  <c r="F8" i="14"/>
  <c r="C8" i="14"/>
  <c r="G8" i="14" s="1"/>
  <c r="A8" i="14"/>
  <c r="I6" i="14"/>
  <c r="P142" i="12"/>
  <c r="P141" i="12"/>
  <c r="N141" i="12"/>
  <c r="P140" i="12"/>
  <c r="N140" i="12"/>
  <c r="N136" i="12"/>
  <c r="N137" i="12" s="1"/>
  <c r="N135" i="12"/>
  <c r="N134" i="12"/>
  <c r="M150" i="11"/>
  <c r="K150" i="11"/>
  <c r="O147" i="11"/>
  <c r="N147" i="11"/>
  <c r="K16" i="14" s="1"/>
  <c r="K147" i="11"/>
  <c r="K146" i="11"/>
  <c r="M144" i="11"/>
  <c r="K144" i="11"/>
  <c r="M58" i="15" s="1"/>
  <c r="N140" i="11"/>
  <c r="K140" i="11"/>
  <c r="N139" i="11"/>
  <c r="N141" i="11" s="1"/>
  <c r="K139" i="11"/>
  <c r="K138" i="11"/>
  <c r="M138" i="11" s="1"/>
  <c r="K17" i="14" s="1"/>
  <c r="K137" i="11"/>
  <c r="M137" i="11" s="1"/>
  <c r="M141" i="11" s="1"/>
  <c r="I137" i="11"/>
  <c r="B12" i="10"/>
  <c r="B11" i="10"/>
  <c r="B10" i="10"/>
  <c r="B9" i="10"/>
  <c r="B8" i="10"/>
  <c r="B7" i="10"/>
  <c r="B6" i="10"/>
  <c r="B5" i="10" s="1"/>
  <c r="H48" i="9"/>
  <c r="H56" i="9" s="1"/>
  <c r="G48" i="9"/>
  <c r="F48" i="9"/>
  <c r="F54" i="9" s="1"/>
  <c r="E48" i="9"/>
  <c r="E56" i="9" s="1"/>
  <c r="D48" i="9"/>
  <c r="D55" i="9" s="1"/>
  <c r="C48" i="9"/>
  <c r="C55" i="9" s="1"/>
  <c r="A24" i="9"/>
  <c r="A23" i="9"/>
  <c r="A22" i="9"/>
  <c r="A21" i="9"/>
  <c r="A20" i="9"/>
  <c r="A19" i="9"/>
  <c r="A18" i="9"/>
  <c r="A17" i="9"/>
  <c r="A16" i="9"/>
  <c r="A15" i="9"/>
  <c r="A14" i="9"/>
  <c r="A13" i="9"/>
  <c r="H55" i="9" s="1"/>
  <c r="A12" i="9"/>
  <c r="A11" i="9"/>
  <c r="A10" i="9"/>
  <c r="A9" i="9"/>
  <c r="A8" i="9"/>
  <c r="A7" i="9"/>
  <c r="I56" i="9" s="1"/>
  <c r="A6" i="9"/>
  <c r="A5" i="9"/>
  <c r="A4" i="9"/>
  <c r="I54" i="9" s="1"/>
  <c r="A3" i="9"/>
  <c r="G56" i="9" s="1"/>
  <c r="D45" i="8"/>
  <c r="D43" i="8"/>
  <c r="D35" i="8"/>
  <c r="D22" i="8"/>
  <c r="D21" i="8"/>
  <c r="G14" i="8"/>
  <c r="L12" i="8"/>
  <c r="L11" i="8"/>
  <c r="L10" i="8"/>
  <c r="L9" i="8"/>
  <c r="G9" i="8"/>
  <c r="G13" i="8" s="1"/>
  <c r="L8" i="8"/>
  <c r="G8" i="8"/>
  <c r="L7" i="8"/>
  <c r="L6" i="8"/>
  <c r="O65" i="7"/>
  <c r="O64" i="7"/>
  <c r="P63" i="7"/>
  <c r="O63" i="7"/>
  <c r="N44" i="7" s="1"/>
  <c r="U56" i="7"/>
  <c r="U53" i="7"/>
  <c r="N51" i="7"/>
  <c r="O50" i="7"/>
  <c r="N48" i="7"/>
  <c r="C47" i="7"/>
  <c r="C46" i="7"/>
  <c r="N45" i="7"/>
  <c r="C45" i="7"/>
  <c r="C44" i="7"/>
  <c r="N43" i="7"/>
  <c r="N50" i="7" s="1"/>
  <c r="C43" i="7"/>
  <c r="C42" i="7"/>
  <c r="C41" i="7"/>
  <c r="C40" i="7"/>
  <c r="N39" i="7"/>
  <c r="N38" i="7"/>
  <c r="N36" i="7" s="1"/>
  <c r="R37" i="7"/>
  <c r="N37" i="7"/>
  <c r="A36" i="7"/>
  <c r="B36" i="16" s="1" a="1"/>
  <c r="B36" i="16" s="1"/>
  <c r="J35" i="7"/>
  <c r="A35" i="7"/>
  <c r="R41" i="7" s="1"/>
  <c r="J34" i="7"/>
  <c r="A34" i="7"/>
  <c r="N33" i="7"/>
  <c r="A33" i="7"/>
  <c r="N32" i="7"/>
  <c r="M32" i="7"/>
  <c r="M35" i="7" s="1"/>
  <c r="N35" i="7" s="1"/>
  <c r="J32" i="7"/>
  <c r="A32" i="7"/>
  <c r="B32" i="16" s="1" a="1"/>
  <c r="B32" i="16" s="1"/>
  <c r="J31" i="7"/>
  <c r="A31" i="7"/>
  <c r="N30" i="7"/>
  <c r="A30" i="7"/>
  <c r="G30" i="7" s="1" a="1"/>
  <c r="G30" i="7" s="1"/>
  <c r="N29" i="7"/>
  <c r="A29" i="7"/>
  <c r="R35" i="7" s="1"/>
  <c r="J28" i="7"/>
  <c r="A28" i="7"/>
  <c r="B28" i="16" s="1" a="1"/>
  <c r="B28" i="16" s="1"/>
  <c r="R27" i="7"/>
  <c r="A27" i="7"/>
  <c r="F27" i="7" s="1" a="1"/>
  <c r="F27" i="7" s="1"/>
  <c r="A26" i="7"/>
  <c r="A25" i="7"/>
  <c r="J24" i="7"/>
  <c r="A24" i="7"/>
  <c r="B24" i="16" s="1" a="1"/>
  <c r="B24" i="16" s="1"/>
  <c r="U23" i="7"/>
  <c r="F23" i="7" a="1"/>
  <c r="F23" i="7" s="1"/>
  <c r="A23" i="7"/>
  <c r="J23" i="7" s="1"/>
  <c r="J22" i="7"/>
  <c r="A22" i="7"/>
  <c r="I22" i="7" s="1" a="1"/>
  <c r="I22" i="7" s="1"/>
  <c r="J21" i="7"/>
  <c r="F21" i="7" a="1"/>
  <c r="F21" i="7" s="1"/>
  <c r="A21" i="7"/>
  <c r="J20" i="7"/>
  <c r="F20" i="7" a="1"/>
  <c r="F20" i="7" s="1"/>
  <c r="A20" i="7"/>
  <c r="B20" i="16" s="1" a="1"/>
  <c r="B20" i="16" s="1"/>
  <c r="J19" i="7"/>
  <c r="F19" i="7" a="1"/>
  <c r="F19" i="7" s="1"/>
  <c r="A19" i="7"/>
  <c r="B19" i="16" s="1" a="1"/>
  <c r="B19" i="16" s="1"/>
  <c r="J18" i="7"/>
  <c r="A18" i="7"/>
  <c r="J17" i="7"/>
  <c r="F17" i="7" a="1"/>
  <c r="F17" i="7"/>
  <c r="A17" i="7"/>
  <c r="U16" i="7"/>
  <c r="U24" i="7" s="1"/>
  <c r="A16" i="7"/>
  <c r="B16" i="16" s="1" a="1"/>
  <c r="B16" i="16" s="1"/>
  <c r="A15" i="7"/>
  <c r="A14" i="7"/>
  <c r="H14" i="7" s="1" a="1"/>
  <c r="H14" i="7" s="1"/>
  <c r="J13" i="7"/>
  <c r="I13" i="7" a="1"/>
  <c r="I13" i="7" s="1"/>
  <c r="F13" i="7" a="1"/>
  <c r="F13" i="7" s="1"/>
  <c r="A13" i="7"/>
  <c r="B13" i="16" s="1" a="1"/>
  <c r="B13" i="16" s="1"/>
  <c r="U12" i="7"/>
  <c r="J12" i="7"/>
  <c r="A12" i="7"/>
  <c r="G11" i="7" a="1"/>
  <c r="G11" i="7" s="1"/>
  <c r="D11" i="7" a="1"/>
  <c r="D11" i="7" s="1"/>
  <c r="A11" i="7"/>
  <c r="B11" i="16" s="1" a="1"/>
  <c r="B11" i="16" s="1"/>
  <c r="J10" i="7"/>
  <c r="G10" i="7" a="1"/>
  <c r="G10" i="7" s="1"/>
  <c r="F10" i="7" a="1"/>
  <c r="F10" i="7" s="1"/>
  <c r="D10" i="7" a="1"/>
  <c r="D10" i="7" s="1"/>
  <c r="A10" i="7"/>
  <c r="B10" i="16" s="1" a="1"/>
  <c r="B10" i="16" s="1"/>
  <c r="I9" i="7" a="1"/>
  <c r="I9" i="7" s="1"/>
  <c r="G9" i="7" a="1"/>
  <c r="G9" i="7" s="1"/>
  <c r="D9" i="7" a="1"/>
  <c r="D9" i="7" s="1"/>
  <c r="C9" i="7" a="1"/>
  <c r="C9" i="7" s="1"/>
  <c r="A9" i="7"/>
  <c r="B9" i="16" s="1" a="1"/>
  <c r="B9" i="16" s="1"/>
  <c r="U8" i="7"/>
  <c r="G8" i="7" a="1"/>
  <c r="G8" i="7" s="1"/>
  <c r="F8" i="7" a="1"/>
  <c r="F8" i="7" s="1"/>
  <c r="D8" i="7" a="1"/>
  <c r="D8" i="7" s="1"/>
  <c r="A8" i="7"/>
  <c r="B8" i="16" s="1" a="1"/>
  <c r="B8" i="16" s="1"/>
  <c r="U7" i="7"/>
  <c r="J7" i="7"/>
  <c r="F7" i="7" a="1"/>
  <c r="F7" i="7" s="1"/>
  <c r="D7" i="7" a="1"/>
  <c r="D7" i="7"/>
  <c r="A7" i="7"/>
  <c r="B7" i="16" s="1" a="1"/>
  <c r="B7" i="16" s="1"/>
  <c r="J6" i="7"/>
  <c r="D6" i="7" a="1"/>
  <c r="D6" i="7"/>
  <c r="A6" i="7"/>
  <c r="B6" i="16" s="1" a="1"/>
  <c r="B6" i="16" s="1"/>
  <c r="J5" i="7"/>
  <c r="G5" i="7" a="1"/>
  <c r="G5" i="7"/>
  <c r="F5" i="7" a="1"/>
  <c r="F5" i="7" s="1"/>
  <c r="E5" i="7" a="1"/>
  <c r="E5" i="7" s="1"/>
  <c r="D5" i="7" a="1"/>
  <c r="D5" i="7"/>
  <c r="A5" i="7"/>
  <c r="B5" i="16" s="1" a="1"/>
  <c r="B5" i="16" s="1"/>
  <c r="J4" i="7"/>
  <c r="I4" i="7"/>
  <c r="I17" i="7" s="1" a="1"/>
  <c r="I17" i="7" s="1"/>
  <c r="H4" i="7"/>
  <c r="H25" i="7" s="1" a="1"/>
  <c r="H25" i="7" s="1"/>
  <c r="G4" i="7"/>
  <c r="G17" i="7" s="1" a="1"/>
  <c r="G17" i="7" s="1"/>
  <c r="F4" i="7"/>
  <c r="E4" i="7"/>
  <c r="E7" i="7" s="1" a="1"/>
  <c r="E7" i="7" s="1"/>
  <c r="D4" i="7"/>
  <c r="D21" i="7" s="1" a="1"/>
  <c r="D21" i="7" s="1"/>
  <c r="C4" i="7"/>
  <c r="C57" i="5"/>
  <c r="B57" i="5"/>
  <c r="C56" i="5"/>
  <c r="B56" i="5"/>
  <c r="B55" i="5"/>
  <c r="C55" i="5" s="1"/>
  <c r="C54" i="5"/>
  <c r="B54" i="5"/>
  <c r="B53" i="5"/>
  <c r="C53" i="5" s="1"/>
  <c r="C46" i="5"/>
  <c r="B46" i="5"/>
  <c r="A46" i="5"/>
  <c r="F45" i="5"/>
  <c r="G44" i="5"/>
  <c r="C44" i="5"/>
  <c r="E43" i="5"/>
  <c r="D43" i="5"/>
  <c r="C43" i="5"/>
  <c r="D42" i="5"/>
  <c r="E42" i="5" s="1"/>
  <c r="G42" i="5" s="1"/>
  <c r="C42" i="5"/>
  <c r="B42" i="5"/>
  <c r="G41" i="5"/>
  <c r="B41" i="5"/>
  <c r="C41" i="5" s="1"/>
  <c r="A41" i="5"/>
  <c r="F40" i="5"/>
  <c r="D40" i="5"/>
  <c r="E40" i="5" s="1"/>
  <c r="G40" i="5" s="1"/>
  <c r="I40" i="5" s="1"/>
  <c r="C40" i="5"/>
  <c r="B40" i="5"/>
  <c r="A40" i="5"/>
  <c r="F39" i="5"/>
  <c r="G39" i="5" s="1"/>
  <c r="I39" i="5" s="1"/>
  <c r="E39" i="5"/>
  <c r="D39" i="5"/>
  <c r="C39" i="5"/>
  <c r="B39" i="5"/>
  <c r="A39" i="5"/>
  <c r="F38" i="5"/>
  <c r="D38" i="5"/>
  <c r="E38" i="5" s="1"/>
  <c r="G38" i="5" s="1"/>
  <c r="I38" i="5" s="1"/>
  <c r="B38" i="5"/>
  <c r="C38" i="5" s="1"/>
  <c r="A38" i="5"/>
  <c r="F37" i="5"/>
  <c r="D37" i="5"/>
  <c r="E37" i="5" s="1"/>
  <c r="G37" i="5" s="1"/>
  <c r="I37" i="5" s="1"/>
  <c r="C37" i="5"/>
  <c r="B37" i="5"/>
  <c r="A37" i="5"/>
  <c r="F36" i="5"/>
  <c r="D36" i="5"/>
  <c r="D47" i="5" s="1"/>
  <c r="B36" i="5"/>
  <c r="C36" i="5" s="1"/>
  <c r="F28" i="5"/>
  <c r="E28" i="5"/>
  <c r="D28" i="5"/>
  <c r="D45" i="5" s="1"/>
  <c r="B28" i="5"/>
  <c r="B45" i="5" s="1"/>
  <c r="A28" i="5"/>
  <c r="B104" i="4"/>
  <c r="C102" i="4" s="1"/>
  <c r="C99" i="4"/>
  <c r="D91" i="4"/>
  <c r="B91" i="4"/>
  <c r="G87" i="4"/>
  <c r="F91" i="4" s="1"/>
  <c r="F87" i="4"/>
  <c r="E91" i="4" s="1"/>
  <c r="E87" i="4"/>
  <c r="D87" i="4"/>
  <c r="B87" i="4"/>
  <c r="I86" i="4"/>
  <c r="I87" i="4" s="1"/>
  <c r="H86" i="4"/>
  <c r="H87" i="4" s="1"/>
  <c r="G86" i="4"/>
  <c r="F86" i="4"/>
  <c r="E86" i="4"/>
  <c r="D86" i="4"/>
  <c r="C86" i="4"/>
  <c r="A86" i="4" s="1"/>
  <c r="B86" i="4"/>
  <c r="I85" i="4"/>
  <c r="H85" i="4"/>
  <c r="G85" i="4"/>
  <c r="F85" i="4"/>
  <c r="E85" i="4"/>
  <c r="D85" i="4"/>
  <c r="C85" i="4"/>
  <c r="B85" i="4"/>
  <c r="BR1" i="4"/>
  <c r="AS1" i="4"/>
  <c r="AK1" i="4"/>
  <c r="Z1" i="4"/>
  <c r="Y1" i="4"/>
  <c r="X1" i="4"/>
  <c r="W1" i="4"/>
  <c r="V1" i="4"/>
  <c r="X5" i="1" s="1"/>
  <c r="U1" i="4"/>
  <c r="T1" i="4"/>
  <c r="S1" i="4"/>
  <c r="R1" i="4"/>
  <c r="Q1" i="4"/>
  <c r="P1" i="4"/>
  <c r="Y5" i="1" s="1"/>
  <c r="N7" i="2"/>
  <c r="D7" i="2"/>
  <c r="C7" i="2"/>
  <c r="J62" i="1"/>
  <c r="J61" i="1"/>
  <c r="I53" i="1"/>
  <c r="I52" i="1"/>
  <c r="I51" i="1"/>
  <c r="I50" i="1"/>
  <c r="I49" i="1"/>
  <c r="I48" i="1"/>
  <c r="I47" i="1"/>
  <c r="I46" i="1"/>
  <c r="H46" i="1"/>
  <c r="J44" i="1"/>
  <c r="I44" i="1"/>
  <c r="D44" i="1"/>
  <c r="J43" i="1"/>
  <c r="U60" i="7" s="1"/>
  <c r="U19" i="7" s="1"/>
  <c r="I43" i="1"/>
  <c r="I42" i="1"/>
  <c r="I41" i="1"/>
  <c r="D41" i="1"/>
  <c r="D40" i="1"/>
  <c r="H38" i="1"/>
  <c r="N37" i="1"/>
  <c r="I37" i="1"/>
  <c r="H37" i="1"/>
  <c r="I36" i="1"/>
  <c r="H36" i="1"/>
  <c r="J35" i="1"/>
  <c r="K33" i="1"/>
  <c r="R32" i="1"/>
  <c r="M32" i="1"/>
  <c r="L32" i="1"/>
  <c r="K32" i="1"/>
  <c r="H32" i="1"/>
  <c r="R31" i="1"/>
  <c r="M31" i="1"/>
  <c r="M30" i="1" s="1"/>
  <c r="M29" i="1" s="1"/>
  <c r="L31" i="1"/>
  <c r="L33" i="1" s="1"/>
  <c r="K31" i="1"/>
  <c r="J31" i="1"/>
  <c r="H31" i="1"/>
  <c r="H34" i="1" s="1"/>
  <c r="H29" i="1" s="1"/>
  <c r="R30" i="1"/>
  <c r="R29" i="1" s="1"/>
  <c r="Q30" i="1"/>
  <c r="S29" i="1"/>
  <c r="Q29" i="1"/>
  <c r="P29" i="1"/>
  <c r="O29" i="1"/>
  <c r="N29" i="1"/>
  <c r="K29" i="1"/>
  <c r="Q28" i="1"/>
  <c r="Q55" i="1" s="1"/>
  <c r="P28" i="1"/>
  <c r="P55" i="1" s="1"/>
  <c r="O28" i="1"/>
  <c r="N28" i="1"/>
  <c r="P26" i="1"/>
  <c r="D23" i="8" s="1"/>
  <c r="M26" i="1"/>
  <c r="L26" i="1"/>
  <c r="L11" i="1" s="1"/>
  <c r="L28" i="1" s="1"/>
  <c r="H25" i="1"/>
  <c r="S22" i="1"/>
  <c r="S11" i="1" s="1"/>
  <c r="I14" i="1"/>
  <c r="H14" i="1"/>
  <c r="P13" i="1"/>
  <c r="H13" i="1"/>
  <c r="Z11" i="1"/>
  <c r="X11" i="1"/>
  <c r="T11" i="1"/>
  <c r="R11" i="1"/>
  <c r="R28" i="1" s="1"/>
  <c r="R55" i="1" s="1"/>
  <c r="Q11" i="1"/>
  <c r="P11" i="1"/>
  <c r="M11" i="1"/>
  <c r="M28" i="1" s="1"/>
  <c r="K11" i="1"/>
  <c r="K28" i="1" s="1"/>
  <c r="K55" i="1" s="1"/>
  <c r="G11" i="1"/>
  <c r="T5" i="1"/>
  <c r="G5" i="1"/>
  <c r="B5" i="1"/>
  <c r="U4" i="1"/>
  <c r="H4" i="1"/>
  <c r="B4" i="1"/>
  <c r="R2" i="1"/>
  <c r="R5" i="1" s="1"/>
  <c r="Q2" i="1"/>
  <c r="Q5" i="1" s="1"/>
  <c r="M2" i="1"/>
  <c r="L2" i="1"/>
  <c r="L4" i="1" s="1"/>
  <c r="K2" i="1"/>
  <c r="K5" i="1" s="1"/>
  <c r="J2" i="1"/>
  <c r="J5" i="1" s="1"/>
  <c r="H2" i="1"/>
  <c r="G2" i="1"/>
  <c r="D2" i="1"/>
  <c r="D5" i="1" s="1"/>
  <c r="C2" i="1"/>
  <c r="C5" i="1" s="1"/>
  <c r="M55" i="1" l="1"/>
  <c r="C4" i="1"/>
  <c r="C28" i="5"/>
  <c r="C45" i="5" s="1"/>
  <c r="C39" i="7"/>
  <c r="C34" i="7" a="1"/>
  <c r="C34" i="7" s="1"/>
  <c r="D14" i="7" a="1"/>
  <c r="D14" i="7" s="1"/>
  <c r="G15" i="7" a="1"/>
  <c r="G15" i="7" s="1"/>
  <c r="B15" i="16" a="1"/>
  <c r="B15" i="16" s="1"/>
  <c r="D15" i="7" a="1"/>
  <c r="D15" i="7" s="1"/>
  <c r="I15" i="7" a="1"/>
  <c r="I15" i="7" s="1"/>
  <c r="H16" i="7" a="1"/>
  <c r="H16" i="7" s="1"/>
  <c r="D19" i="7" a="1"/>
  <c r="D19" i="7" s="1"/>
  <c r="D20" i="7" a="1"/>
  <c r="D20" i="7" s="1"/>
  <c r="E22" i="7" a="1"/>
  <c r="E22" i="7" s="1"/>
  <c r="I25" i="7" a="1"/>
  <c r="I25" i="7" s="1"/>
  <c r="D27" i="7" a="1"/>
  <c r="D27" i="7" s="1"/>
  <c r="E30" i="7" a="1"/>
  <c r="E30" i="7" s="1"/>
  <c r="O4" i="1"/>
  <c r="G6" i="7" a="1"/>
  <c r="G6" i="7" s="1"/>
  <c r="H12" i="7" a="1"/>
  <c r="H12" i="7" s="1"/>
  <c r="D4" i="1"/>
  <c r="Q4" i="1"/>
  <c r="P5" i="1"/>
  <c r="D18" i="7" a="1"/>
  <c r="D18" i="7" s="1"/>
  <c r="D38" i="7" s="1"/>
  <c r="D34" i="7" a="1"/>
  <c r="D34" i="7" s="1"/>
  <c r="H8" i="7" a="1"/>
  <c r="H8" i="7" s="1"/>
  <c r="E9" i="7" a="1"/>
  <c r="E9" i="7" s="1"/>
  <c r="H10" i="7" a="1"/>
  <c r="H10" i="7" s="1"/>
  <c r="E11" i="7" a="1"/>
  <c r="E11" i="7" s="1"/>
  <c r="B12" i="16" a="1"/>
  <c r="B12" i="16" s="1"/>
  <c r="I12" i="7" a="1"/>
  <c r="I12" i="7" s="1"/>
  <c r="C12" i="7" a="1"/>
  <c r="C12" i="7" s="1"/>
  <c r="G13" i="7" a="1"/>
  <c r="G13" i="7" s="1"/>
  <c r="J15" i="7"/>
  <c r="E19" i="7" a="1"/>
  <c r="E19" i="7" s="1"/>
  <c r="E20" i="7" a="1"/>
  <c r="E20" i="7" s="1"/>
  <c r="E21" i="7" a="1"/>
  <c r="E21" i="7" s="1"/>
  <c r="G23" i="7" a="1"/>
  <c r="G23" i="7" s="1"/>
  <c r="R32" i="7"/>
  <c r="H26" i="7" a="1"/>
  <c r="H26" i="7" s="1"/>
  <c r="G26" i="7" a="1"/>
  <c r="G26" i="7" s="1"/>
  <c r="F26" i="7" a="1"/>
  <c r="F26" i="7" s="1"/>
  <c r="B26" i="16" a="1"/>
  <c r="B26" i="16" s="1"/>
  <c r="D26" i="7" a="1"/>
  <c r="D26" i="7" s="1"/>
  <c r="I26" i="7" a="1"/>
  <c r="I26" i="7" s="1"/>
  <c r="C26" i="7" a="1"/>
  <c r="C26" i="7" s="1"/>
  <c r="J6" i="15"/>
  <c r="L7" i="15"/>
  <c r="L6" i="15" s="1"/>
  <c r="Z5" i="1"/>
  <c r="H6" i="7" a="1"/>
  <c r="H6" i="7" s="1"/>
  <c r="E14" i="7" a="1"/>
  <c r="E14" i="7" s="1"/>
  <c r="C15" i="7" a="1"/>
  <c r="C15" i="7" s="1"/>
  <c r="T13" i="7" s="1"/>
  <c r="G22" i="7" a="1"/>
  <c r="G22" i="7" s="1"/>
  <c r="H23" i="7" a="1"/>
  <c r="H23" i="7" s="1"/>
  <c r="G27" i="7" a="1"/>
  <c r="G27" i="7" s="1"/>
  <c r="H30" i="7" a="1"/>
  <c r="H30" i="7" s="1"/>
  <c r="M5" i="14"/>
  <c r="N5" i="1"/>
  <c r="I16" i="7" a="1"/>
  <c r="I16" i="7" s="1"/>
  <c r="F4" i="1"/>
  <c r="S4" i="1"/>
  <c r="E5" i="1"/>
  <c r="AB5" i="1" s="1"/>
  <c r="C97" i="4"/>
  <c r="F34" i="7" a="1"/>
  <c r="F34" i="7" s="1"/>
  <c r="F31" i="7" a="1"/>
  <c r="F31" i="7" s="1"/>
  <c r="C8" i="7" a="1"/>
  <c r="C8" i="7" s="1"/>
  <c r="I8" i="7" a="1"/>
  <c r="I8" i="7" s="1"/>
  <c r="F9" i="7" a="1"/>
  <c r="F9" i="7" s="1"/>
  <c r="C10" i="7" a="1"/>
  <c r="C10" i="7" s="1"/>
  <c r="I10" i="7" a="1"/>
  <c r="I10" i="7" s="1"/>
  <c r="F11" i="7" a="1"/>
  <c r="F11" i="7" s="1"/>
  <c r="H13" i="7" a="1"/>
  <c r="H13" i="7" s="1"/>
  <c r="J16" i="7"/>
  <c r="F18" i="7" a="1"/>
  <c r="F18" i="7" s="1"/>
  <c r="H22" i="7" a="1"/>
  <c r="H22" i="7" s="1"/>
  <c r="H27" i="7" a="1"/>
  <c r="H27" i="7" s="1"/>
  <c r="C29" i="7" a="1"/>
  <c r="C29" i="7" s="1"/>
  <c r="K60" i="14"/>
  <c r="D42" i="1" s="1"/>
  <c r="W41" i="1" s="1"/>
  <c r="L16" i="14"/>
  <c r="L60" i="14" s="1"/>
  <c r="M76" i="15"/>
  <c r="I25" i="1" s="1"/>
  <c r="L84" i="15"/>
  <c r="H49" i="1" s="1"/>
  <c r="M41" i="15"/>
  <c r="P4" i="1"/>
  <c r="O5" i="1"/>
  <c r="AA5" i="1"/>
  <c r="E4" i="1"/>
  <c r="R4" i="1"/>
  <c r="C96" i="4"/>
  <c r="E28" i="7" a="1"/>
  <c r="E28" i="7" s="1"/>
  <c r="E34" i="7" a="1"/>
  <c r="E34" i="7" s="1"/>
  <c r="E31" i="7" a="1"/>
  <c r="E31" i="7" s="1"/>
  <c r="E17" i="7" a="1"/>
  <c r="E17" i="7" s="1"/>
  <c r="G4" i="1"/>
  <c r="T4" i="1"/>
  <c r="F5" i="1"/>
  <c r="S5" i="1"/>
  <c r="C98" i="4"/>
  <c r="G28" i="5"/>
  <c r="G34" i="7" a="1"/>
  <c r="G34" i="7" s="1"/>
  <c r="G18" i="7" a="1"/>
  <c r="G18" i="7" s="1"/>
  <c r="C6" i="7" a="1"/>
  <c r="C6" i="7" s="1"/>
  <c r="T8" i="7" s="1"/>
  <c r="I6" i="7" a="1"/>
  <c r="I6" i="7" s="1"/>
  <c r="J8" i="7"/>
  <c r="D12" i="7" a="1"/>
  <c r="D12" i="7" s="1"/>
  <c r="F14" i="7" a="1"/>
  <c r="F14" i="7" s="1"/>
  <c r="C16" i="7" a="1"/>
  <c r="C16" i="7" s="1"/>
  <c r="G19" i="7" a="1"/>
  <c r="G19" i="7" s="1"/>
  <c r="G20" i="7" a="1"/>
  <c r="G20" i="7" s="1"/>
  <c r="G21" i="7" a="1"/>
  <c r="G21" i="7" s="1"/>
  <c r="D25" i="7" a="1"/>
  <c r="D25" i="7" s="1"/>
  <c r="J25" i="7"/>
  <c r="N19" i="7" s="1"/>
  <c r="B25" i="16" a="1"/>
  <c r="B25" i="16" s="1"/>
  <c r="E29" i="7" a="1"/>
  <c r="E29" i="7" s="1"/>
  <c r="M75" i="15"/>
  <c r="I13" i="1" s="1"/>
  <c r="L83" i="15"/>
  <c r="H48" i="1" s="1"/>
  <c r="E15" i="7" a="1"/>
  <c r="E15" i="7" s="1"/>
  <c r="H17" i="7" a="1"/>
  <c r="H17" i="7" s="1"/>
  <c r="H19" i="7" a="1"/>
  <c r="H19" i="7" s="1"/>
  <c r="H20" i="7" a="1"/>
  <c r="H20" i="7" s="1"/>
  <c r="H21" i="7" a="1"/>
  <c r="H21" i="7" s="1"/>
  <c r="C25" i="7" a="1"/>
  <c r="C25" i="7" s="1"/>
  <c r="E26" i="7" a="1"/>
  <c r="E26" i="7" s="1"/>
  <c r="F29" i="7" a="1"/>
  <c r="F29" i="7" s="1"/>
  <c r="H31" i="7" a="1"/>
  <c r="H31" i="7" s="1"/>
  <c r="F33" i="7" a="1"/>
  <c r="F33" i="7" s="1"/>
  <c r="D33" i="7" a="1"/>
  <c r="D33" i="7" s="1"/>
  <c r="J33" i="7"/>
  <c r="I33" i="7" a="1"/>
  <c r="I33" i="7" s="1"/>
  <c r="C33" i="7" a="1"/>
  <c r="C33" i="7" s="1"/>
  <c r="B33" i="16" a="1"/>
  <c r="B33" i="16" s="1"/>
  <c r="G33" i="7" a="1"/>
  <c r="G33" i="7" s="1"/>
  <c r="J4" i="1"/>
  <c r="V4" i="1"/>
  <c r="H5" i="1"/>
  <c r="U5" i="1"/>
  <c r="L29" i="1"/>
  <c r="L55" i="1" s="1"/>
  <c r="C100" i="4"/>
  <c r="I34" i="7" a="1"/>
  <c r="I34" i="7" s="1"/>
  <c r="I31" i="7" a="1"/>
  <c r="I31" i="7" s="1"/>
  <c r="G7" i="7" a="1"/>
  <c r="G7" i="7" s="1"/>
  <c r="E12" i="7" a="1"/>
  <c r="E12" i="7" s="1"/>
  <c r="C13" i="7" a="1"/>
  <c r="C13" i="7" s="1"/>
  <c r="G14" i="7" a="1"/>
  <c r="G14" i="7" s="1"/>
  <c r="D16" i="7" a="1"/>
  <c r="D16" i="7" s="1"/>
  <c r="I19" i="7" a="1"/>
  <c r="I19" i="7" s="1"/>
  <c r="I20" i="7" a="1"/>
  <c r="I20" i="7" s="1"/>
  <c r="G29" i="7" a="1"/>
  <c r="G29" i="7" s="1"/>
  <c r="C31" i="7" a="1"/>
  <c r="C31" i="7" s="1"/>
  <c r="E33" i="7" a="1"/>
  <c r="E33" i="7" s="1"/>
  <c r="J8" i="8"/>
  <c r="D28" i="8" s="1"/>
  <c r="J12" i="8"/>
  <c r="D32" i="8" s="1"/>
  <c r="J7" i="8"/>
  <c r="D27" i="8" s="1"/>
  <c r="J11" i="8"/>
  <c r="D31" i="8" s="1"/>
  <c r="J6" i="8"/>
  <c r="D26" i="8" s="1"/>
  <c r="J10" i="8"/>
  <c r="D30" i="8" s="1"/>
  <c r="J9" i="8"/>
  <c r="K61" i="14"/>
  <c r="D43" i="1" s="1"/>
  <c r="L17" i="14"/>
  <c r="L61" i="14" s="1"/>
  <c r="M34" i="15"/>
  <c r="K4" i="1"/>
  <c r="W4" i="1"/>
  <c r="N49" i="7"/>
  <c r="N47" i="7" s="1"/>
  <c r="U59" i="7"/>
  <c r="U18" i="7" s="1"/>
  <c r="U17" i="7" s="1"/>
  <c r="C101" i="4"/>
  <c r="E8" i="7" a="1"/>
  <c r="E8" i="7" s="1"/>
  <c r="E10" i="7" a="1"/>
  <c r="E10" i="7" s="1"/>
  <c r="H11" i="7" a="1"/>
  <c r="H11" i="7" s="1"/>
  <c r="F15" i="7" a="1"/>
  <c r="F15" i="7" s="1"/>
  <c r="E16" i="7" a="1"/>
  <c r="E16" i="7" s="1"/>
  <c r="C17" i="7" a="1"/>
  <c r="C17" i="7" s="1"/>
  <c r="T17" i="7" s="1"/>
  <c r="I18" i="7" a="1"/>
  <c r="I18" i="7" s="1"/>
  <c r="R29" i="7"/>
  <c r="I23" i="7" a="1"/>
  <c r="I23" i="7" s="1"/>
  <c r="C23" i="7" a="1"/>
  <c r="C23" i="7" s="1"/>
  <c r="B23" i="16" a="1"/>
  <c r="B23" i="16" s="1"/>
  <c r="E25" i="7" a="1"/>
  <c r="E25" i="7" s="1"/>
  <c r="I29" i="7" a="1"/>
  <c r="I29" i="7" s="1"/>
  <c r="D31" i="7" a="1"/>
  <c r="D31" i="7" s="1"/>
  <c r="H33" i="7" a="1"/>
  <c r="H33" i="7" s="1"/>
  <c r="L56" i="15"/>
  <c r="L88" i="15" s="1"/>
  <c r="H53" i="1" s="1"/>
  <c r="V5" i="1"/>
  <c r="H9" i="7" a="1"/>
  <c r="H9" i="7" s="1"/>
  <c r="X4" i="1"/>
  <c r="W5" i="1"/>
  <c r="C87" i="4"/>
  <c r="H5" i="7" a="1"/>
  <c r="H5" i="7" s="1"/>
  <c r="E6" i="7" a="1"/>
  <c r="E6" i="7" s="1"/>
  <c r="H7" i="7" a="1"/>
  <c r="H7" i="7" s="1"/>
  <c r="F12" i="7" a="1"/>
  <c r="F12" i="7" s="1"/>
  <c r="D13" i="7" a="1"/>
  <c r="D13" i="7" s="1"/>
  <c r="F22" i="7" a="1"/>
  <c r="F22" i="7" s="1"/>
  <c r="B22" i="16" a="1"/>
  <c r="B22" i="16" s="1"/>
  <c r="R28" i="7"/>
  <c r="D24" i="7" a="1"/>
  <c r="D24" i="7" s="1"/>
  <c r="F25" i="7" a="1"/>
  <c r="F25" i="7" s="1"/>
  <c r="G31" i="7" a="1"/>
  <c r="G31" i="7" s="1"/>
  <c r="C11" i="7" a="1"/>
  <c r="C11" i="7" s="1"/>
  <c r="I11" i="7" a="1"/>
  <c r="I11" i="7" s="1"/>
  <c r="J14" i="7"/>
  <c r="B14" i="16" a="1"/>
  <c r="B14" i="16" s="1"/>
  <c r="F16" i="7" a="1"/>
  <c r="F16" i="7" s="1"/>
  <c r="D17" i="7" a="1"/>
  <c r="D17" i="7" s="1"/>
  <c r="E18" i="7" a="1"/>
  <c r="E18" i="7" s="1"/>
  <c r="I21" i="7" a="1"/>
  <c r="I21" i="7" s="1"/>
  <c r="B21" i="16" a="1"/>
  <c r="B21" i="16" s="1"/>
  <c r="C22" i="7" a="1"/>
  <c r="C22" i="7" s="1"/>
  <c r="D23" i="7" a="1"/>
  <c r="D23" i="7" s="1"/>
  <c r="G25" i="7" a="1"/>
  <c r="G25" i="7" s="1"/>
  <c r="J26" i="7"/>
  <c r="M19" i="14"/>
  <c r="K9" i="14"/>
  <c r="K50" i="14" s="1"/>
  <c r="L50" i="14"/>
  <c r="M25" i="15"/>
  <c r="M4" i="1"/>
  <c r="Y4" i="1"/>
  <c r="L5" i="1"/>
  <c r="N4" i="1"/>
  <c r="Z4" i="1"/>
  <c r="M5" i="1"/>
  <c r="E36" i="5"/>
  <c r="E47" i="5" s="1"/>
  <c r="C5" i="7" a="1"/>
  <c r="C5" i="7" s="1"/>
  <c r="T6" i="7" s="1"/>
  <c r="I5" i="7" a="1"/>
  <c r="I5" i="7" s="1"/>
  <c r="F6" i="7" a="1"/>
  <c r="F6" i="7" s="1"/>
  <c r="C7" i="7" a="1"/>
  <c r="C7" i="7" s="1"/>
  <c r="J32" i="1" s="1"/>
  <c r="J29" i="1" s="1"/>
  <c r="I7" i="7" a="1"/>
  <c r="I7" i="7" s="1"/>
  <c r="J9" i="7"/>
  <c r="J11" i="7"/>
  <c r="G12" i="7" a="1"/>
  <c r="G12" i="7" s="1"/>
  <c r="E13" i="7" a="1"/>
  <c r="E13" i="7" s="1"/>
  <c r="I14" i="7" a="1"/>
  <c r="I14" i="7" s="1"/>
  <c r="H15" i="7" a="1"/>
  <c r="H15" i="7" s="1"/>
  <c r="C19" i="7" a="1"/>
  <c r="C19" i="7" s="1"/>
  <c r="C20" i="7" a="1"/>
  <c r="C20" i="7" s="1"/>
  <c r="C21" i="7" a="1"/>
  <c r="C21" i="7" s="1"/>
  <c r="T22" i="7" s="1"/>
  <c r="E23" i="7" a="1"/>
  <c r="E23" i="7" s="1"/>
  <c r="E27" i="7" a="1"/>
  <c r="E27" i="7" s="1"/>
  <c r="B27" i="16" a="1"/>
  <c r="B27" i="16" s="1"/>
  <c r="R33" i="7"/>
  <c r="J27" i="7"/>
  <c r="I27" i="7" a="1"/>
  <c r="I27" i="7" s="1"/>
  <c r="C27" i="7" a="1"/>
  <c r="C27" i="7" s="1"/>
  <c r="F30" i="7" a="1"/>
  <c r="F30" i="7" s="1"/>
  <c r="R36" i="7"/>
  <c r="D30" i="7" a="1"/>
  <c r="D30" i="7" s="1"/>
  <c r="B30" i="16" a="1"/>
  <c r="B30" i="16" s="1"/>
  <c r="J30" i="7"/>
  <c r="I30" i="7" a="1"/>
  <c r="I30" i="7" s="1"/>
  <c r="R31" i="7"/>
  <c r="H34" i="7" a="1"/>
  <c r="H34" i="7" s="1"/>
  <c r="K24" i="14"/>
  <c r="M6" i="15"/>
  <c r="K28" i="15" s="1"/>
  <c r="L28" i="15" s="1"/>
  <c r="L64" i="15" s="1"/>
  <c r="C14" i="7" a="1"/>
  <c r="C14" i="7" s="1"/>
  <c r="G16" i="7" a="1"/>
  <c r="G16" i="7" s="1"/>
  <c r="C18" i="7" a="1"/>
  <c r="C18" i="7" s="1"/>
  <c r="C38" i="7" s="1"/>
  <c r="G38" i="7" s="1"/>
  <c r="D22" i="7" a="1"/>
  <c r="D22" i="7" s="1"/>
  <c r="G24" i="7" a="1"/>
  <c r="G24" i="7" s="1"/>
  <c r="C30" i="7" a="1"/>
  <c r="C30" i="7" s="1"/>
  <c r="U36" i="7" s="1"/>
  <c r="T36" i="7" s="1"/>
  <c r="K30" i="14"/>
  <c r="L30" i="14" s="1"/>
  <c r="M26" i="15"/>
  <c r="K35" i="15" s="1"/>
  <c r="M30" i="15"/>
  <c r="M36" i="15"/>
  <c r="M38" i="15"/>
  <c r="G36" i="7" a="1"/>
  <c r="G36" i="7" s="1"/>
  <c r="F49" i="9"/>
  <c r="B51" i="9"/>
  <c r="F52" i="9"/>
  <c r="B54" i="9"/>
  <c r="F55" i="9"/>
  <c r="AB26" i="14"/>
  <c r="AC26" i="14" s="1"/>
  <c r="K75" i="14"/>
  <c r="D23" i="1" s="1"/>
  <c r="H24" i="7" a="1"/>
  <c r="H24" i="7" s="1"/>
  <c r="C28" i="7" a="1"/>
  <c r="C28" i="7" s="1"/>
  <c r="I28" i="7" a="1"/>
  <c r="I28" i="7" s="1"/>
  <c r="F32" i="7" a="1"/>
  <c r="F32" i="7" s="1"/>
  <c r="F35" i="7" a="1"/>
  <c r="F35" i="7" s="1"/>
  <c r="G49" i="9"/>
  <c r="C51" i="9"/>
  <c r="G52" i="9"/>
  <c r="C54" i="9"/>
  <c r="G55" i="9"/>
  <c r="L147" i="11"/>
  <c r="L55" i="14"/>
  <c r="L75" i="14"/>
  <c r="L70" i="15"/>
  <c r="L74" i="15"/>
  <c r="R34" i="7"/>
  <c r="H36" i="7" a="1"/>
  <c r="H36" i="7" s="1"/>
  <c r="H49" i="9"/>
  <c r="D51" i="9"/>
  <c r="H52" i="9"/>
  <c r="D54" i="9"/>
  <c r="K56" i="14"/>
  <c r="D36" i="1" s="1"/>
  <c r="K77" i="14"/>
  <c r="D12" i="1" s="1"/>
  <c r="B17" i="16" a="1"/>
  <c r="B17" i="16" s="1"/>
  <c r="B29" i="16" a="1"/>
  <c r="B29" i="16" s="1"/>
  <c r="H18" i="7" a="1"/>
  <c r="H18" i="7" s="1"/>
  <c r="C24" i="7" a="1"/>
  <c r="C24" i="7" s="1"/>
  <c r="U30" i="7" s="1"/>
  <c r="I24" i="7" a="1"/>
  <c r="I24" i="7" s="1"/>
  <c r="D28" i="7" a="1"/>
  <c r="D28" i="7" s="1"/>
  <c r="G32" i="7" a="1"/>
  <c r="G32" i="7" s="1"/>
  <c r="G35" i="7" a="1"/>
  <c r="G35" i="7" s="1"/>
  <c r="R42" i="7"/>
  <c r="I49" i="9"/>
  <c r="E51" i="9"/>
  <c r="I52" i="9"/>
  <c r="E54" i="9"/>
  <c r="I55" i="9"/>
  <c r="D26" i="14"/>
  <c r="L56" i="14"/>
  <c r="L77" i="14"/>
  <c r="M55" i="15"/>
  <c r="I38" i="1" s="1"/>
  <c r="L77" i="15"/>
  <c r="C36" i="7" a="1"/>
  <c r="C36" i="7" s="1"/>
  <c r="I36" i="7" a="1"/>
  <c r="I36" i="7" s="1"/>
  <c r="B50" i="9"/>
  <c r="F51" i="9"/>
  <c r="B53" i="9"/>
  <c r="B56" i="9"/>
  <c r="K71" i="14"/>
  <c r="D17" i="1" s="1"/>
  <c r="K78" i="14"/>
  <c r="D13" i="1" s="1"/>
  <c r="H32" i="7" a="1"/>
  <c r="H32" i="7" s="1"/>
  <c r="H35" i="7" a="1"/>
  <c r="H35" i="7" s="1"/>
  <c r="J36" i="7"/>
  <c r="C50" i="9"/>
  <c r="G51" i="9"/>
  <c r="C53" i="9"/>
  <c r="G54" i="9"/>
  <c r="C56" i="9"/>
  <c r="L19" i="14"/>
  <c r="L63" i="14" s="1"/>
  <c r="L71" i="14"/>
  <c r="L78" i="14"/>
  <c r="B18" i="16" a="1"/>
  <c r="B18" i="16" s="1"/>
  <c r="B34" i="16" a="1"/>
  <c r="B34" i="16" s="1"/>
  <c r="H29" i="7" a="1"/>
  <c r="H29" i="7" s="1"/>
  <c r="D36" i="7" a="1"/>
  <c r="D36" i="7" s="1"/>
  <c r="D50" i="9"/>
  <c r="H51" i="9"/>
  <c r="D53" i="9"/>
  <c r="H54" i="9"/>
  <c r="D56" i="9"/>
  <c r="E9" i="14"/>
  <c r="F42" i="14"/>
  <c r="K72" i="14"/>
  <c r="D15" i="1" s="1"/>
  <c r="K79" i="14"/>
  <c r="D25" i="1" s="1"/>
  <c r="N21" i="15"/>
  <c r="E21" i="15" s="1"/>
  <c r="E24" i="7" a="1"/>
  <c r="E24" i="7" s="1"/>
  <c r="F28" i="7" a="1"/>
  <c r="F28" i="7" s="1"/>
  <c r="R30" i="7"/>
  <c r="C32" i="7" a="1"/>
  <c r="C32" i="7" s="1"/>
  <c r="U38" i="7" s="1"/>
  <c r="T38" i="7" s="1"/>
  <c r="I32" i="7" a="1"/>
  <c r="I32" i="7" s="1"/>
  <c r="C35" i="7" a="1"/>
  <c r="C35" i="7" s="1"/>
  <c r="I35" i="7" a="1"/>
  <c r="I35" i="7" s="1"/>
  <c r="R40" i="7"/>
  <c r="E50" i="9"/>
  <c r="I51" i="9"/>
  <c r="E53" i="9"/>
  <c r="K11" i="14"/>
  <c r="K19" i="14" s="1"/>
  <c r="K63" i="14" s="1"/>
  <c r="D33" i="14"/>
  <c r="K51" i="14"/>
  <c r="D32" i="1" s="1"/>
  <c r="L79" i="14"/>
  <c r="E36" i="7" a="1"/>
  <c r="E36" i="7" s="1"/>
  <c r="B49" i="9"/>
  <c r="F50" i="9"/>
  <c r="B52" i="9"/>
  <c r="F53" i="9"/>
  <c r="B55" i="9"/>
  <c r="F56" i="9"/>
  <c r="L51" i="14"/>
  <c r="K67" i="14"/>
  <c r="K73" i="14"/>
  <c r="D21" i="1" s="1"/>
  <c r="K80" i="14"/>
  <c r="D26" i="1" s="1"/>
  <c r="B31" i="16" a="1"/>
  <c r="B31" i="16" s="1"/>
  <c r="B35" i="16" a="1"/>
  <c r="B35" i="16" s="1"/>
  <c r="F24" i="7" a="1"/>
  <c r="F24" i="7" s="1"/>
  <c r="G28" i="7" a="1"/>
  <c r="G28" i="7" s="1"/>
  <c r="J29" i="7"/>
  <c r="D32" i="7" a="1"/>
  <c r="D32" i="7" s="1"/>
  <c r="D35" i="7" a="1"/>
  <c r="D35" i="7" s="1"/>
  <c r="C49" i="9"/>
  <c r="G50" i="9"/>
  <c r="C52" i="9"/>
  <c r="G53" i="9"/>
  <c r="N144" i="11"/>
  <c r="O144" i="11" s="1"/>
  <c r="K54" i="14"/>
  <c r="L67" i="14"/>
  <c r="L73" i="14"/>
  <c r="L80" i="14"/>
  <c r="D29" i="7" a="1"/>
  <c r="D29" i="7" s="1"/>
  <c r="F36" i="7" a="1"/>
  <c r="F36" i="7" s="1"/>
  <c r="R38" i="7"/>
  <c r="D49" i="9"/>
  <c r="H50" i="9"/>
  <c r="D52" i="9"/>
  <c r="H53" i="9"/>
  <c r="L54" i="14"/>
  <c r="K68" i="14"/>
  <c r="D16" i="1" s="1"/>
  <c r="H28" i="7" a="1"/>
  <c r="H28" i="7" s="1"/>
  <c r="E32" i="7" a="1"/>
  <c r="E32" i="7" s="1"/>
  <c r="E35" i="7" a="1"/>
  <c r="E35" i="7" s="1"/>
  <c r="E49" i="9"/>
  <c r="I50" i="9"/>
  <c r="E52" i="9"/>
  <c r="I53" i="9"/>
  <c r="E55" i="9"/>
  <c r="L68" i="14"/>
  <c r="G21" i="15" l="1"/>
  <c r="F21" i="15"/>
  <c r="H21" i="15" s="1"/>
  <c r="U52" i="7"/>
  <c r="N52" i="7"/>
  <c r="U15" i="7"/>
  <c r="M64" i="15"/>
  <c r="H18" i="1"/>
  <c r="U27" i="7"/>
  <c r="J17" i="1"/>
  <c r="U6" i="7"/>
  <c r="T5" i="7"/>
  <c r="C91" i="4"/>
  <c r="A87" i="4"/>
  <c r="U29" i="7"/>
  <c r="J21" i="1"/>
  <c r="U34" i="7"/>
  <c r="J23" i="1"/>
  <c r="U42" i="7"/>
  <c r="J25" i="1"/>
  <c r="H28" i="5"/>
  <c r="G45" i="5"/>
  <c r="I28" i="5"/>
  <c r="U35" i="7"/>
  <c r="T35" i="7" s="1"/>
  <c r="D18" i="1"/>
  <c r="G33" i="14"/>
  <c r="K33" i="14" s="1"/>
  <c r="F33" i="14"/>
  <c r="D34" i="14"/>
  <c r="J22" i="15"/>
  <c r="L85" i="15"/>
  <c r="H50" i="1" s="1"/>
  <c r="M77" i="15"/>
  <c r="I26" i="1" s="1"/>
  <c r="H26" i="1"/>
  <c r="H8" i="1" s="1"/>
  <c r="M4" i="14"/>
  <c r="U33" i="7"/>
  <c r="J22" i="1"/>
  <c r="U28" i="7"/>
  <c r="J20" i="1"/>
  <c r="U37" i="7"/>
  <c r="T37" i="7" s="1"/>
  <c r="J24" i="1"/>
  <c r="T11" i="7"/>
  <c r="K55" i="14"/>
  <c r="L24" i="14"/>
  <c r="T9" i="7"/>
  <c r="U40" i="7"/>
  <c r="J12" i="1"/>
  <c r="T30" i="7"/>
  <c r="L82" i="15"/>
  <c r="M74" i="15"/>
  <c r="I12" i="1" s="1"/>
  <c r="H12" i="1"/>
  <c r="H38" i="7"/>
  <c r="I38" i="7" s="1"/>
  <c r="E38" i="7"/>
  <c r="F38" i="7" s="1"/>
  <c r="G36" i="5"/>
  <c r="I36" i="5" s="1"/>
  <c r="M54" i="14"/>
  <c r="D34" i="1"/>
  <c r="F26" i="14"/>
  <c r="D27" i="14"/>
  <c r="D40" i="14"/>
  <c r="U41" i="7"/>
  <c r="J13" i="1"/>
  <c r="M70" i="15"/>
  <c r="I21" i="1" s="1"/>
  <c r="H21" i="1"/>
  <c r="G26" i="14"/>
  <c r="U31" i="7"/>
  <c r="T31" i="7" s="1"/>
  <c r="AB4" i="1"/>
  <c r="D25" i="8"/>
  <c r="D46" i="8" s="1"/>
  <c r="D47" i="8" s="1"/>
  <c r="D48" i="8" s="1"/>
  <c r="U32" i="7"/>
  <c r="J15" i="1"/>
  <c r="E45" i="5"/>
  <c r="L22" i="15" l="1"/>
  <c r="J19" i="15"/>
  <c r="L19" i="15" s="1"/>
  <c r="J11" i="1"/>
  <c r="J28" i="1" s="1"/>
  <c r="H47" i="1"/>
  <c r="G34" i="14"/>
  <c r="K34" i="14" s="1"/>
  <c r="L34" i="14" s="1"/>
  <c r="F34" i="14"/>
  <c r="D35" i="14"/>
  <c r="U25" i="7"/>
  <c r="T27" i="7"/>
  <c r="T21" i="7" s="1"/>
  <c r="U64" i="7"/>
  <c r="K26" i="14"/>
  <c r="U72" i="7"/>
  <c r="T41" i="7"/>
  <c r="U73" i="7"/>
  <c r="T42" i="7"/>
  <c r="D41" i="14"/>
  <c r="G40" i="14"/>
  <c r="F40" i="14"/>
  <c r="U70" i="7"/>
  <c r="U65" i="7"/>
  <c r="T28" i="7"/>
  <c r="L33" i="14"/>
  <c r="L74" i="14" s="1"/>
  <c r="K74" i="14"/>
  <c r="D20" i="1" s="1"/>
  <c r="I18" i="1"/>
  <c r="T34" i="7"/>
  <c r="U69" i="7"/>
  <c r="T40" i="7"/>
  <c r="U39" i="7"/>
  <c r="U68" i="7"/>
  <c r="T33" i="7"/>
  <c r="F27" i="14"/>
  <c r="D28" i="14"/>
  <c r="G27" i="14"/>
  <c r="K27" i="14" s="1"/>
  <c r="U67" i="7"/>
  <c r="T32" i="7"/>
  <c r="U66" i="7"/>
  <c r="T29" i="7"/>
  <c r="U14" i="7"/>
  <c r="U13" i="7" s="1"/>
  <c r="U11" i="7" s="1"/>
  <c r="U5" i="7"/>
  <c r="U9" i="7" s="1"/>
  <c r="G47" i="5"/>
  <c r="H25" i="14"/>
  <c r="H29" i="14"/>
  <c r="H30" i="14"/>
  <c r="H35" i="14"/>
  <c r="H27" i="14"/>
  <c r="O24" i="15"/>
  <c r="N24" i="15" s="1"/>
  <c r="J24" i="15" s="1"/>
  <c r="K24" i="15" s="1"/>
  <c r="O26" i="15"/>
  <c r="N26" i="15" s="1"/>
  <c r="O34" i="15"/>
  <c r="N34" i="15" s="1"/>
  <c r="H38" i="14"/>
  <c r="H13" i="14"/>
  <c r="H19" i="14" s="1"/>
  <c r="O40" i="15"/>
  <c r="N40" i="15" s="1"/>
  <c r="O31" i="15"/>
  <c r="N31" i="15" s="1"/>
  <c r="J31" i="15" s="1"/>
  <c r="L31" i="15" s="1"/>
  <c r="O36" i="15"/>
  <c r="N36" i="15" s="1"/>
  <c r="O30" i="15"/>
  <c r="N30" i="15" s="1"/>
  <c r="F39" i="7"/>
  <c r="L72" i="14"/>
  <c r="H36" i="5"/>
  <c r="A91" i="4"/>
  <c r="O38" i="15" s="1"/>
  <c r="N38" i="15" s="1"/>
  <c r="I47" i="5"/>
  <c r="M21" i="15"/>
  <c r="H33" i="14" l="1"/>
  <c r="F35" i="14"/>
  <c r="D36" i="14"/>
  <c r="G35" i="14"/>
  <c r="K35" i="14" s="1"/>
  <c r="L35" i="14" s="1"/>
  <c r="U62" i="7"/>
  <c r="U26" i="7"/>
  <c r="U63" i="7" s="1"/>
  <c r="U22" i="7"/>
  <c r="U21" i="7" s="1"/>
  <c r="U20" i="7" s="1"/>
  <c r="B92" i="4"/>
  <c r="D92" i="4"/>
  <c r="E92" i="4"/>
  <c r="F92" i="4"/>
  <c r="O23" i="15"/>
  <c r="N23" i="15" s="1"/>
  <c r="H24" i="14"/>
  <c r="H32" i="14"/>
  <c r="T39" i="7"/>
  <c r="C92" i="4"/>
  <c r="H40" i="14"/>
  <c r="O41" i="15"/>
  <c r="N41" i="15" s="1"/>
  <c r="O22" i="15"/>
  <c r="G41" i="14"/>
  <c r="F41" i="14"/>
  <c r="H34" i="14"/>
  <c r="U10" i="7"/>
  <c r="O29" i="15"/>
  <c r="N29" i="15" s="1"/>
  <c r="H44" i="14"/>
  <c r="O25" i="15"/>
  <c r="N25" i="15" s="1"/>
  <c r="L71" i="15"/>
  <c r="E31" i="15"/>
  <c r="O42" i="15"/>
  <c r="N42" i="15" s="1"/>
  <c r="L27" i="14"/>
  <c r="H28" i="14"/>
  <c r="H42" i="14"/>
  <c r="F28" i="14"/>
  <c r="D29" i="14"/>
  <c r="G28" i="14"/>
  <c r="K28" i="14" s="1"/>
  <c r="L28" i="14" s="1"/>
  <c r="J23" i="15"/>
  <c r="J30" i="15"/>
  <c r="L30" i="15" s="1"/>
  <c r="L68" i="15" s="1"/>
  <c r="H37" i="14"/>
  <c r="O35" i="15"/>
  <c r="N35" i="15" s="1"/>
  <c r="O28" i="15"/>
  <c r="N28" i="15" s="1"/>
  <c r="L69" i="15"/>
  <c r="L24" i="15"/>
  <c r="L66" i="15" s="1"/>
  <c r="H26" i="14"/>
  <c r="O27" i="15"/>
  <c r="N27" i="15" s="1"/>
  <c r="J27" i="15" s="1"/>
  <c r="K27" i="15" s="1"/>
  <c r="L27" i="15" s="1"/>
  <c r="L72" i="15" s="1"/>
  <c r="H36" i="14"/>
  <c r="L26" i="14"/>
  <c r="K69" i="14"/>
  <c r="T20" i="7"/>
  <c r="T10" i="7" s="1"/>
  <c r="O39" i="15"/>
  <c r="N39" i="15" s="1"/>
  <c r="O32" i="15"/>
  <c r="N32" i="15" s="1"/>
  <c r="H31" i="14"/>
  <c r="O33" i="15"/>
  <c r="N33" i="15" s="1"/>
  <c r="J35" i="15" s="1"/>
  <c r="L35" i="15" s="1"/>
  <c r="L67" i="15" s="1"/>
  <c r="M67" i="15" l="1"/>
  <c r="I24" i="1" s="1"/>
  <c r="H24" i="1"/>
  <c r="N22" i="15"/>
  <c r="N20" i="15" s="1"/>
  <c r="N43" i="15" s="1"/>
  <c r="N44" i="15" s="1"/>
  <c r="N45" i="15" s="1"/>
  <c r="O20" i="15"/>
  <c r="O43" i="15" s="1"/>
  <c r="O44" i="15" s="1"/>
  <c r="M69" i="15"/>
  <c r="I15" i="1" s="1"/>
  <c r="L87" i="15"/>
  <c r="H52" i="1" s="1"/>
  <c r="H15" i="1"/>
  <c r="D22" i="1"/>
  <c r="F31" i="15"/>
  <c r="H31" i="15" s="1"/>
  <c r="G31" i="15"/>
  <c r="M31" i="15" s="1"/>
  <c r="M20" i="15" s="1"/>
  <c r="M44" i="15" s="1"/>
  <c r="L69" i="14"/>
  <c r="M68" i="15"/>
  <c r="I17" i="1" s="1"/>
  <c r="H17" i="1"/>
  <c r="M71" i="15"/>
  <c r="I20" i="1" s="1"/>
  <c r="H20" i="1"/>
  <c r="F36" i="14"/>
  <c r="G36" i="14"/>
  <c r="K36" i="14" s="1"/>
  <c r="H22" i="14"/>
  <c r="H6" i="14" s="1"/>
  <c r="H5" i="14" s="1"/>
  <c r="H4" i="14" s="1"/>
  <c r="M72" i="15"/>
  <c r="I23" i="1" s="1"/>
  <c r="H23" i="1"/>
  <c r="U44" i="7"/>
  <c r="L23" i="15"/>
  <c r="J20" i="15"/>
  <c r="J43" i="15" s="1"/>
  <c r="J44" i="15" s="1"/>
  <c r="F29" i="14"/>
  <c r="G29" i="14"/>
  <c r="K20" i="15"/>
  <c r="M66" i="15"/>
  <c r="I22" i="1" s="1"/>
  <c r="H22" i="1"/>
  <c r="L36" i="14" l="1"/>
  <c r="K70" i="14"/>
  <c r="G22" i="14"/>
  <c r="L65" i="15"/>
  <c r="L20" i="15"/>
  <c r="K22" i="14"/>
  <c r="K6" i="14" s="1"/>
  <c r="K5" i="14" s="1"/>
  <c r="K4" i="14" s="1"/>
  <c r="D30" i="1" s="1"/>
  <c r="D29" i="1" s="1"/>
  <c r="L43" i="15" l="1"/>
  <c r="L44" i="15" s="1"/>
  <c r="L18" i="15"/>
  <c r="M65" i="15"/>
  <c r="H16" i="1"/>
  <c r="H11" i="1" s="1"/>
  <c r="L63" i="15"/>
  <c r="D24" i="1"/>
  <c r="D11" i="1" s="1"/>
  <c r="D28" i="1" s="1"/>
  <c r="K66" i="14"/>
  <c r="K49" i="14" s="1"/>
  <c r="K48" i="14" s="1"/>
  <c r="K47" i="14" s="1"/>
  <c r="G21" i="14"/>
  <c r="G6" i="14"/>
  <c r="G5" i="14" s="1"/>
  <c r="G4" i="14" s="1"/>
  <c r="L70" i="14"/>
  <c r="L66" i="14" s="1"/>
  <c r="L49" i="14" s="1"/>
  <c r="L48" i="14" s="1"/>
  <c r="L47" i="14" s="1"/>
  <c r="L22" i="14"/>
  <c r="L21" i="14" l="1"/>
  <c r="L6" i="14"/>
  <c r="L5" i="14" s="1"/>
  <c r="I16" i="1"/>
  <c r="I11" i="1" s="1"/>
  <c r="M63" i="15"/>
  <c r="M78" i="15" s="1"/>
  <c r="L78" i="15"/>
  <c r="L79" i="15" s="1"/>
  <c r="L86" i="15"/>
  <c r="H9" i="1"/>
  <c r="H51" i="1" l="1"/>
  <c r="H28" i="1" s="1"/>
  <c r="L80" i="15"/>
  <c r="L89" i="15" s="1"/>
  <c r="L4" i="14"/>
  <c r="N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24000000}">
      <text>
        <r>
          <rPr>
            <sz val="12"/>
            <color theme="1"/>
            <rFont val="Arial"/>
          </rPr>
          <t>According to AMSA guys, there is a small amount of coking coal (not coke) being produced by Grooteluk mine. Most coking coal is imported.
	-Bryce McCall
----
[Threaded comment]
Your version of Excel allows you to read this threaded comment; however, any edits to it will get removed if the file is opened in a newer version of Excel. Learn more: https://go.microsoft.com/fwlink/?linkid=870924
Comment:
    includes liquefaction
	-tc={2440A8A0-307C-C64E-BB09-7529A7014E00}
----
[Threaded comment]
Your version of Excel allows you to read this threaded comment; however, any edits to it will get removed if the file is opened in a newer version of Excel. Learn more: https://go.microsoft.com/fwlink/?linkid=870924
Comment:
    includes mining
	-tc={A8ACF308-92B2-0E4A-8F60-4BC87EB1FCF9}
----
[Threaded comment]
Your version of Excel allows you to read this threaded comment; however, any edits to it will get removed if the file is opened in a newer version of Excel. Learn more: https://go.microsoft.com/fwlink/?linkid=870924
Comment:
    This is only government
	-tc={392E0CB5-CE7B-8547-80E7-831814D3E0F9}</t>
        </r>
      </text>
    </comment>
    <comment ref="D2" authorId="0" shapeId="0" xr:uid="{00000000-0006-0000-0000-00003F000000}">
      <text>
        <r>
          <rPr>
            <sz val="12"/>
            <color theme="1"/>
            <rFont val="Arial"/>
          </rPr>
          <t>[Threaded comment]
Your version of Excel allows you to read this threaded comment; however, any edits to it will get removed if the file is opened in a newer version of Excel. Learn more: https://go.microsoft.com/fwlink/?linkid=870924
Comment:
    Also includes anthracite
	-tc={8F2F23C8-C9A0-7D41-A87A-F62BCC8F75E6}</t>
        </r>
      </text>
    </comment>
    <comment ref="M3" authorId="0" shapeId="0" xr:uid="{00000000-0006-0000-0000-000003000000}">
      <text>
        <r>
          <rPr>
            <sz val="12"/>
            <color theme="1"/>
            <rFont val="Arial"/>
          </rPr>
          <t>JetFuel
	-Fadiel Ahjum</t>
        </r>
      </text>
    </comment>
    <comment ref="D10" authorId="0" shapeId="0" xr:uid="{00000000-0006-0000-0000-00002D000000}">
      <text>
        <r>
          <rPr>
            <sz val="12"/>
            <color theme="1"/>
            <rFont val="Arial"/>
          </rPr>
          <t>? Consider modelling the Sasol complex in SATIM  rather than CTL &amp; other. Easier to balance commodities since Secunda produces other chemical products.
	-Fadiel Ahjum</t>
        </r>
      </text>
    </comment>
    <comment ref="I10" authorId="0" shapeId="0" xr:uid="{00000000-0006-0000-0000-00000F000000}">
      <text>
        <r>
          <rPr>
            <sz val="12"/>
            <color theme="1"/>
            <rFont val="Arial"/>
          </rPr>
          <t>+bruno.merven@gmail.com
?This column still needs to be correctly populated?
_Assigned to Bruno Merven_
	-Fadiel Ahjum</t>
        </r>
      </text>
    </comment>
    <comment ref="J10" authorId="0" shapeId="0" xr:uid="{00000000-0006-0000-0000-000025000000}">
      <text>
        <r>
          <rPr>
            <sz val="12"/>
            <color theme="1"/>
            <rFont val="Arial"/>
          </rPr>
          <t>only nat gas, no gasworks gas or coke oven gas
	-Alison Hughes</t>
        </r>
      </text>
    </comment>
    <comment ref="A11" authorId="0" shapeId="0" xr:uid="{00000000-0006-0000-0000-00001D000000}">
      <text>
        <r>
          <rPr>
            <sz val="12"/>
            <color theme="1"/>
            <rFont val="Arial"/>
          </rPr>
          <t>Missing demand from Supply Sectors (e.g. Power, Refineries)
	-Fadiel Ahjum</t>
        </r>
      </text>
    </comment>
    <comment ref="D12" authorId="0" shapeId="0" xr:uid="{00000000-0006-0000-0000-000039000000}">
      <text>
        <r>
          <rPr>
            <sz val="12"/>
            <color theme="1"/>
            <rFont val="Arial"/>
          </rPr>
          <t>DMRE value. 
2017 NIR  reports 1403 TJ
	-Fadiel Ahjum</t>
        </r>
      </text>
    </comment>
    <comment ref="K12" authorId="0" shapeId="0" xr:uid="{00000000-0006-0000-0000-000038000000}">
      <text>
        <r>
          <rPr>
            <sz val="12"/>
            <color theme="1"/>
            <rFont val="Arial"/>
          </rPr>
          <t>Extension  of  the 2015 GIZ  fuel consumption study.
2017 NIR reports 46107 TJ
	-Fadiel Ahjum</t>
        </r>
      </text>
    </comment>
    <comment ref="L12" authorId="0" shapeId="0" xr:uid="{00000000-0006-0000-0000-000037000000}">
      <text>
        <r>
          <rPr>
            <sz val="12"/>
            <color theme="1"/>
            <rFont val="Arial"/>
          </rPr>
          <t>reallocated to transport sector
	-Fadiel Ahjum</t>
        </r>
      </text>
    </comment>
    <comment ref="J13" authorId="0" shapeId="0" xr:uid="{00000000-0006-0000-0000-000035000000}">
      <text>
        <r>
          <rPr>
            <sz val="12"/>
            <color theme="1"/>
            <rFont val="Arial"/>
          </rPr>
          <t>lower than DMRE (1232)
	-Alison Hughes</t>
        </r>
      </text>
    </comment>
    <comment ref="K13" authorId="0" shapeId="0" xr:uid="{00000000-0006-0000-0000-00000C000000}">
      <text>
        <r>
          <rPr>
            <sz val="12"/>
            <color theme="1"/>
            <rFont val="Arial"/>
          </rPr>
          <t>Extension of the 2015 GIZ fuel consumption study
	-Fadiel Ahjum</t>
        </r>
      </text>
    </comment>
    <comment ref="Q13" authorId="0" shapeId="0" xr:uid="{00000000-0006-0000-0000-000012000000}">
      <text>
        <r>
          <rPr>
            <sz val="12"/>
            <color theme="1"/>
            <rFont val="Arial"/>
          </rPr>
          <t>Could be too low
	-Alison Hughes</t>
        </r>
      </text>
    </comment>
    <comment ref="R13" authorId="0" shapeId="0" xr:uid="{00000000-0006-0000-0000-000033000000}">
      <text>
        <r>
          <rPr>
            <sz val="12"/>
            <color theme="1"/>
            <rFont val="Arial"/>
          </rPr>
          <t>97.61 in DMRE nothing in inventory?
	-Alison Hughes</t>
        </r>
      </text>
    </comment>
    <comment ref="K15" authorId="0" shapeId="0" xr:uid="{00000000-0006-0000-0000-00000B000000}">
      <text>
        <r>
          <rPr>
            <sz val="12"/>
            <color theme="1"/>
            <rFont val="Arial"/>
          </rPr>
          <t>Extension of the 2015 GIZ fuel consumption study
	-Fadiel Ahjum</t>
        </r>
      </text>
    </comment>
    <comment ref="D16" authorId="0" shapeId="0" xr:uid="{00000000-0006-0000-0000-00002E000000}">
      <text>
        <r>
          <rPr>
            <sz val="12"/>
            <color theme="1"/>
            <rFont val="Arial"/>
          </rPr>
          <t>2012 value
	-Bruno Merven
Updated this to 2017. this includes ferro-manganese and ferrosilicon
	-Bryce McCall</t>
        </r>
      </text>
    </comment>
    <comment ref="H16" authorId="0" shapeId="0" xr:uid="{00000000-0006-0000-0000-000032000000}">
      <text>
        <r>
          <rPr>
            <sz val="12"/>
            <color theme="1"/>
            <rFont val="Arial"/>
          </rPr>
          <t>Need to check against eskom sales data. Should be close though as it was for 2012
	-Bryce McCall</t>
        </r>
      </text>
    </comment>
    <comment ref="R17" authorId="0" shapeId="0" xr:uid="{00000000-0006-0000-0000-000016000000}">
      <text>
        <r>
          <rPr>
            <sz val="12"/>
            <color theme="1"/>
            <rFont val="Arial"/>
          </rPr>
          <t>just saldanha. Based on their EE report from 2011
	-Bryce McCall</t>
        </r>
      </text>
    </comment>
    <comment ref="J18" authorId="0" shapeId="0" xr:uid="{00000000-0006-0000-0000-000009000000}">
      <text>
        <r>
          <rPr>
            <sz val="12"/>
            <color theme="1"/>
            <rFont val="Arial"/>
          </rPr>
          <t>sasol submission to DEFF for NIR 2017 for Fuel gas combustion
	-Bruno Merven</t>
        </r>
      </text>
    </comment>
    <comment ref="P18" authorId="0" shapeId="0" xr:uid="{00000000-0006-0000-0000-000005000000}">
      <text>
        <r>
          <rPr>
            <sz val="12"/>
            <color theme="1"/>
            <rFont val="Arial"/>
          </rPr>
          <t>Sasol Inventory
	-Bruno Merven</t>
        </r>
      </text>
    </comment>
    <comment ref="H19" authorId="0" shapeId="0" xr:uid="{00000000-0006-0000-0000-00000A000000}">
      <text>
        <r>
          <rPr>
            <sz val="12"/>
            <color theme="1"/>
            <rFont val="Arial"/>
          </rPr>
          <t>not for public use! from our study and is very very close to eskom sales
	-Bryce McCall</t>
        </r>
      </text>
    </comment>
    <comment ref="P19" authorId="0" shapeId="0" xr:uid="{00000000-0006-0000-0000-000006000000}">
      <text>
        <r>
          <rPr>
            <sz val="12"/>
            <color theme="1"/>
            <rFont val="Arial"/>
          </rPr>
          <t>DOE industry project
	-Bryce McCall</t>
        </r>
      </text>
    </comment>
    <comment ref="R19" authorId="0" shapeId="0" xr:uid="{00000000-0006-0000-0000-000014000000}">
      <text>
        <r>
          <rPr>
            <sz val="12"/>
            <color theme="1"/>
            <rFont val="Arial"/>
          </rPr>
          <t>From DOE industry project. Just aluminium industry for 2016
	-Bryce McCall</t>
        </r>
      </text>
    </comment>
    <comment ref="P21" authorId="0" shapeId="0" xr:uid="{00000000-0006-0000-0000-000011000000}">
      <text>
        <r>
          <rPr>
            <sz val="12"/>
            <color theme="1"/>
            <rFont val="Arial"/>
          </rPr>
          <t>reference?
	-Fadiel Ahjum</t>
        </r>
      </text>
    </comment>
    <comment ref="S22" authorId="0" shapeId="0" xr:uid="{00000000-0006-0000-0000-000001000000}">
      <text>
        <r>
          <rPr>
            <sz val="12"/>
            <color theme="1"/>
            <rFont val="Arial"/>
          </rPr>
          <t>calculated.
	-Fadiel Ahjum</t>
        </r>
      </text>
    </comment>
    <comment ref="D23" authorId="0" shapeId="0" xr:uid="{00000000-0006-0000-0000-00001E000000}">
      <text>
        <r>
          <rPr>
            <sz val="12"/>
            <color theme="1"/>
            <rFont val="Arial"/>
          </rPr>
          <t>all allocated to transformation
	-Bruno Merven</t>
        </r>
      </text>
    </comment>
    <comment ref="P23" authorId="0" shapeId="0" xr:uid="{00000000-0006-0000-0000-000010000000}">
      <text>
        <r>
          <rPr>
            <sz val="12"/>
            <color theme="1"/>
            <rFont val="Arial"/>
          </rPr>
          <t>reference?
	-Fadiel Ahjum</t>
        </r>
      </text>
    </comment>
    <comment ref="J24" authorId="0" shapeId="0" xr:uid="{00000000-0006-0000-0000-000026000000}">
      <text>
        <r>
          <rPr>
            <sz val="12"/>
            <color theme="1"/>
            <rFont val="Arial"/>
          </rPr>
          <t>at least half of this is unspecified
	-Alison Hughes</t>
        </r>
      </text>
    </comment>
    <comment ref="K24" authorId="0" shapeId="0" xr:uid="{00000000-0006-0000-0000-000020000000}">
      <text>
        <r>
          <rPr>
            <sz val="12"/>
            <color theme="1"/>
            <rFont val="Arial"/>
          </rPr>
          <t>Industry Excl. Mining 
Extension of the 2015 GIZ fuel consumption study
	-Fadiel Ahjum</t>
        </r>
      </text>
    </comment>
    <comment ref="D25" authorId="0" shapeId="0" xr:uid="{00000000-0006-0000-0000-000036000000}">
      <text>
        <r>
          <rPr>
            <sz val="12"/>
            <color theme="1"/>
            <rFont val="Arial"/>
          </rPr>
          <t>lower than inventory, agreed with DEFF, matches fuel study
	-Alison Hughes</t>
        </r>
      </text>
    </comment>
    <comment ref="J25" authorId="0" shapeId="0" xr:uid="{00000000-0006-0000-0000-000034000000}">
      <text>
        <r>
          <rPr>
            <sz val="12"/>
            <color theme="1"/>
            <rFont val="Arial"/>
          </rPr>
          <t>no number in inventory, DMRE EB has 220
	-Alison Hughes</t>
        </r>
      </text>
    </comment>
    <comment ref="R25" authorId="0" shapeId="0" xr:uid="{00000000-0006-0000-0000-000023000000}">
      <text>
        <r>
          <rPr>
            <sz val="12"/>
            <color theme="1"/>
            <rFont val="Arial"/>
          </rPr>
          <t>This is much higher than previous estimates for the sector, DMRE has 12.358
	-Alison Hughes</t>
        </r>
      </text>
    </comment>
    <comment ref="X25" authorId="0" shapeId="0" xr:uid="{00000000-0006-0000-0000-000022000000}">
      <text>
        <r>
          <rPr>
            <sz val="12"/>
            <color theme="1"/>
            <rFont val="Arial"/>
          </rPr>
          <t>Low but I can live with it
	-Alison Hughes</t>
        </r>
      </text>
    </comment>
    <comment ref="K26" authorId="0" shapeId="0" xr:uid="{00000000-0006-0000-0000-00003E000000}">
      <text>
        <r>
          <rPr>
            <sz val="12"/>
            <color theme="1"/>
            <rFont val="Arial"/>
          </rPr>
          <t>extension of 2015 GIZ fuel study
	-Fadiel Ahjum
include allocation of 16764 TJ to marine usage
	-Fadiel Ahjum
updated by Bruno 11 March 2021, based on new approach from DMRE data. Marine usage is for fishing? to be accounted for under Agriculture?
	-Bruno Merven</t>
        </r>
      </text>
    </comment>
    <comment ref="L26" authorId="0" shapeId="0" xr:uid="{00000000-0006-0000-0000-00001F000000}">
      <text>
        <r>
          <rPr>
            <sz val="12"/>
            <color theme="1"/>
            <rFont val="Arial"/>
          </rPr>
          <t>Mismatch between Sapia (2018) and DMRE magisterial data (2018) data. Note DMRE 2017 EB also in disagreement with magisterial sums.
	-Fadiel Ahjum
Transport scaled from DMRE 2018 mag data to match SAPIA (2018)
	-Fadiel Ahjum</t>
        </r>
      </text>
    </comment>
    <comment ref="M26" authorId="0" shapeId="0" xr:uid="{00000000-0006-0000-0000-00003B000000}">
      <text>
        <r>
          <rPr>
            <sz val="12"/>
            <color theme="1"/>
            <rFont val="Arial"/>
          </rPr>
          <t>Fuel ConsumptionStudy (2018)
	-Fadiel Ahjum</t>
        </r>
      </text>
    </comment>
    <comment ref="P26" authorId="0" shapeId="0" xr:uid="{00000000-0006-0000-0000-00000D000000}">
      <text>
        <r>
          <rPr>
            <sz val="12"/>
            <color theme="1"/>
            <rFont val="Arial"/>
          </rPr>
          <t>FCS (2018)
	-Fadiel Ahjum
International WBN  accounts for 21,947 TJ
	-Fadiel Ahjum</t>
        </r>
      </text>
    </comment>
    <comment ref="Q26" authorId="0" shapeId="0" xr:uid="{00000000-0006-0000-0000-00003D000000}">
      <text>
        <r>
          <rPr>
            <sz val="12"/>
            <color theme="1"/>
            <rFont val="Arial"/>
          </rPr>
          <t>extension of 2015 GIZ fuel study
	-Fadiel Ahjum</t>
        </r>
      </text>
    </comment>
    <comment ref="R26" authorId="0" shapeId="0" xr:uid="{00000000-0006-0000-0000-00003A000000}">
      <text>
        <r>
          <rPr>
            <sz val="12"/>
            <color theme="1"/>
            <rFont val="Arial"/>
          </rPr>
          <t>extension of 2015 GIZ fuel study
	-Fadiel Ahjum</t>
        </r>
      </text>
    </comment>
    <comment ref="T26" authorId="0" shapeId="0" xr:uid="{00000000-0006-0000-0000-00003C000000}">
      <text>
        <r>
          <rPr>
            <sz val="12"/>
            <color theme="1"/>
            <rFont val="Arial"/>
          </rPr>
          <t>small scale ~ zero
	-Fadiel Ahjum</t>
        </r>
      </text>
    </comment>
    <comment ref="N29" authorId="0" shapeId="0" xr:uid="{00000000-0006-0000-0000-000015000000}">
      <text>
        <r>
          <rPr>
            <sz val="12"/>
            <color theme="1"/>
            <rFont val="Arial"/>
          </rPr>
          <t>sapia crude kt imported
	-Fadiel Ahjum</t>
        </r>
      </text>
    </comment>
    <comment ref="J30" authorId="0" shapeId="0" xr:uid="{00000000-0006-0000-0000-00002B000000}">
      <text>
        <r>
          <rPr>
            <sz val="12"/>
            <color theme="1"/>
            <rFont val="Arial"/>
          </rPr>
          <t>Indigenous Production	
DMRE South-African-Refinery-Data-gas
	-Fadiel Ahjum</t>
        </r>
      </text>
    </comment>
    <comment ref="K30" authorId="0" shapeId="0" xr:uid="{00000000-0006-0000-0000-000028000000}">
      <text>
        <r>
          <rPr>
            <sz val="12"/>
            <color theme="1"/>
            <rFont val="Arial"/>
          </rPr>
          <t>Note: liquid fuels data estimated from SAPIA (2018) reported consumption, import and export data
	-Fadiel Ahjum</t>
        </r>
      </text>
    </comment>
    <comment ref="L30" authorId="0" shapeId="0" xr:uid="{00000000-0006-0000-0000-000004000000}">
      <text>
        <r>
          <rPr>
            <sz val="12"/>
            <color theme="1"/>
            <rFont val="Arial"/>
          </rPr>
          <t>from model
	-Bruno Merven</t>
        </r>
      </text>
    </comment>
    <comment ref="N30" authorId="0" shapeId="0" xr:uid="{00000000-0006-0000-0000-000029000000}">
      <text>
        <r>
          <rPr>
            <sz val="12"/>
            <color theme="1"/>
            <rFont val="Arial"/>
          </rPr>
          <t>PetroSA
	-Fadiel Ahjum</t>
        </r>
      </text>
    </comment>
    <comment ref="P30" authorId="0" shapeId="0" xr:uid="{00000000-0006-0000-0000-00000E000000}">
      <text>
        <r>
          <rPr>
            <sz val="12"/>
            <color theme="1"/>
            <rFont val="Arial"/>
          </rPr>
          <t>Output from Refineries
	-Bruno Merven</t>
        </r>
      </text>
    </comment>
    <comment ref="A31" authorId="0" shapeId="0" xr:uid="{00000000-0006-0000-0000-00001B000000}">
      <text>
        <r>
          <rPr>
            <sz val="12"/>
            <color theme="1"/>
            <rFont val="Arial"/>
          </rPr>
          <t>liquid fuels: SAPIA (2018); gas: SASOL sustainability report (2018)
	-Fadiel Ahjum</t>
        </r>
      </text>
    </comment>
    <comment ref="H31" authorId="0" shapeId="0" xr:uid="{00000000-0006-0000-0000-00001A000000}">
      <text>
        <r>
          <rPr>
            <sz val="12"/>
            <color theme="1"/>
            <rFont val="Arial"/>
          </rPr>
          <t>from Jarrad's 2017 dispatch data
	-Bruno Merven</t>
        </r>
      </text>
    </comment>
    <comment ref="J31" authorId="0" shapeId="0" xr:uid="{00000000-0006-0000-0000-00002C000000}">
      <text>
        <r>
          <rPr>
            <sz val="12"/>
            <color theme="1"/>
            <rFont val="Arial"/>
          </rPr>
          <t>Sasol Sustainability Report (2018)
	-Fadiel Ahjum
Fadiel, do you know why this is so much higher than DMRE EB
	-Alison Hughes
couldn't say. taken from their gas mass balance in the report.
	-Fadiel Ahjum
Now taken from Gas diagram (see Gas sheet) showing that from the 166.6PJ produced, 23.3 is sold in Mozambique, leaving 143.4 for South Africa.
	-Bruno Merven</t>
        </r>
      </text>
    </comment>
    <comment ref="A32" authorId="0" shapeId="0" xr:uid="{00000000-0006-0000-0000-00001C000000}">
      <text>
        <r>
          <rPr>
            <sz val="12"/>
            <color theme="1"/>
            <rFont val="Arial"/>
          </rPr>
          <t>liquid fuels: SAPIA (2018)
	-Fadiel Ahjum</t>
        </r>
      </text>
    </comment>
    <comment ref="H34" authorId="0" shapeId="0" xr:uid="{00000000-0006-0000-0000-000019000000}">
      <text>
        <r>
          <rPr>
            <sz val="12"/>
            <color theme="1"/>
            <rFont val="Arial"/>
          </rPr>
          <t>Total net sent out excluding imports, as per Jarrad's 2017 dispatch data for grid.
	-Bruno Merven</t>
        </r>
      </text>
    </comment>
    <comment ref="P34" authorId="0" shapeId="0" xr:uid="{00000000-0006-0000-0000-000007000000}">
      <text>
        <r>
          <rPr>
            <sz val="12"/>
            <color theme="1"/>
            <rFont val="Arial"/>
          </rPr>
          <t>From NIR2017
	-Bruno Merven</t>
        </r>
      </text>
    </comment>
    <comment ref="D35" authorId="0" shapeId="0" xr:uid="{00000000-0006-0000-0000-000008000000}">
      <text>
        <r>
          <rPr>
            <sz val="12"/>
            <color theme="1"/>
            <rFont val="Arial"/>
          </rPr>
          <t>~26.5Mt
	-Fadiel Ahjum</t>
        </r>
      </text>
    </comment>
    <comment ref="J35" authorId="0" shapeId="0" xr:uid="{00000000-0006-0000-0000-000013000000}">
      <text>
        <r>
          <rPr>
            <sz val="12"/>
            <color theme="1"/>
            <rFont val="Arial"/>
          </rPr>
          <t>Is this a double count of the Chem sector above
	-Alison Hughes
Sasol Additional Analyst Information December 2017
	-Fadiel Ahjum
I'd originally estimated 29.84 PJ for FT see CTL energy
	-Fadiel Ahjum</t>
        </r>
      </text>
    </comment>
    <comment ref="H37" authorId="0" shapeId="0" xr:uid="{00000000-0006-0000-0000-00002A000000}">
      <text>
        <r>
          <rPr>
            <sz val="12"/>
            <color theme="1"/>
            <rFont val="Arial"/>
          </rPr>
          <t>Estimated from my prior GTL  production recalculations in TCH_SUP
	-Fadiel Ahjum</t>
        </r>
      </text>
    </comment>
    <comment ref="J37" authorId="0" shapeId="0" xr:uid="{00000000-0006-0000-0000-000002000000}">
      <text>
        <r>
          <rPr>
            <sz val="12"/>
            <color theme="1"/>
            <rFont val="Arial"/>
          </rPr>
          <t>DMRE Value
	-Fadiel Ahjum</t>
        </r>
      </text>
    </comment>
    <comment ref="H38" authorId="0" shapeId="0" xr:uid="{00000000-0006-0000-0000-000027000000}">
      <text>
        <r>
          <rPr>
            <sz val="12"/>
            <color theme="1"/>
            <rFont val="Arial"/>
          </rPr>
          <t>SAPIA AR (2018)
	-Fadiel Ahjum</t>
        </r>
      </text>
    </comment>
    <comment ref="I40" authorId="0" shapeId="0" xr:uid="{00000000-0006-0000-0000-000018000000}">
      <text>
        <r>
          <rPr>
            <sz val="12"/>
            <color theme="1"/>
            <rFont val="Arial"/>
          </rPr>
          <t>elc output from autoproducers
	-Bruno Merven</t>
        </r>
      </text>
    </comment>
    <comment ref="J40" authorId="0" shapeId="0" xr:uid="{00000000-0006-0000-0000-000017000000}">
      <text>
        <r>
          <rPr>
            <sz val="12"/>
            <color theme="1"/>
            <rFont val="Arial"/>
          </rPr>
          <t>fuel use by auto producers
	-Bruno Merven</t>
        </r>
      </text>
    </comment>
    <comment ref="W41" authorId="0" shapeId="0" xr:uid="{00000000-0006-0000-0000-000021000000}">
      <text>
        <r>
          <rPr>
            <sz val="12"/>
            <color theme="1"/>
            <rFont val="Arial"/>
          </rPr>
          <t>similar use to coal
	-Alison Hughes</t>
        </r>
      </text>
    </comment>
    <comment ref="S42" authorId="0" shapeId="0" xr:uid="{00000000-0006-0000-0000-000031000000}">
      <text>
        <r>
          <rPr>
            <sz val="12"/>
            <color theme="1"/>
            <rFont val="Arial"/>
          </rPr>
          <t>From Sugar study
	-Bruno Merven</t>
        </r>
      </text>
    </comment>
    <comment ref="D43" authorId="0" shapeId="0" xr:uid="{00000000-0006-0000-0000-000030000000}">
      <text>
        <r>
          <rPr>
            <sz val="12"/>
            <color theme="1"/>
            <rFont val="Arial"/>
          </rPr>
          <t>from sugar study
	-Bruno Merven</t>
        </r>
      </text>
    </comment>
    <comment ref="X43" authorId="0" shapeId="0" xr:uid="{00000000-0006-0000-0000-00002F000000}">
      <text>
        <r>
          <rPr>
            <sz val="12"/>
            <color theme="1"/>
            <rFont val="Arial"/>
          </rPr>
          <t>from sugar study
	-Bruno Merven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U25" authorId="0" shapeId="0" xr:uid="{00000000-0006-0000-0600-000006000000}">
      <text>
        <r>
          <rPr>
            <sz val="12"/>
            <color theme="1"/>
            <rFont val="Arial"/>
          </rPr>
          <t>How much of this is combustion and how much is material use? Brett?
	-Bruno Merven</t>
        </r>
      </text>
    </comment>
    <comment ref="N47" authorId="0" shapeId="0" xr:uid="{00000000-0006-0000-0600-000007000000}">
      <text>
        <r>
          <rPr>
            <sz val="12"/>
            <color theme="1"/>
            <rFont val="Arial"/>
          </rPr>
          <t>This is uncertain and is used as balancing quantity.
	-Bruno Merven</t>
        </r>
      </text>
    </comment>
    <comment ref="U56" authorId="0" shapeId="0" xr:uid="{00000000-0006-0000-0600-000005000000}">
      <text>
        <r>
          <rPr>
            <sz val="12"/>
            <color theme="1"/>
            <rFont val="Arial"/>
          </rPr>
          <t>Brett to confirm this. Reference used: https://www.ers.usda.gov/webdocs/outlooks/40459/11717_wrs0702_1_.pdf?v=3385.2#:~:text=Natural%20gas%20is%20the%20primary,produce%201%20ton%20of%20ammonia.
	-Bruno Merven</t>
        </r>
      </text>
    </comment>
    <comment ref="Y62" authorId="0" shapeId="0" xr:uid="{00000000-0006-0000-0600-000003000000}">
      <text>
        <r>
          <rPr>
            <sz val="12"/>
            <color theme="1"/>
            <rFont val="Arial"/>
          </rPr>
          <t>once we get confirmation from Brett on numbers
	-Bruno Merven</t>
        </r>
      </text>
    </comment>
    <comment ref="O63" authorId="0" shapeId="0" xr:uid="{00000000-0006-0000-0600-00000A000000}">
      <text>
        <r>
          <rPr>
            <sz val="12"/>
            <color theme="1"/>
            <rFont val="Arial"/>
          </rPr>
          <t>PJ estimate using standard emission factor
	-Bruno Merven</t>
        </r>
      </text>
    </comment>
    <comment ref="P63" authorId="0" shapeId="0" xr:uid="{00000000-0006-0000-0600-000009000000}">
      <text>
        <r>
          <rPr>
            <sz val="12"/>
            <color theme="1"/>
            <rFont val="Arial"/>
          </rPr>
          <t>PJ estimate using CV value
	-Bruno Merven</t>
        </r>
      </text>
    </comment>
    <comment ref="U63" authorId="0" shapeId="0" xr:uid="{00000000-0006-0000-0600-000004000000}">
      <text>
        <r>
          <rPr>
            <sz val="12"/>
            <color theme="1"/>
            <rFont val="Arial"/>
          </rPr>
          <t>Brett to check how much gas could be used in rest of chemicals sector and for energy vs material use if any.
	-Bruno Merven</t>
        </r>
      </text>
    </comment>
    <comment ref="Y63" authorId="0" shapeId="0" xr:uid="{00000000-0006-0000-0600-000002000000}">
      <text>
        <r>
          <rPr>
            <sz val="12"/>
            <color theme="1"/>
            <rFont val="Arial"/>
          </rPr>
          <t>Including adding new commodity: ICPGMU (Gas for Material Use)
	-Bruno Merven</t>
        </r>
      </text>
    </comment>
    <comment ref="F64" authorId="0" shapeId="0" xr:uid="{00000000-0006-0000-0600-000008000000}">
      <text>
        <r>
          <rPr>
            <sz val="12"/>
            <color theme="1"/>
            <rFont val="Arial"/>
          </rPr>
          <t>this looks like it could be NATREF
	-Bruno Merven</t>
        </r>
      </text>
    </comment>
    <comment ref="V69" authorId="0" shapeId="0" xr:uid="{00000000-0006-0000-0600-000001000000}">
      <text>
        <r>
          <rPr>
            <sz val="12"/>
            <color theme="1"/>
            <rFont val="Arial"/>
          </rPr>
          <t>this is ok. What's needed in the model is for it to be able to shift away from gas by 2050.
	-Bruno Merven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00000000-0006-0000-0A00-000004000000}">
      <text>
        <r>
          <rPr>
            <sz val="12"/>
            <color theme="1"/>
            <rFont val="Arial"/>
          </rPr>
          <t>observed in Sugar industry
	-Bruno Merven</t>
        </r>
      </text>
    </comment>
    <comment ref="K147" authorId="0" shapeId="0" xr:uid="{00000000-0006-0000-0A00-000003000000}">
      <text>
        <r>
          <rPr>
            <sz val="12"/>
            <color theme="1"/>
            <rFont val="Arial"/>
          </rPr>
          <t>from sugar study
	-Bruno Merven</t>
        </r>
      </text>
    </comment>
    <comment ref="N147" authorId="0" shapeId="0" xr:uid="{00000000-0006-0000-0A00-000002000000}">
      <text>
        <r>
          <rPr>
            <sz val="12"/>
            <color theme="1"/>
            <rFont val="Arial"/>
          </rPr>
          <t>sugar study
	-Bruno Merven</t>
        </r>
      </text>
    </comment>
    <comment ref="O147" authorId="0" shapeId="0" xr:uid="{00000000-0006-0000-0A00-000001000000}">
      <text>
        <r>
          <rPr>
            <sz val="12"/>
            <color theme="1"/>
            <rFont val="Arial"/>
          </rPr>
          <t>sugar study
	-Bruno Merven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D00-000004000000}">
      <text>
        <r>
          <rPr>
            <sz val="12"/>
            <color theme="1"/>
            <rFont val="Arial"/>
          </rPr>
          <t>Note that SUT includes trade and transport margins
	-Bruno Merven</t>
        </r>
      </text>
    </comment>
    <comment ref="D8" authorId="0" shapeId="0" xr:uid="{00000000-0006-0000-0D00-000015000000}">
      <text>
        <r>
          <rPr>
            <sz val="12"/>
            <color theme="1"/>
            <rFont val="Arial"/>
          </rPr>
          <t>set to match DMRE
	-Bruno Merven</t>
        </r>
      </text>
    </comment>
    <comment ref="E8" authorId="0" shapeId="0" xr:uid="{00000000-0006-0000-0D00-000006000000}">
      <text>
        <r>
          <rPr>
            <sz val="12"/>
            <color theme="1"/>
            <rFont val="Arial"/>
          </rPr>
          <t>updated from 28 to 23 based on Jesse's point about almost all exports being RB3.
	-Bruno Merven</t>
        </r>
      </text>
    </comment>
    <comment ref="K8" authorId="0" shapeId="0" xr:uid="{00000000-0006-0000-0D00-000005000000}">
      <text>
        <r>
          <rPr>
            <sz val="12"/>
            <color theme="1"/>
            <rFont val="Arial"/>
          </rPr>
          <t>Adjusted based on the CV for exports.
	-Bruno Merven</t>
        </r>
      </text>
    </comment>
    <comment ref="L9" authorId="0" shapeId="0" xr:uid="{00000000-0006-0000-0D00-00000C000000}">
      <text>
        <r>
          <rPr>
            <sz val="12"/>
            <color theme="1"/>
            <rFont val="Arial"/>
          </rPr>
          <t>from Eskom annual report. This could be higher.
	-Bruno Merven</t>
        </r>
      </text>
    </comment>
    <comment ref="D10" authorId="0" shapeId="0" xr:uid="{00000000-0006-0000-0D00-00001A000000}">
      <text>
        <r>
          <rPr>
            <sz val="12"/>
            <color theme="1"/>
            <rFont val="Arial"/>
          </rPr>
          <t>2012 value adjusted for inflation
	-Bruno Merven</t>
        </r>
      </text>
    </comment>
    <comment ref="E10" authorId="0" shapeId="0" xr:uid="{00000000-0006-0000-0D00-000011000000}">
      <text>
        <r>
          <rPr>
            <sz val="12"/>
            <color theme="1"/>
            <rFont val="Arial"/>
          </rPr>
          <t>From DEFF report (The Calculation of Country Specific Emission
Factors for the Stationary Combustion of
Fuels in the Electricity Generation Sector)
	-Bruno Merven</t>
        </r>
      </text>
    </comment>
    <comment ref="I10" authorId="0" shapeId="0" xr:uid="{00000000-0006-0000-0D00-000017000000}">
      <text>
        <r>
          <rPr>
            <sz val="12"/>
            <color theme="1"/>
            <rFont val="Arial"/>
          </rPr>
          <t>this would include 50PJ for power gen but would exclude coal for material use. This was derived from direct emissions that also include emissions from burning natural gas.
	-Bruno Merven</t>
        </r>
      </text>
    </comment>
    <comment ref="J10" authorId="0" shapeId="0" xr:uid="{00000000-0006-0000-0D00-000027000000}">
      <text>
        <r>
          <rPr>
            <sz val="12"/>
            <color theme="1"/>
            <rFont val="Arial"/>
          </rPr>
          <t>SATIM
	-Bruno Merven</t>
        </r>
      </text>
    </comment>
    <comment ref="K10" authorId="0" shapeId="0" xr:uid="{00000000-0006-0000-0D00-00000D000000}">
      <text>
        <r>
          <rPr>
            <sz val="12"/>
            <color theme="1"/>
            <rFont val="Arial"/>
          </rPr>
          <t>261 is total energy use from Sustainability report June 2018 Page 38
	-Bruno Merven</t>
        </r>
      </text>
    </comment>
    <comment ref="L10" authorId="0" shapeId="0" xr:uid="{00000000-0006-0000-0D00-000016000000}">
      <text>
        <r>
          <rPr>
            <sz val="12"/>
            <color theme="1"/>
            <rFont val="Arial"/>
          </rPr>
          <t>this + power gen = ~41mton as per Secunda mass balance by Harro's post-doc.
	-Bruno Merven</t>
        </r>
      </text>
    </comment>
    <comment ref="L11" authorId="0" shapeId="0" xr:uid="{00000000-0006-0000-0D00-00000F000000}">
      <text>
        <r>
          <rPr>
            <sz val="12"/>
            <color theme="1"/>
            <rFont val="Arial"/>
          </rPr>
          <t>from sustainability report / 0.65 (Dry Ash Free to Run of min ratio)
	-Bruno Merven</t>
        </r>
      </text>
    </comment>
    <comment ref="D12" authorId="0" shapeId="0" xr:uid="{00000000-0006-0000-0D00-000019000000}">
      <text>
        <r>
          <rPr>
            <sz val="12"/>
            <color theme="1"/>
            <rFont val="Arial"/>
          </rPr>
          <t>adjusted to more or less hit DEFF/Eskom value
	-Bruno Merven</t>
        </r>
      </text>
    </comment>
    <comment ref="E12" authorId="0" shapeId="0" xr:uid="{00000000-0006-0000-0D00-000010000000}">
      <text>
        <r>
          <rPr>
            <sz val="12"/>
            <color theme="1"/>
            <rFont val="Arial"/>
          </rPr>
          <t>Eskom annual report
	-Bruno Merven</t>
        </r>
      </text>
    </comment>
    <comment ref="I12" authorId="0" shapeId="0" xr:uid="{00000000-0006-0000-0D00-000018000000}">
      <text>
        <r>
          <rPr>
            <sz val="12"/>
            <color theme="1"/>
            <rFont val="Arial"/>
          </rPr>
          <t>This is Eskom
	-Bruno Merven</t>
        </r>
      </text>
    </comment>
    <comment ref="J12" authorId="0" shapeId="0" xr:uid="{00000000-0006-0000-0D00-000026000000}">
      <text>
        <r>
          <rPr>
            <sz val="12"/>
            <color theme="1"/>
            <rFont val="Arial"/>
          </rPr>
          <t>SATIM
	-Bruno Merven</t>
        </r>
      </text>
    </comment>
    <comment ref="K12" authorId="0" shapeId="0" xr:uid="{00000000-0006-0000-0D00-000012000000}">
      <text>
        <r>
          <rPr>
            <sz val="12"/>
            <color theme="1"/>
            <rFont val="Arial"/>
          </rPr>
          <t>20.5PJ (estimate for Kelvin) based on 2018 production.
	-Bruno Merven</t>
        </r>
      </text>
    </comment>
    <comment ref="L12" authorId="0" shapeId="0" xr:uid="{00000000-0006-0000-0D00-00001B000000}">
      <text>
        <r>
          <rPr>
            <sz val="12"/>
            <color theme="1"/>
            <rFont val="Arial"/>
          </rPr>
          <t>this is in the ball-park of what Eskom says it consumed
	-Bruno Merven</t>
        </r>
      </text>
    </comment>
    <comment ref="K16" authorId="0" shapeId="0" xr:uid="{00000000-0006-0000-0D00-00000E000000}">
      <text>
        <r>
          <rPr>
            <sz val="12"/>
            <color theme="1"/>
            <rFont val="Arial"/>
          </rPr>
          <t>from sugar study
	-Bruno Merven</t>
        </r>
      </text>
    </comment>
    <comment ref="K18" authorId="0" shapeId="0" xr:uid="{00000000-0006-0000-0D00-00001D000000}">
      <text>
        <r>
          <rPr>
            <sz val="12"/>
            <color theme="1"/>
            <rFont val="Arial"/>
          </rPr>
          <t>estimated from 2017 electricity production from Sasol's coal plants
	-Bruno Merven</t>
        </r>
      </text>
    </comment>
    <comment ref="AB18" authorId="0" shapeId="0" xr:uid="{00000000-0006-0000-0D00-00000B000000}">
      <text>
        <r>
          <rPr>
            <sz val="12"/>
            <color theme="1"/>
            <rFont val="Arial"/>
          </rPr>
          <t>from Alwyn Van Der Merwe (Eskom Primary Energy).
	-Bruno Merven</t>
        </r>
      </text>
    </comment>
    <comment ref="E21" authorId="0" shapeId="0" xr:uid="{00000000-0006-0000-0D00-00001C000000}">
      <text>
        <r>
          <rPr>
            <sz val="12"/>
            <color theme="1"/>
            <rFont val="Arial"/>
          </rPr>
          <t>as per DMRE EB
	-Bruno Merven</t>
        </r>
      </text>
    </comment>
    <comment ref="B23" authorId="0" shapeId="0" xr:uid="{00000000-0006-0000-0D00-000028000000}">
      <text>
        <r>
          <rPr>
            <sz val="12"/>
            <color theme="1"/>
            <rFont val="Arial"/>
          </rPr>
          <t>We suspect that Ferro-Alloys is part of Mining in SUT
	-Bruno Merven</t>
        </r>
      </text>
    </comment>
    <comment ref="D24" authorId="0" shapeId="0" xr:uid="{00000000-0006-0000-0D00-000002000000}">
      <text>
        <r>
          <rPr>
            <sz val="12"/>
            <color theme="1"/>
            <rFont val="Arial"/>
          </rPr>
          <t>transport costs could be up to 10 R/GJ (Ref - Coal database for power plants), or more (e.g. for sugar where it could be 20 R/GJ).
	-Bruno Merven</t>
        </r>
      </text>
    </comment>
    <comment ref="W24" authorId="0" shapeId="0" xr:uid="{00000000-0006-0000-0D00-000003000000}">
      <text>
        <r>
          <rPr>
            <sz val="12"/>
            <color theme="1"/>
            <rFont val="Arial"/>
          </rPr>
          <t>These prices probably exclude transport costs?
	-Bruno Merven</t>
        </r>
      </text>
    </comment>
    <comment ref="D25" authorId="0" shapeId="0" xr:uid="{00000000-0006-0000-0D00-000008000000}">
      <text>
        <r>
          <rPr>
            <sz val="12"/>
            <color theme="1"/>
            <rFont val="Arial"/>
          </rPr>
          <t>estimate in order to get mining to match XMP
	-Bruno Merven</t>
        </r>
      </text>
    </comment>
    <comment ref="J25" authorId="0" shapeId="0" xr:uid="{00000000-0006-0000-0D00-000025000000}">
      <text>
        <r>
          <rPr>
            <sz val="12"/>
            <color theme="1"/>
            <rFont val="Arial"/>
          </rPr>
          <t>Value in Model (Coal+Coke) - Bryce?
	-Bruno Merven</t>
        </r>
      </text>
    </comment>
    <comment ref="G26" authorId="0" shapeId="0" xr:uid="{00000000-0006-0000-0D00-000020000000}">
      <text>
        <r>
          <rPr>
            <sz val="12"/>
            <color theme="1"/>
            <rFont val="Arial"/>
          </rPr>
          <t>this would include transformation (used in elec gen)
	-Bruno Merven</t>
        </r>
      </text>
    </comment>
    <comment ref="D29" authorId="0" shapeId="0" xr:uid="{00000000-0006-0000-0D00-000014000000}">
      <text>
        <r>
          <rPr>
            <sz val="12"/>
            <color theme="1"/>
            <rFont val="Arial"/>
          </rPr>
          <t>Price pushed up to try bring consumption down. Perhaps higher transport costs in this sector?
	-Bruno Merven</t>
        </r>
      </text>
    </comment>
    <comment ref="G29" authorId="0" shapeId="0" xr:uid="{00000000-0006-0000-0D00-000021000000}">
      <text>
        <r>
          <rPr>
            <sz val="12"/>
            <color theme="1"/>
            <rFont val="Arial"/>
          </rPr>
          <t>this would include transformation (used in elec gen)
	-Bruno Merven</t>
        </r>
      </text>
    </comment>
    <comment ref="J29" authorId="0" shapeId="0" xr:uid="{00000000-0006-0000-0D00-00001F000000}">
      <text>
        <r>
          <rPr>
            <sz val="12"/>
            <color theme="1"/>
            <rFont val="Arial"/>
          </rPr>
          <t>Tamaryn Scaled
	-Bruno Merven</t>
        </r>
      </text>
    </comment>
    <comment ref="G30" authorId="0" shapeId="0" xr:uid="{00000000-0006-0000-0D00-000007000000}">
      <text>
        <r>
          <rPr>
            <sz val="12"/>
            <color theme="1"/>
            <rFont val="Arial"/>
          </rPr>
          <t>This must include coal used for power
	-Bruno Merven</t>
        </r>
      </text>
    </comment>
    <comment ref="J31" authorId="0" shapeId="0" xr:uid="{00000000-0006-0000-0D00-000024000000}">
      <text>
        <r>
          <rPr>
            <sz val="12"/>
            <color theme="1"/>
            <rFont val="Arial"/>
          </rPr>
          <t>Bryce?
	-Bruno Merven</t>
        </r>
      </text>
    </comment>
    <comment ref="C32" authorId="0" shapeId="0" xr:uid="{00000000-0006-0000-0D00-000013000000}">
      <text>
        <r>
          <rPr>
            <sz val="12"/>
            <color theme="1"/>
            <rFont val="Arial"/>
          </rPr>
          <t>here we assume that this excludes coke which mostly comes imports.
	-Bruno Merven</t>
        </r>
      </text>
    </comment>
    <comment ref="H32" authorId="0" shapeId="0" xr:uid="{00000000-0006-0000-0D00-000009000000}">
      <text>
        <r>
          <rPr>
            <sz val="12"/>
            <color theme="1"/>
            <rFont val="Arial"/>
          </rPr>
          <t>this probably includes coking coal
	-Bruno Merven</t>
        </r>
      </text>
    </comment>
    <comment ref="J32" authorId="0" shapeId="0" xr:uid="{00000000-0006-0000-0D00-000023000000}">
      <text>
        <r>
          <rPr>
            <sz val="12"/>
            <color theme="1"/>
            <rFont val="Arial"/>
          </rPr>
          <t>Bryce?
	-Bruno Merven</t>
        </r>
      </text>
    </comment>
    <comment ref="M32" authorId="0" shapeId="0" xr:uid="{00000000-0006-0000-0D00-00000A000000}">
      <text>
        <r>
          <rPr>
            <sz val="12"/>
            <color theme="1"/>
            <rFont val="Arial"/>
          </rPr>
          <t>this may include coking coal
	-Bruno Merven</t>
        </r>
      </text>
    </comment>
    <comment ref="K37" authorId="0" shapeId="0" xr:uid="{00000000-0006-0000-0D00-000001000000}">
      <text>
        <r>
          <rPr>
            <sz val="12"/>
            <color theme="1"/>
            <rFont val="Arial"/>
          </rPr>
          <t>Added missing part of pulp and paper, and non-metallic minerals here for now.
	-Bruno Merven</t>
        </r>
      </text>
    </comment>
    <comment ref="J40" authorId="0" shapeId="0" xr:uid="{00000000-0006-0000-0D00-00001E000000}">
      <text>
        <r>
          <rPr>
            <sz val="12"/>
            <color theme="1"/>
            <rFont val="Arial"/>
          </rPr>
          <t>Fadiel?
	-Bruno Merven</t>
        </r>
      </text>
    </comment>
    <comment ref="J42" authorId="0" shapeId="0" xr:uid="{00000000-0006-0000-0D00-000022000000}">
      <text>
        <r>
          <rPr>
            <sz val="12"/>
            <color theme="1"/>
            <rFont val="Arial"/>
          </rPr>
          <t>Fuel Study
	-Bruno Merven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I2" authorId="0" shapeId="0" xr:uid="{00000000-0006-0000-0E00-000014000000}">
      <text>
        <r>
          <rPr>
            <sz val="12"/>
            <color theme="1"/>
            <rFont val="Arial"/>
          </rPr>
          <t>From Eskom, sales by SIC
	-Bruno Merven</t>
        </r>
      </text>
    </comment>
    <comment ref="K2" authorId="0" shapeId="0" xr:uid="{00000000-0006-0000-0E00-000013000000}">
      <text>
        <r>
          <rPr>
            <sz val="12"/>
            <color theme="1"/>
            <rFont val="Arial"/>
          </rPr>
          <t>from data collected by SEA, padded with Eskom sales to redistributors.
	-Bruno Merven</t>
        </r>
      </text>
    </comment>
    <comment ref="L4" authorId="0" shapeId="0" xr:uid="{00000000-0006-0000-0E00-000005000000}">
      <text>
        <r>
          <rPr>
            <sz val="12"/>
            <color theme="1"/>
            <rFont val="Arial"/>
          </rPr>
          <t>Eskom Annual report 2017/2018
	-Bruno Merven</t>
        </r>
      </text>
    </comment>
    <comment ref="O6" authorId="0" shapeId="0" xr:uid="{00000000-0006-0000-0E00-000009000000}">
      <text>
        <r>
          <rPr>
            <sz val="12"/>
            <color theme="1"/>
            <rFont val="Arial"/>
          </rPr>
          <t>this must include own gen
	-Bruno Merven</t>
        </r>
      </text>
    </comment>
    <comment ref="J8" authorId="0" shapeId="0" xr:uid="{00000000-0006-0000-0E00-000010000000}">
      <text>
        <r>
          <rPr>
            <sz val="12"/>
            <color theme="1"/>
            <rFont val="Arial"/>
          </rPr>
          <t>estimate made in TCH_SUP!Refineries Data, based on Sasol sustainability report, allocated to different businesses in Sasol
	-Bruno Merven</t>
        </r>
      </text>
    </comment>
    <comment ref="K19" authorId="0" shapeId="0" xr:uid="{00000000-0006-0000-0E00-00000F000000}">
      <text>
        <r>
          <rPr>
            <sz val="12"/>
            <color theme="1"/>
            <rFont val="Arial"/>
          </rPr>
          <t>from Munics Data in SEA SSG study
	-Bruno Merven</t>
        </r>
      </text>
    </comment>
    <comment ref="E20" authorId="0" shapeId="0" xr:uid="{00000000-0006-0000-0E00-00000B000000}">
      <text>
        <r>
          <rPr>
            <sz val="12"/>
            <color theme="1"/>
            <rFont val="Arial"/>
          </rPr>
          <t>estimate to try and balance things
	-Bruno Merven</t>
        </r>
      </text>
    </comment>
    <comment ref="M28" authorId="0" shapeId="0" xr:uid="{00000000-0006-0000-0E00-000011000000}">
      <text>
        <r>
          <rPr>
            <sz val="12"/>
            <color theme="1"/>
            <rFont val="Arial"/>
          </rPr>
          <t>this includes Sasol, and it may include purchases for own gen?
	-Bruno Merven</t>
        </r>
      </text>
    </comment>
    <comment ref="N28" authorId="0" shapeId="0" xr:uid="{00000000-0006-0000-0E00-000007000000}">
      <text>
        <r>
          <rPr>
            <sz val="12"/>
            <color theme="1"/>
            <rFont val="Arial"/>
          </rPr>
          <t>this must include self gen
	-Bruno Merven</t>
        </r>
      </text>
    </comment>
    <comment ref="E30" authorId="0" shapeId="0" xr:uid="{00000000-0006-0000-0E00-000012000000}">
      <text>
        <r>
          <rPr>
            <sz val="12"/>
            <color theme="1"/>
            <rFont val="Arial"/>
          </rPr>
          <t>adjusted to get sum to match IS+FA
	-Bruno Merven</t>
        </r>
      </text>
    </comment>
    <comment ref="K39" authorId="0" shapeId="0" xr:uid="{00000000-0006-0000-0E00-00000E000000}">
      <text>
        <r>
          <rPr>
            <sz val="12"/>
            <color theme="1"/>
            <rFont val="Arial"/>
          </rPr>
          <t>from Munics Data in SEA SSG study
	-Bruno Merven</t>
        </r>
      </text>
    </comment>
    <comment ref="K40" authorId="0" shapeId="0" xr:uid="{00000000-0006-0000-0E00-00000D000000}">
      <text>
        <r>
          <rPr>
            <sz val="12"/>
            <color theme="1"/>
            <rFont val="Arial"/>
          </rPr>
          <t>from Munics Data in SEA SSG study
	-Bruno Merven</t>
        </r>
      </text>
    </comment>
    <comment ref="K41" authorId="0" shapeId="0" xr:uid="{00000000-0006-0000-0E00-00000C000000}">
      <text>
        <r>
          <rPr>
            <sz val="12"/>
            <color theme="1"/>
            <rFont val="Arial"/>
          </rPr>
          <t>from Munics Data in SEA SSG study
	-Bruno Merven</t>
        </r>
      </text>
    </comment>
    <comment ref="L46" authorId="0" shapeId="0" xr:uid="{00000000-0006-0000-0E00-000006000000}">
      <text>
        <r>
          <rPr>
            <sz val="12"/>
            <color theme="1"/>
            <rFont val="Arial"/>
          </rPr>
          <t>from Jarrad - hourly dispatch data for 2017
	-Bruno Merven</t>
        </r>
      </text>
    </comment>
    <comment ref="L49" authorId="0" shapeId="0" xr:uid="{00000000-0006-0000-0E00-000001000000}">
      <text>
        <r>
          <rPr>
            <sz val="12"/>
            <color theme="1"/>
            <rFont val="Arial"/>
          </rPr>
          <t>including transmission losses
	-Bruno Merven</t>
        </r>
      </text>
    </comment>
    <comment ref="M53" authorId="0" shapeId="0" xr:uid="{00000000-0006-0000-0E00-000003000000}">
      <text>
        <r>
          <rPr>
            <sz val="12"/>
            <color theme="1"/>
            <rFont val="Arial"/>
          </rPr>
          <t>GTL calc update done by Fadiel
	-Bruno Merven</t>
        </r>
      </text>
    </comment>
    <comment ref="O54" authorId="0" shapeId="0" xr:uid="{00000000-0006-0000-0E00-00000A000000}">
      <text>
        <r>
          <rPr>
            <sz val="12"/>
            <color theme="1"/>
            <rFont val="Arial"/>
          </rPr>
          <t>this includes self gen
	-Bruno Merven</t>
        </r>
      </text>
    </comment>
    <comment ref="L55" authorId="0" shapeId="0" xr:uid="{00000000-0006-0000-0E00-000002000000}">
      <text>
        <r>
          <rPr>
            <sz val="12"/>
            <color theme="1"/>
            <rFont val="Arial"/>
          </rPr>
          <t>Fadiel: SAPIA AR (2018)
	-Bruno Merven</t>
        </r>
      </text>
    </comment>
    <comment ref="N72" authorId="0" shapeId="0" xr:uid="{00000000-0006-0000-0E00-000008000000}">
      <text>
        <r>
          <rPr>
            <sz val="12"/>
            <color theme="1"/>
            <rFont val="Arial"/>
          </rPr>
          <t>this includes own gen
	-Bruno Merven</t>
        </r>
      </text>
    </comment>
    <comment ref="K81" authorId="0" shapeId="0" xr:uid="{00000000-0006-0000-0E00-000004000000}">
      <text>
        <r>
          <rPr>
            <sz val="12"/>
            <color theme="1"/>
            <rFont val="Arial"/>
          </rPr>
          <t>Nersa 2012
	-Bruno Merven</t>
        </r>
      </text>
    </comment>
  </commentList>
</comments>
</file>

<file path=xl/sharedStrings.xml><?xml version="1.0" encoding="utf-8"?>
<sst xmlns="http://schemas.openxmlformats.org/spreadsheetml/2006/main" count="4284" uniqueCount="1547">
  <si>
    <t>DMRE name</t>
  </si>
  <si>
    <t>wood</t>
  </si>
  <si>
    <t xml:space="preserve">SATIM </t>
  </si>
  <si>
    <t>Crude oil</t>
  </si>
  <si>
    <t>Coal</t>
  </si>
  <si>
    <t>coal discard</t>
  </si>
  <si>
    <t>coal low grade</t>
  </si>
  <si>
    <t>coking coal</t>
  </si>
  <si>
    <t>Electricity</t>
  </si>
  <si>
    <t>Gas</t>
  </si>
  <si>
    <t>Diesel</t>
  </si>
  <si>
    <t>Petrol</t>
  </si>
  <si>
    <t>Av gas</t>
  </si>
  <si>
    <t>hydrogen</t>
  </si>
  <si>
    <t>HFO</t>
  </si>
  <si>
    <t>Paraffin</t>
  </si>
  <si>
    <t>LPG</t>
  </si>
  <si>
    <t>Bagasse</t>
  </si>
  <si>
    <t>biodiesel</t>
  </si>
  <si>
    <t>bioethanol</t>
  </si>
  <si>
    <t>biogas</t>
  </si>
  <si>
    <t>biomass other</t>
  </si>
  <si>
    <t>Steam?</t>
  </si>
  <si>
    <t>waste</t>
  </si>
  <si>
    <t>Total</t>
  </si>
  <si>
    <t>DMRE 2017</t>
  </si>
  <si>
    <t>Total SATIM (old)</t>
  </si>
  <si>
    <t>NEW SATIM</t>
  </si>
  <si>
    <t>Total new</t>
  </si>
  <si>
    <t>SECTOR LEADS TO FILL IN Table Below</t>
  </si>
  <si>
    <t>Model here</t>
  </si>
  <si>
    <t>C:\Google Drive\SATIM\Model Files\NDC2020_Models</t>
  </si>
  <si>
    <t>over</t>
  </si>
  <si>
    <t>under</t>
  </si>
  <si>
    <t xml:space="preserve">UNITS - TJ </t>
  </si>
  <si>
    <t>Coke</t>
  </si>
  <si>
    <t>Electricity(grid)</t>
  </si>
  <si>
    <t>Electricity(incl.own gen)</t>
  </si>
  <si>
    <t>Jet fuel</t>
  </si>
  <si>
    <t>Crude Oil</t>
  </si>
  <si>
    <t>Total (final)</t>
  </si>
  <si>
    <t>Agriculture</t>
  </si>
  <si>
    <t>Commerce</t>
  </si>
  <si>
    <t>????????</t>
  </si>
  <si>
    <t>Industry Sector</t>
  </si>
  <si>
    <t>Mining2</t>
  </si>
  <si>
    <t>FerroAlloys</t>
  </si>
  <si>
    <t>Iron_Steel351</t>
  </si>
  <si>
    <t>Chemicals33</t>
  </si>
  <si>
    <t>Aluminium</t>
  </si>
  <si>
    <t>PNFMetals352</t>
  </si>
  <si>
    <t>NMMProducts34</t>
  </si>
  <si>
    <t>Food_Bev_Tob30</t>
  </si>
  <si>
    <t>Bryce</t>
  </si>
  <si>
    <t>Pulp_Paper323</t>
  </si>
  <si>
    <t>IndOther</t>
  </si>
  <si>
    <t>Residential</t>
  </si>
  <si>
    <t>Transport</t>
  </si>
  <si>
    <t>Non-specified (Other)</t>
  </si>
  <si>
    <t>Total Demand = domestic demand +exports + losses</t>
  </si>
  <si>
    <t>?</t>
  </si>
  <si>
    <t>?Harro/Julia</t>
  </si>
  <si>
    <t>Alison</t>
  </si>
  <si>
    <t>Total Supply = domestic production + imports</t>
  </si>
  <si>
    <t>Domestic Production (output of refineries,mines,power plants)</t>
  </si>
  <si>
    <t>Imports</t>
  </si>
  <si>
    <t>Harro/Julia</t>
  </si>
  <si>
    <t>Alison/Luanne</t>
  </si>
  <si>
    <t>Exports</t>
  </si>
  <si>
    <t>Transformation</t>
  </si>
  <si>
    <t>Power</t>
  </si>
  <si>
    <t>CTL (material use)</t>
  </si>
  <si>
    <t>CTL (energy)</t>
  </si>
  <si>
    <t>GTL</t>
  </si>
  <si>
    <t>Crude Refineries</t>
  </si>
  <si>
    <t>Auto-Producers</t>
  </si>
  <si>
    <t>AutoProd-Commerce</t>
  </si>
  <si>
    <t>AutoProd-Pulp and Paper</t>
  </si>
  <si>
    <t>AutoProd-Food and Bev</t>
  </si>
  <si>
    <t>AutoProd-Chemicals (Sasol)</t>
  </si>
  <si>
    <t>AutoProd-Synfuels (Sasol)</t>
  </si>
  <si>
    <t>Transmission Losses</t>
  </si>
  <si>
    <t>Dist.Agriculture</t>
  </si>
  <si>
    <t>Dist.Commerce</t>
  </si>
  <si>
    <t>Dist.Households</t>
  </si>
  <si>
    <t>Dist.Transport</t>
  </si>
  <si>
    <t>Dist.Other Industry</t>
  </si>
  <si>
    <t>Dist.Mining</t>
  </si>
  <si>
    <t>Dist.Refineries</t>
  </si>
  <si>
    <t>liquid fuels demand check (aggregate vs bottom-up)</t>
  </si>
  <si>
    <t>MJ/kg</t>
  </si>
  <si>
    <t>Sasol says 2007 kilotons of nat gas</t>
  </si>
  <si>
    <t>RSA 2016 ver 1</t>
  </si>
  <si>
    <t>Single Energy Unit</t>
  </si>
  <si>
    <t>Petroleum</t>
  </si>
  <si>
    <t>Nuclear</t>
  </si>
  <si>
    <t>Hydro</t>
  </si>
  <si>
    <t>Geothermal</t>
  </si>
  <si>
    <t>Renewables</t>
  </si>
  <si>
    <t>Heat</t>
  </si>
  <si>
    <t>(TJ)</t>
  </si>
  <si>
    <t>Products</t>
  </si>
  <si>
    <t>Solar etc</t>
  </si>
  <si>
    <t>&amp; Waste</t>
  </si>
  <si>
    <t>Indigenous Production</t>
  </si>
  <si>
    <t>-</t>
  </si>
  <si>
    <t>Import</t>
  </si>
  <si>
    <t>Export</t>
  </si>
  <si>
    <t>Intl. Marine Bunkers</t>
  </si>
  <si>
    <t>Stock Changes</t>
  </si>
  <si>
    <t>Total Primary Energy Supply</t>
  </si>
  <si>
    <t>Transfers</t>
  </si>
  <si>
    <t>Statistical Differences</t>
  </si>
  <si>
    <t>Electricity Plant</t>
  </si>
  <si>
    <t>Autoproducer Electricity Plant</t>
  </si>
  <si>
    <t>CHP Plant</t>
  </si>
  <si>
    <t>Autoproducer CHP Plant</t>
  </si>
  <si>
    <t>Heat Plant</t>
  </si>
  <si>
    <t>Autoproducer Heat Plant</t>
  </si>
  <si>
    <t>Heat pumps</t>
  </si>
  <si>
    <t>Electric boilers</t>
  </si>
  <si>
    <t>Gas Works</t>
  </si>
  <si>
    <t>Oil Refineries</t>
  </si>
  <si>
    <t>Coal Transformation</t>
  </si>
  <si>
    <t>Liquefaction</t>
  </si>
  <si>
    <t>Non-specified (Transformation)</t>
  </si>
  <si>
    <t>Own Use</t>
  </si>
  <si>
    <t>Distribution Losses</t>
  </si>
  <si>
    <t>Total Final Consumption</t>
  </si>
  <si>
    <t>Iron and Steel</t>
  </si>
  <si>
    <t>Chemical and Petrochemical</t>
  </si>
  <si>
    <t>Memo: Feedst.Use In Petchem.Ind.</t>
  </si>
  <si>
    <t>Non-Ferrous Metals</t>
  </si>
  <si>
    <t>Non-Metallic Minerals</t>
  </si>
  <si>
    <t>Transport Equipment</t>
  </si>
  <si>
    <t>Machinery</t>
  </si>
  <si>
    <t>Mining and Quarrying</t>
  </si>
  <si>
    <t>Food and Tobacco</t>
  </si>
  <si>
    <t>Paper Pulp and Print</t>
  </si>
  <si>
    <t>Wood and Wood Products</t>
  </si>
  <si>
    <t>Construction</t>
  </si>
  <si>
    <t>Textile and Leather</t>
  </si>
  <si>
    <t>Non-specified (Industry)</t>
  </si>
  <si>
    <t>Transport Sector</t>
  </si>
  <si>
    <t>International Civil Aviation</t>
  </si>
  <si>
    <t>Domestic Air Transport</t>
  </si>
  <si>
    <t>Road</t>
  </si>
  <si>
    <t>Rail</t>
  </si>
  <si>
    <t>Pipeline Transport</t>
  </si>
  <si>
    <t>Internal Navigation</t>
  </si>
  <si>
    <t>Non-specified (Transport)</t>
  </si>
  <si>
    <t>Other Sectors</t>
  </si>
  <si>
    <t>Commerce and Public Services</t>
  </si>
  <si>
    <t>Non-Energy Use</t>
  </si>
  <si>
    <t>Memo:Non-Energy Use Ind/Transf/Ener</t>
  </si>
  <si>
    <t>Memo:Non-Energy Use in Transport</t>
  </si>
  <si>
    <t>Memo:Non-Energy Use in Oth. Sect</t>
  </si>
  <si>
    <t>Elect.Output in GWh</t>
  </si>
  <si>
    <t>Elect.Output-public elec. plant</t>
  </si>
  <si>
    <t>Elect.Output-autoprod. elec. plant</t>
  </si>
  <si>
    <t>Elect.Output-public CHP plant</t>
  </si>
  <si>
    <t>Elect.Output-autoprod. CHP plant</t>
  </si>
  <si>
    <t>Heat Output-public CHP plant</t>
  </si>
  <si>
    <t>Heat Output-autoproducer CHP plant</t>
  </si>
  <si>
    <t>Heat Output-public heat plant</t>
  </si>
  <si>
    <t>Heat Output-autoprod. heat plant</t>
  </si>
  <si>
    <t>Heat Output in TJ</t>
  </si>
  <si>
    <t>RSA 2017 ver 1</t>
  </si>
  <si>
    <t>Motor Gasoline</t>
  </si>
  <si>
    <t>Aviation Gasoline</t>
  </si>
  <si>
    <t>Gas Diesel</t>
  </si>
  <si>
    <t>Parrafin Wax</t>
  </si>
  <si>
    <t>Petroleum Products</t>
  </si>
  <si>
    <t>Geothermal solar etc</t>
  </si>
  <si>
    <t>Renewables &amp; Waste</t>
  </si>
  <si>
    <t>Hard Coal</t>
  </si>
  <si>
    <t xml:space="preserve"> Brown Coal</t>
  </si>
  <si>
    <t>Anthracite</t>
  </si>
  <si>
    <t>Coking coal</t>
  </si>
  <si>
    <t>Bituminous coal</t>
  </si>
  <si>
    <t>Sub- Bituminous coal</t>
  </si>
  <si>
    <t>Lignite</t>
  </si>
  <si>
    <t>Peat</t>
  </si>
  <si>
    <t>PatentFuel</t>
  </si>
  <si>
    <t>Coke oven coke</t>
  </si>
  <si>
    <t>Gas Coke</t>
  </si>
  <si>
    <t xml:space="preserve">     BKB</t>
  </si>
  <si>
    <t>Gasworks Gas</t>
  </si>
  <si>
    <t>Coke oven Gas</t>
  </si>
  <si>
    <t>Blast Furnace Gas</t>
  </si>
  <si>
    <t>Oxygen Furnace Gas</t>
  </si>
  <si>
    <t>SBIOMASS</t>
  </si>
  <si>
    <t>Industrial waste</t>
  </si>
  <si>
    <t>Muncipal waste</t>
  </si>
  <si>
    <t xml:space="preserve">   GLBIO</t>
  </si>
  <si>
    <t>Natural Gas</t>
  </si>
  <si>
    <t>Crude + NGLs '+ Feedstocks</t>
  </si>
  <si>
    <t>NGLs</t>
  </si>
  <si>
    <t>Refinery Feedstocks</t>
  </si>
  <si>
    <t>Additives</t>
  </si>
  <si>
    <t>Non-Conventional crude</t>
  </si>
  <si>
    <t>Refinery Gas</t>
  </si>
  <si>
    <t>Ethane</t>
  </si>
  <si>
    <t xml:space="preserve">     LPG</t>
  </si>
  <si>
    <t>Jet Gasoline</t>
  </si>
  <si>
    <t>Jet Kerosene</t>
  </si>
  <si>
    <t>Other Kerosene</t>
  </si>
  <si>
    <t>Residual Fuel</t>
  </si>
  <si>
    <t>Naphtha</t>
  </si>
  <si>
    <t>White Spirit</t>
  </si>
  <si>
    <t>Lubricants</t>
  </si>
  <si>
    <t>Bitumen</t>
  </si>
  <si>
    <t>Petroleum Coke</t>
  </si>
  <si>
    <t>Non-specified oil products</t>
  </si>
  <si>
    <t xml:space="preserve"> NONSPEC</t>
  </si>
  <si>
    <t>Solar</t>
  </si>
  <si>
    <t xml:space="preserve">Tide </t>
  </si>
  <si>
    <t>Wind</t>
  </si>
  <si>
    <t>Heatpumps</t>
  </si>
  <si>
    <t>Boilers</t>
  </si>
  <si>
    <t>Other</t>
  </si>
  <si>
    <t>Total Coal</t>
  </si>
  <si>
    <t>Fuel</t>
  </si>
  <si>
    <t>coke</t>
  </si>
  <si>
    <t>Furnace Gas</t>
  </si>
  <si>
    <t>Waste</t>
  </si>
  <si>
    <t>+ Feedstocks</t>
  </si>
  <si>
    <t>Feedstocks</t>
  </si>
  <si>
    <t>Conventional crude</t>
  </si>
  <si>
    <t>Gasoline</t>
  </si>
  <si>
    <t>Kerosene</t>
  </si>
  <si>
    <t>Spirit</t>
  </si>
  <si>
    <t>Wax</t>
  </si>
  <si>
    <t>oil products</t>
  </si>
  <si>
    <t>Domestic Supply</t>
  </si>
  <si>
    <t/>
  </si>
  <si>
    <t>Transformation Sector</t>
  </si>
  <si>
    <t>Electric Boilers</t>
  </si>
  <si>
    <t>Coke Ovens</t>
  </si>
  <si>
    <t>Blast Furnaces</t>
  </si>
  <si>
    <t>Petrochemical Industry</t>
  </si>
  <si>
    <t>BKB Production</t>
  </si>
  <si>
    <t>Energy Sector</t>
  </si>
  <si>
    <t>Coal Mines</t>
  </si>
  <si>
    <t>Oil and Gas Extraction</t>
  </si>
  <si>
    <t>Patent Fuel Plants</t>
  </si>
  <si>
    <t>BKB</t>
  </si>
  <si>
    <t>Ownuse in Elec., CHP and Heat plant</t>
  </si>
  <si>
    <t>Used for Pump Storage</t>
  </si>
  <si>
    <t>Nuclear Industry</t>
  </si>
  <si>
    <t>Non-specified (Energy)</t>
  </si>
  <si>
    <t>Final Consumption</t>
  </si>
  <si>
    <t>Memo:Non-Energy Use in Oth.Sect.</t>
  </si>
  <si>
    <t>Memo:Feedst.Use in Petchem. Ind.</t>
  </si>
  <si>
    <t>Renewables and waste</t>
  </si>
  <si>
    <t>Pumped Hydro Production</t>
  </si>
  <si>
    <t>Oil</t>
  </si>
  <si>
    <t>Natural_Gas</t>
  </si>
  <si>
    <t>Memo: Gas vented</t>
  </si>
  <si>
    <t>Memo: Gas flared</t>
  </si>
  <si>
    <t>Memo: Energy use for Gold Mining</t>
  </si>
  <si>
    <t>Memo: Energy use for Other Mining</t>
  </si>
  <si>
    <t>Fossil</t>
  </si>
  <si>
    <t>Zero carbon</t>
  </si>
  <si>
    <t>elec</t>
  </si>
  <si>
    <t>StatsSA P1</t>
  </si>
  <si>
    <t>Total - All producers</t>
  </si>
  <si>
    <t>Electricity produced</t>
  </si>
  <si>
    <t>Purchased outside South Africa (import)</t>
  </si>
  <si>
    <t>Consumed in power stations and auxiliary systems</t>
  </si>
  <si>
    <t>Sold outside South Africa (export)</t>
  </si>
  <si>
    <t>Electricity available for distribution in South Africa</t>
  </si>
  <si>
    <t>Eskom</t>
  </si>
  <si>
    <t>Electricity distributed</t>
  </si>
  <si>
    <t>Western Cape</t>
  </si>
  <si>
    <t>Eastern Cape</t>
  </si>
  <si>
    <t>Northern Cape</t>
  </si>
  <si>
    <t>Free State</t>
  </si>
  <si>
    <t>KwaZulu-Natal</t>
  </si>
  <si>
    <t>North west</t>
  </si>
  <si>
    <t>Gauteng</t>
  </si>
  <si>
    <t>Mpumalanga</t>
  </si>
  <si>
    <t>Limpopo</t>
  </si>
  <si>
    <t>Bruno calcs in "eskom electricity 2017 18"  compared to DMRE</t>
  </si>
  <si>
    <t>DMRE TJ</t>
  </si>
  <si>
    <t>DMRE GWh</t>
  </si>
  <si>
    <t>Bruno Eskom (excl munics total sales)</t>
  </si>
  <si>
    <t>Bruno Eskom (excl munics dsitributed)</t>
  </si>
  <si>
    <t>Bruno Eskom munics</t>
  </si>
  <si>
    <t>Total Bruno (distributed)</t>
  </si>
  <si>
    <t>NDC</t>
  </si>
  <si>
    <t>Ferro Alloys</t>
  </si>
  <si>
    <t>Iron &amp; Steel</t>
  </si>
  <si>
    <t>Chemicals</t>
  </si>
  <si>
    <t>Precious &amp; Non-Ferrous metals</t>
  </si>
  <si>
    <t>N.M.M Products (incl. bricks)</t>
  </si>
  <si>
    <t>Food, Beverage &amp; Tabacco</t>
  </si>
  <si>
    <t>Pulp &amp; Paper Products</t>
  </si>
  <si>
    <t>Government</t>
  </si>
  <si>
    <t>Eskom internal</t>
  </si>
  <si>
    <t>DMRE 2017 EB</t>
  </si>
  <si>
    <t>Generation</t>
  </si>
  <si>
    <t>TJ</t>
  </si>
  <si>
    <t>GWh</t>
  </si>
  <si>
    <t>DMRE ESKom</t>
  </si>
  <si>
    <t>DMRE Auto</t>
  </si>
  <si>
    <t>DMRE refin</t>
  </si>
  <si>
    <t>DMRE dist losses</t>
  </si>
  <si>
    <t>DMRE final consumption</t>
  </si>
  <si>
    <t>Year</t>
  </si>
  <si>
    <t>Eskom_Mining</t>
  </si>
  <si>
    <t>Eskom_Manufacturing</t>
  </si>
  <si>
    <t>Eskom_Commercial</t>
  </si>
  <si>
    <t>Eskom_Traction</t>
  </si>
  <si>
    <t>Eskom_Agriculture</t>
  </si>
  <si>
    <t>Eskom_Residential</t>
  </si>
  <si>
    <t>Eskom_Redistributors</t>
  </si>
  <si>
    <t>Eskom_International</t>
  </si>
  <si>
    <t>Eskom_Internal</t>
  </si>
  <si>
    <t>Eskom_Total_Sales</t>
  </si>
  <si>
    <t>Source</t>
  </si>
  <si>
    <t>From Eskom</t>
  </si>
  <si>
    <t>Statistical Report</t>
  </si>
  <si>
    <t>Line Losses</t>
  </si>
  <si>
    <t>Sectors</t>
  </si>
  <si>
    <t>40�738</t>
  </si>
  <si>
    <t>Commercial</t>
  </si>
  <si>
    <t>38�622</t>
  </si>
  <si>
    <t>5�770</t>
  </si>
  <si>
    <t>Industry</t>
  </si>
  <si>
    <t>98�386</t>
  </si>
  <si>
    <t>3�482</t>
  </si>
  <si>
    <t>Annual Report</t>
  </si>
  <si>
    <t>Munics</t>
  </si>
  <si>
    <t>Munics including Eskom to Munic losses</t>
  </si>
  <si>
    <t>losses</t>
  </si>
  <si>
    <t>Weighted average with Eskom</t>
  </si>
  <si>
    <t>11�748</t>
  </si>
  <si>
    <t>17�361</t>
  </si>
  <si>
    <t>11�165</t>
  </si>
  <si>
    <t>17�007</t>
  </si>
  <si>
    <t>5�796</t>
  </si>
  <si>
    <t>77�689</t>
  </si>
  <si>
    <t>19�747</t>
  </si>
  <si>
    <t>2�831</t>
  </si>
  <si>
    <t>12�461</t>
  </si>
  <si>
    <t>Redist</t>
  </si>
  <si>
    <t>87�236</t>
  </si>
  <si>
    <t>wo redist</t>
  </si>
  <si>
    <t>121�690</t>
  </si>
  <si>
    <t>w redist</t>
  </si>
  <si>
    <t>208�926</t>
  </si>
  <si>
    <t>54�449</t>
  </si>
  <si>
    <t>trans</t>
  </si>
  <si>
    <t>total</t>
  </si>
  <si>
    <t>Topline</t>
  </si>
  <si>
    <t>check</t>
  </si>
  <si>
    <t>from eskom integrated report 2019 pg 94</t>
  </si>
  <si>
    <t>With Eskom Losses added</t>
  </si>
  <si>
    <t>Total excl.exports</t>
  </si>
  <si>
    <t>#######</t>
  </si>
  <si>
    <t>196�922</t>
  </si>
  <si>
    <t>195�858</t>
  </si>
  <si>
    <t>from Nersa stats 2012</t>
  </si>
  <si>
    <t>Distributed</t>
  </si>
  <si>
    <t>185�225</t>
  </si>
  <si>
    <t>Eskom-&gt;Munic losses</t>
  </si>
  <si>
    <t>Into Dx</t>
  </si>
  <si>
    <t>Tx Losses</t>
  </si>
  <si>
    <t>Into Tx</t>
  </si>
  <si>
    <t>Assuming 3.9% transmission losses (as per NERSA 2012), we need a 5.5% loss assumed for the link between Eskom and Municipal distributors as done above</t>
  </si>
  <si>
    <t>Mining</t>
  </si>
  <si>
    <t>Other Industry</t>
  </si>
  <si>
    <t>Eskom Rest of Country</t>
  </si>
  <si>
    <t>Eskom sales</t>
  </si>
  <si>
    <t>Eskom Sales to Cape Town area (From Zanie)</t>
  </si>
  <si>
    <t>Cape Town Metro</t>
  </si>
  <si>
    <t>Other Metros</t>
  </si>
  <si>
    <t>Balance of munics</t>
  </si>
  <si>
    <t>ERC 2012</t>
  </si>
  <si>
    <t>Total Metros</t>
  </si>
  <si>
    <t>Re-arranged for SSEG model 2017</t>
  </si>
  <si>
    <t>Commerc</t>
  </si>
  <si>
    <t>Rest of South Africa</t>
  </si>
  <si>
    <t>Re-arranged for SSEG model 2018</t>
  </si>
  <si>
    <t>EC</t>
  </si>
  <si>
    <t>*</t>
  </si>
  <si>
    <t>FS</t>
  </si>
  <si>
    <t>GP</t>
  </si>
  <si>
    <t>Losses</t>
  </si>
  <si>
    <t>KZN</t>
  </si>
  <si>
    <t>LIMP</t>
  </si>
  <si>
    <t>MP</t>
  </si>
  <si>
    <t>NC</t>
  </si>
  <si>
    <t>NW</t>
  </si>
  <si>
    <t>WC</t>
  </si>
  <si>
    <t>Customers</t>
  </si>
  <si>
    <t>Losses 2012</t>
  </si>
  <si>
    <t>673�010</t>
  </si>
  <si>
    <t>15�943</t>
  </si>
  <si>
    <t>490�160</t>
  </si>
  <si>
    <t>3�754</t>
  </si>
  <si>
    <t>1�639</t>
  </si>
  <si>
    <t>34�348</t>
  </si>
  <si>
    <t>915�114</t>
  </si>
  <si>
    <t>16�102</t>
  </si>
  <si>
    <t>180�701</t>
  </si>
  <si>
    <t>2�613</t>
  </si>
  <si>
    <t>305�426</t>
  </si>
  <si>
    <t>2�852</t>
  </si>
  <si>
    <t>144�699</t>
  </si>
  <si>
    <t>1�062</t>
  </si>
  <si>
    <t>222�677</t>
  </si>
  <si>
    <t>4�269</t>
  </si>
  <si>
    <t>983�017</t>
  </si>
  <si>
    <t>15�596</t>
  </si>
  <si>
    <t>Private</t>
  </si>
  <si>
    <t>13�580</t>
  </si>
  <si>
    <t>110�118</t>
  </si>
  <si>
    <t>This is higher than sales to redistributors so can't use this directly to estimate losses.</t>
  </si>
  <si>
    <t>trying to understant what is what in the DMRE energy balances</t>
  </si>
  <si>
    <t>Gas in EB</t>
  </si>
  <si>
    <t>Disagg balance</t>
  </si>
  <si>
    <t>Sasol 2017a</t>
  </si>
  <si>
    <t>Gas Balance 2017 Sources and Actions</t>
  </si>
  <si>
    <t>https://www.sasol.com/sites/default/files/financial_reports/Additional%20Analyst%20Information%20-%2031%20December%202017.pdf</t>
  </si>
  <si>
    <t>DMRE</t>
  </si>
  <si>
    <t>This Study</t>
  </si>
  <si>
    <t>Action Needed</t>
  </si>
  <si>
    <t>Who</t>
  </si>
  <si>
    <t>Extraction (Petro SA)</t>
  </si>
  <si>
    <t>ByProduct (Sasol CTL)</t>
  </si>
  <si>
    <t>Domestic Supply (TPES)</t>
  </si>
  <si>
    <t>Statistical Diff (check)</t>
  </si>
  <si>
    <t>Oil Refineries (Natref?)</t>
  </si>
  <si>
    <t>Sasol 2017b</t>
  </si>
  <si>
    <t>Need to check</t>
  </si>
  <si>
    <t>Caitlin</t>
  </si>
  <si>
    <t>GTL Plants</t>
  </si>
  <si>
    <t>CTL Plants</t>
  </si>
  <si>
    <t>Estimate derived from Sasol 2017a and 2017b</t>
  </si>
  <si>
    <t>Ammonia Production</t>
  </si>
  <si>
    <t>Estimate based on Sasol 2017b, and UDA 2007</t>
  </si>
  <si>
    <t>Need to Check</t>
  </si>
  <si>
    <t>Brett/Alex</t>
  </si>
  <si>
    <t>Ownuse in Elec,CHP and Heat</t>
  </si>
  <si>
    <t>Secunda (CTL)</t>
  </si>
  <si>
    <t>Derived from Sasol 2017b and NERSA 2017</t>
  </si>
  <si>
    <t>Sasolburg (Chemicals)</t>
  </si>
  <si>
    <t>Boilers (Combustion) Sasol</t>
  </si>
  <si>
    <t>Material Use Sasol (ex Ammonia)</t>
  </si>
  <si>
    <t>Boilers (Combustion) ex Sasol</t>
  </si>
  <si>
    <t>Estimate</t>
  </si>
  <si>
    <t>Material Use ex Sasol</t>
  </si>
  <si>
    <t>From Sasol gas balance diagram</t>
  </si>
  <si>
    <t>bcf</t>
  </si>
  <si>
    <t>PJ</t>
  </si>
  <si>
    <t>Total Production</t>
  </si>
  <si>
    <t>Sales to Mozambique</t>
  </si>
  <si>
    <t>Imported into SA</t>
  </si>
  <si>
    <t>Methane Rich Gas from CTL</t>
  </si>
  <si>
    <t>Total Supply (excluding Mossgas)</t>
  </si>
  <si>
    <t>Total Sasol</t>
  </si>
  <si>
    <t>Base Chemicals</t>
  </si>
  <si>
    <t>Performance Chemicals</t>
  </si>
  <si>
    <t>Inventory</t>
  </si>
  <si>
    <t>Energy</t>
  </si>
  <si>
    <t>low on industry?</t>
  </si>
  <si>
    <t>External Sales</t>
  </si>
  <si>
    <t>From Sasol GHG report</t>
  </si>
  <si>
    <t>Fuel Gas Combustion (@ Natref?)</t>
  </si>
  <si>
    <t>Gas to Power Plants</t>
  </si>
  <si>
    <t>Check (sasol sales)</t>
  </si>
  <si>
    <t>Natural Gas combustion</t>
  </si>
  <si>
    <t>For EB/Model</t>
  </si>
  <si>
    <t>CTL use</t>
  </si>
  <si>
    <t>Other chemicals (material use/non-energy)</t>
  </si>
  <si>
    <t>Power Plants Use (estimate)</t>
  </si>
  <si>
    <t>Natref?</t>
  </si>
  <si>
    <t>SATIM Tasks</t>
  </si>
  <si>
    <t>Sasol Chemicals combution</t>
  </si>
  <si>
    <t>SATIM Sectors</t>
  </si>
  <si>
    <t>Tech</t>
  </si>
  <si>
    <t>Parameter/Result</t>
  </si>
  <si>
    <t>Should be</t>
  </si>
  <si>
    <t>SATIM 2020</t>
  </si>
  <si>
    <t>What</t>
  </si>
  <si>
    <t>Where</t>
  </si>
  <si>
    <t>Importance-NetZero</t>
  </si>
  <si>
    <t>Importance-NDC</t>
  </si>
  <si>
    <t>Status</t>
  </si>
  <si>
    <t>Microsoft Word - Annual Emission Report for SSO_FY18</t>
  </si>
  <si>
    <t>UCTLCLEIN-E</t>
  </si>
  <si>
    <t>FLO_IN(UPSGAS)</t>
  </si>
  <si>
    <t>Fix Calibration</t>
  </si>
  <si>
    <t>TCH_SUP</t>
  </si>
  <si>
    <t>Fadiel</t>
  </si>
  <si>
    <t>low</t>
  </si>
  <si>
    <t>not done</t>
  </si>
  <si>
    <t>Annexure 1: Sasol’s 2017 GHG submission to the national GHG reporting regulations</t>
  </si>
  <si>
    <t>Refinery Inland (Natref)</t>
  </si>
  <si>
    <t>UREFOCRIN-E</t>
  </si>
  <si>
    <t>Name of data provider</t>
  </si>
  <si>
    <t>Herman van der Walt / Shamini Harrington</t>
  </si>
  <si>
    <t>Data provider identification</t>
  </si>
  <si>
    <t>UNH3GAS-E</t>
  </si>
  <si>
    <t>Complete Parameterization</t>
  </si>
  <si>
    <t>Not in model yet</t>
  </si>
  <si>
    <t>Need Efficiencies, Installed Capacity, Process Emissions</t>
  </si>
  <si>
    <t>Google doc</t>
  </si>
  <si>
    <t>High</t>
  </si>
  <si>
    <t>Low</t>
  </si>
  <si>
    <t>Date of submission</t>
  </si>
  <si>
    <t>Create new Workbook for Ammonia</t>
  </si>
  <si>
    <t>TCH_NH3</t>
  </si>
  <si>
    <t>Josie+Fadiel</t>
  </si>
  <si>
    <t>high</t>
  </si>
  <si>
    <t>Year of data</t>
  </si>
  <si>
    <t>2017 (January to December 2017)</t>
  </si>
  <si>
    <t>UNH3HGN-N</t>
  </si>
  <si>
    <t>Need Efficiencies, Investment Costs</t>
  </si>
  <si>
    <t>Comments: Activity data has been supplied. A carbon mass balance has been used to determine GHG data. In most cases the activity data cannot be directly translated to GHG data. Flaring activity data cannot be supplied due to various streams entering the flare at any given time.</t>
  </si>
  <si>
    <t>Put in Model</t>
  </si>
  <si>
    <t>IPCC code</t>
  </si>
  <si>
    <t>Sub category (disaggregated by fuel / product type / production process)</t>
  </si>
  <si>
    <t>Activity data</t>
  </si>
  <si>
    <t>Emissions (tonnes/year)</t>
  </si>
  <si>
    <t>Gas Power (SSF)</t>
  </si>
  <si>
    <t>ETGASENSS-N</t>
  </si>
  <si>
    <t>TCH_PWR</t>
  </si>
  <si>
    <t>Bruno</t>
  </si>
  <si>
    <t>done</t>
  </si>
  <si>
    <t>Name of activity data</t>
  </si>
  <si>
    <t>Value of activity data</t>
  </si>
  <si>
    <t>Units of activity data</t>
  </si>
  <si>
    <t>CO2</t>
  </si>
  <si>
    <t>CH4</t>
  </si>
  <si>
    <t>N20</t>
  </si>
  <si>
    <t>Gas Power (Infrachem)</t>
  </si>
  <si>
    <t>ETGASENSI-N</t>
  </si>
  <si>
    <t>FLO_IN(ICPGAS)</t>
  </si>
  <si>
    <t>Value</t>
  </si>
  <si>
    <t>Tier</t>
  </si>
  <si>
    <t>Reference - technical guidelines</t>
  </si>
  <si>
    <t>1A1</t>
  </si>
  <si>
    <t>1A1c</t>
  </si>
  <si>
    <t>Boiler coal combustion</t>
  </si>
  <si>
    <t>tonnes of run of mine coal</t>
  </si>
  <si>
    <t>Page 52-54</t>
  </si>
  <si>
    <t>Chemicals33 - boilers</t>
  </si>
  <si>
    <t>TCH_IND</t>
  </si>
  <si>
    <t>mid</t>
  </si>
  <si>
    <t>Gas to power plants</t>
  </si>
  <si>
    <t>kNm3</t>
  </si>
  <si>
    <t>Chemicals33 - non energy use</t>
  </si>
  <si>
    <t>FLO_IN(ICPGMU)</t>
  </si>
  <si>
    <t>Fuel gas combustion</t>
  </si>
  <si>
    <t>GJ</t>
  </si>
  <si>
    <t>FLO_IN(IISGAS)</t>
  </si>
  <si>
    <t>Fuel oil combustion</t>
  </si>
  <si>
    <t>FLO_IN(INFGAS)</t>
  </si>
  <si>
    <t>Sasol catalytic cracker</t>
  </si>
  <si>
    <t>FLO_IN(INMGAS)</t>
  </si>
  <si>
    <t>Wet sulphuric acid combustion emissions</t>
  </si>
  <si>
    <t>FLO_IN(IMIGAS)</t>
  </si>
  <si>
    <t>1A</t>
  </si>
  <si>
    <t>Natural gas combustion</t>
  </si>
  <si>
    <t>GJ natural gas</t>
  </si>
  <si>
    <t>FLO_IN(IFBGAS)</t>
  </si>
  <si>
    <t>1B</t>
  </si>
  <si>
    <t>1B3</t>
  </si>
  <si>
    <t>Other energy industries: process emissions</t>
  </si>
  <si>
    <t>kNm3 (pure gas rate for CTL/GTC)</t>
  </si>
  <si>
    <t>####</t>
  </si>
  <si>
    <t>FLO_IN(IPPGAS)</t>
  </si>
  <si>
    <t>high (2050 part)</t>
  </si>
  <si>
    <t>Flaring emissions</t>
  </si>
  <si>
    <t>No activity data due to complexity of the process</t>
  </si>
  <si>
    <t>N/A</t>
  </si>
  <si>
    <t>NA</t>
  </si>
  <si>
    <t>Rest of Industry</t>
  </si>
  <si>
    <t>FLO_IN(IOTGAS)</t>
  </si>
  <si>
    <t>Wet sulphuric acid process emissions</t>
  </si>
  <si>
    <t>Butanol stripper</t>
  </si>
  <si>
    <t>tonnes of butanol</t>
  </si>
  <si>
    <t>FLO_IN(COMGAS)</t>
  </si>
  <si>
    <t>TCH_COM</t>
  </si>
  <si>
    <t>4D</t>
  </si>
  <si>
    <t>4D2</t>
  </si>
  <si>
    <t>Process water dams</t>
  </si>
  <si>
    <t>tonnes process water feed</t>
  </si>
  <si>
    <t>FLO_IN(RESGAS)</t>
  </si>
  <si>
    <t>TCH_RES</t>
  </si>
  <si>
    <t>Water recovery (including domestic sewage)</t>
  </si>
  <si>
    <t>tonnes COD</t>
  </si>
  <si>
    <t>2B</t>
  </si>
  <si>
    <t>2B2</t>
  </si>
  <si>
    <t>Nitric acid production</t>
  </si>
  <si>
    <t>tonnes of nitric acid</t>
  </si>
  <si>
    <t>Process Emissions</t>
  </si>
  <si>
    <t>2B1</t>
  </si>
  <si>
    <t>Ammonia production</t>
  </si>
  <si>
    <t>tonnes of ammonia</t>
  </si>
  <si>
    <t>Sasol:</t>
  </si>
  <si>
    <t>1B1</t>
  </si>
  <si>
    <t>Sasol Mining</t>
  </si>
  <si>
    <t>tonnes of coal mined</t>
  </si>
  <si>
    <t>Flaring</t>
  </si>
  <si>
    <t>Quantify Abatement possible (in % and cost per ton CO2)</t>
  </si>
  <si>
    <t>1B2</t>
  </si>
  <si>
    <t>1B2b</t>
  </si>
  <si>
    <t>Natural gas venting from the pipeline</t>
  </si>
  <si>
    <t>kNm3 of natural gas</t>
  </si>
  <si>
    <t>Wet Sulphuric Acids</t>
  </si>
  <si>
    <t>4C</t>
  </si>
  <si>
    <t>4C2</t>
  </si>
  <si>
    <t>Open burning of waste</t>
  </si>
  <si>
    <t>Not applicable (NA)</t>
  </si>
  <si>
    <t>1A5</t>
  </si>
  <si>
    <t>1A5b</t>
  </si>
  <si>
    <t>Mobile combustion: Mining machinery</t>
  </si>
  <si>
    <t>litres of petrol and diesel</t>
  </si>
  <si>
    <t>Carbon budget reporting requirement</t>
  </si>
  <si>
    <t>Outside Sasol:</t>
  </si>
  <si>
    <t>Nitric Acid</t>
  </si>
  <si>
    <t>Other References</t>
  </si>
  <si>
    <t>Other small bits</t>
  </si>
  <si>
    <t>USDA 2007</t>
  </si>
  <si>
    <t>https://www.ers.usda.gov/webdocs/outlooks/40459/11717_wrs0702_1_.pdf?v=3385.2#:~:text=Natural%20gas%20is%20the%20primary,produce%201%20ton%20of%20ammonia.</t>
  </si>
  <si>
    <t>Probably in GAMS</t>
  </si>
  <si>
    <t>From communication with SAOil (probably not representative of national):</t>
  </si>
  <si>
    <t>Industrial distribution of HFO</t>
  </si>
  <si>
    <t>Sector</t>
  </si>
  <si>
    <t>%</t>
  </si>
  <si>
    <t>SATIM codes</t>
  </si>
  <si>
    <t>known TJ:</t>
  </si>
  <si>
    <t>Estimated based on paper</t>
  </si>
  <si>
    <t>Estimate based on Aluminium</t>
  </si>
  <si>
    <t>elec cable manufacture</t>
  </si>
  <si>
    <t>cement</t>
  </si>
  <si>
    <t xml:space="preserve">NMM </t>
  </si>
  <si>
    <t>aluminium extrusion</t>
  </si>
  <si>
    <t>IAL</t>
  </si>
  <si>
    <t>Known for South32. primary and secondary</t>
  </si>
  <si>
    <t>paper</t>
  </si>
  <si>
    <t>PAP</t>
  </si>
  <si>
    <t>it's an upper limit for 2012</t>
  </si>
  <si>
    <t>food</t>
  </si>
  <si>
    <t>F&amp;B</t>
  </si>
  <si>
    <t>fabric</t>
  </si>
  <si>
    <t>tyre manuf</t>
  </si>
  <si>
    <t>BMc comment: likely this is not complete industrial sector</t>
  </si>
  <si>
    <t>est. total based on paper</t>
  </si>
  <si>
    <t>est. total based on known Aluminium</t>
  </si>
  <si>
    <t>Summarise our HFO for query to SAOil:</t>
  </si>
  <si>
    <t>TJ in 2017</t>
  </si>
  <si>
    <t>Production from Refineries</t>
  </si>
  <si>
    <t>SAPIA</t>
  </si>
  <si>
    <t>To exports</t>
  </si>
  <si>
    <t>Calculation: balancing production and consumption</t>
  </si>
  <si>
    <t>To domestic shipping</t>
  </si>
  <si>
    <t>GIZ fuel consumption study</t>
  </si>
  <si>
    <t>To intl. shipping</t>
  </si>
  <si>
    <t>To Industry</t>
  </si>
  <si>
    <t>sum of below</t>
  </si>
  <si>
    <t>est. based on paper</t>
  </si>
  <si>
    <t>This is 2012 PAMSA number, but includes diesel (assume bulk is HFO and LFO).</t>
  </si>
  <si>
    <t>Bricks</t>
  </si>
  <si>
    <t>LCA report by Bricks association.An assumption on production by technology. Highly dependant on 'tunnel' kiln production assumption</t>
  </si>
  <si>
    <t>SASOL (likely their own source of supply)</t>
  </si>
  <si>
    <t>Glass</t>
  </si>
  <si>
    <t>unknown</t>
  </si>
  <si>
    <t>Mining (all)</t>
  </si>
  <si>
    <t>Precious metals</t>
  </si>
  <si>
    <t>Other manufacturing</t>
  </si>
  <si>
    <t>To power plants</t>
  </si>
  <si>
    <t>To commerce sector</t>
  </si>
  <si>
    <t>To agriculture</t>
  </si>
  <si>
    <t>Our estimate</t>
  </si>
  <si>
    <t>Total Demand</t>
  </si>
  <si>
    <t>Total Demand + Exports</t>
  </si>
  <si>
    <t>Balance</t>
  </si>
  <si>
    <t>Copy from 1A4 other sectors sheet</t>
  </si>
  <si>
    <t>CRF Category</t>
  </si>
  <si>
    <t xml:space="preserve">Activity </t>
  </si>
  <si>
    <t>Unit</t>
  </si>
  <si>
    <t>Trend</t>
  </si>
  <si>
    <t>1A4a Commercial/Institutional</t>
  </si>
  <si>
    <t>#LS #14/11/2018 #DM: This was consumption * conversion factor but conversion factor is 1 since consumption is in TJ there the data input is just consumption data now.</t>
  </si>
  <si>
    <t>Other kerosene</t>
  </si>
  <si>
    <t>#LS #16/12/2018 #PT: Data source not provided</t>
  </si>
  <si>
    <t>Gas/diesel oil</t>
  </si>
  <si>
    <t>Residual Fuel Oil (HFO)</t>
  </si>
  <si>
    <t>#LS #16/12/2018 #DSR: SAPIA</t>
  </si>
  <si>
    <t xml:space="preserve">Sub-bituminous coal </t>
  </si>
  <si>
    <t>#LS #16/12/2018 #DSR: Energy digest.</t>
  </si>
  <si>
    <t>#LS #16/12/2018 #PT: Need to rpovide reference for this digest.</t>
  </si>
  <si>
    <t>Gas work gas</t>
  </si>
  <si>
    <t>Natural gas</t>
  </si>
  <si>
    <t>1A4b Residential</t>
  </si>
  <si>
    <t>Residual Fuel Oil (Heavy Fuel Oil)</t>
  </si>
  <si>
    <t>1A4b Residential (MEMO)</t>
  </si>
  <si>
    <t>Wood/Wood Waste</t>
  </si>
  <si>
    <t>Other primary solid biomass</t>
  </si>
  <si>
    <t>Charcoal</t>
  </si>
  <si>
    <t>1A4ci Agriculture/Forestry/Fishing/Fish Farms</t>
  </si>
  <si>
    <t>Motor gasoline</t>
  </si>
  <si>
    <t>Copy from 1A2 manufacturing and construction</t>
  </si>
  <si>
    <t>1A2 Manufacturing Industries and Construction</t>
  </si>
  <si>
    <t>#LS #16/12/2018 #DSR: SAMI Report (DMR, 2017)</t>
  </si>
  <si>
    <t>Gas/Diesel oil</t>
  </si>
  <si>
    <t>Transport?</t>
  </si>
  <si>
    <t>Summary</t>
  </si>
  <si>
    <t>not in</t>
  </si>
  <si>
    <t>Licence Number</t>
  </si>
  <si>
    <t>Licensee Name</t>
  </si>
  <si>
    <t>Licence Type</t>
  </si>
  <si>
    <t>Power Station Name</t>
  </si>
  <si>
    <t>System Used/Power Station Type</t>
  </si>
  <si>
    <t>Province name</t>
  </si>
  <si>
    <t>Period</t>
  </si>
  <si>
    <t>Calendar Year</t>
  </si>
  <si>
    <t>Licensed Capacity (MW)</t>
  </si>
  <si>
    <t>Energy Generated (MWh)</t>
  </si>
  <si>
    <t>Auxiliary Consumption (MWh)</t>
  </si>
  <si>
    <t>Gross Energy sent out (MWh)</t>
  </si>
  <si>
    <t>Power Imports (MWh)</t>
  </si>
  <si>
    <t>Net Energy sent out (MWh)</t>
  </si>
  <si>
    <t>Energy consumed on site (MWh)</t>
  </si>
  <si>
    <t>External Sales (MWh)</t>
  </si>
  <si>
    <t>NER/G/Eskom</t>
  </si>
  <si>
    <t>Eskom Holdings (Pty) Ltd</t>
  </si>
  <si>
    <t>Arnot</t>
  </si>
  <si>
    <t>January-December 2018</t>
  </si>
  <si>
    <t>Camden</t>
  </si>
  <si>
    <t>Duvha</t>
  </si>
  <si>
    <t>Grootvlei</t>
  </si>
  <si>
    <t>Hendrina</t>
  </si>
  <si>
    <t>Kendal</t>
  </si>
  <si>
    <t>Komati</t>
  </si>
  <si>
    <t>Kriel</t>
  </si>
  <si>
    <t>Lethabo</t>
  </si>
  <si>
    <t>Majuba</t>
  </si>
  <si>
    <t>Matimba</t>
  </si>
  <si>
    <t>Matla</t>
  </si>
  <si>
    <t>Tutuka</t>
  </si>
  <si>
    <t>Acacia</t>
  </si>
  <si>
    <t>Ankerlig</t>
  </si>
  <si>
    <t>Gourikwa</t>
  </si>
  <si>
    <t>Port Rex</t>
  </si>
  <si>
    <t>Gariep</t>
  </si>
  <si>
    <t>Border of Free State and Eastern Cape</t>
  </si>
  <si>
    <t>Vanderkloof</t>
  </si>
  <si>
    <t>Koeberg</t>
  </si>
  <si>
    <t>Drakensberg</t>
  </si>
  <si>
    <t>Pumped Storage</t>
  </si>
  <si>
    <t>Palmiet</t>
  </si>
  <si>
    <t>Ncora</t>
  </si>
  <si>
    <t>Mbashe</t>
  </si>
  <si>
    <t>First Falls</t>
  </si>
  <si>
    <t>Second Falls</t>
  </si>
  <si>
    <t>Sere</t>
  </si>
  <si>
    <t>Medupi</t>
  </si>
  <si>
    <t>Ingula</t>
  </si>
  <si>
    <t>Kusile</t>
  </si>
  <si>
    <t>NERSA/IPP/EC109/2014</t>
  </si>
  <si>
    <t>AC Whitcher (Pty) Ltd</t>
  </si>
  <si>
    <t>AC Whitcher Sawmill</t>
  </si>
  <si>
    <t>Biomass</t>
  </si>
  <si>
    <t>NER/IPP/EC/658-393</t>
  </si>
  <si>
    <t>Nojoli Wind Farm (RF) (Pty) Ltd</t>
  </si>
  <si>
    <t>Nojoli Wind Farm</t>
  </si>
  <si>
    <t>NERSA/IPP/NC/658-268</t>
  </si>
  <si>
    <t>ACWA Power Solafrica Bokpoort CSP Power Plant (Pty) Ltd</t>
  </si>
  <si>
    <t>Bokpoort CSP Power Plant</t>
  </si>
  <si>
    <t>Concentrated Solar Power (CSP)</t>
  </si>
  <si>
    <t>NER/IPP/NC/658-73</t>
  </si>
  <si>
    <t>Adams Solar PV Project 2 (Pty) Ltd</t>
  </si>
  <si>
    <t>Adams Solar PV</t>
  </si>
  <si>
    <t>Solar Photovoltaic (PV)</t>
  </si>
  <si>
    <t>NERSA/IPP/NC/658-112</t>
  </si>
  <si>
    <t>AE-AMD Independent Power Producer 1 (Pty) Ltd</t>
  </si>
  <si>
    <t>Greefspan PV Power Plant</t>
  </si>
  <si>
    <t>NER/IPP/NC/658-60</t>
  </si>
  <si>
    <t>AE-AMD Independent Power Producer 3 (Pty) Ltd</t>
  </si>
  <si>
    <t>Herbert PV Power Plant</t>
  </si>
  <si>
    <t>NER/G/KELVIN</t>
  </si>
  <si>
    <t>AES Kelvin Power (Pty) Ltd</t>
  </si>
  <si>
    <t>Kelvin</t>
  </si>
  <si>
    <t>NERSA/IPP/EC/658-269</t>
  </si>
  <si>
    <t>Amakhala Emoyeni Re Project 1 (Pty) Ltd</t>
  </si>
  <si>
    <t>Amakhala Emoyeni Wind Farm</t>
  </si>
  <si>
    <t>NERSA/IPP/WC/658-277</t>
  </si>
  <si>
    <t>Aurora Wind Power (RF) (Pty) Ltd</t>
  </si>
  <si>
    <t>West Coast 1</t>
  </si>
  <si>
    <t>NERSA/IPP/WC/658-270</t>
  </si>
  <si>
    <t>Aurora-Rietvlei Solar Power (RF) (Pty) Ltd</t>
  </si>
  <si>
    <t>Aurora Rietvlei Solar Power</t>
  </si>
  <si>
    <t>NERSA/IPP/EC232/2011</t>
  </si>
  <si>
    <t>Avianto Energy (Pty) Ltd</t>
  </si>
  <si>
    <t>Electrawinds Wind Turbine</t>
  </si>
  <si>
    <t>NERSA/IPP/KZN/658-133</t>
  </si>
  <si>
    <t>Avon Peaking Power (Pty) Ltd</t>
  </si>
  <si>
    <t>Avon generation station</t>
  </si>
  <si>
    <t>NERSA/G/BET-IPP</t>
  </si>
  <si>
    <t>Bethlehem Hydro (Pty) Ltd</t>
  </si>
  <si>
    <t>Merino</t>
  </si>
  <si>
    <t>Sol Plaatje</t>
  </si>
  <si>
    <t>NERSA/IPP/NC/658-271</t>
  </si>
  <si>
    <t>Blue Falcon 140 Trading (Pty) Ltd</t>
  </si>
  <si>
    <t>Gouda Wind Energy Facility</t>
  </si>
  <si>
    <t>NERSA/IPP/GP/658-326</t>
  </si>
  <si>
    <t>Bronkhorstspruit Biogas Plant (Pty) Ltd</t>
  </si>
  <si>
    <t>Bronkhorstspruit Biogas Plant</t>
  </si>
  <si>
    <t>Biogas</t>
  </si>
  <si>
    <t>NERSA/IPP/NC/658-272</t>
  </si>
  <si>
    <t>Chaba Wind Power (Pty) Ltd</t>
  </si>
  <si>
    <t>Chaba Wind Farm Project</t>
  </si>
  <si>
    <t>Municipality</t>
  </si>
  <si>
    <t>City of Cape Town</t>
  </si>
  <si>
    <t>Athlone Gas Turbine</t>
  </si>
  <si>
    <t>Roggebaai Gas Turbine</t>
  </si>
  <si>
    <t>Steenbras</t>
  </si>
  <si>
    <t>NER/G/TSHW</t>
  </si>
  <si>
    <t>City of Tshwane</t>
  </si>
  <si>
    <t>Rooiwal</t>
  </si>
  <si>
    <t>Pretoria West</t>
  </si>
  <si>
    <t>Coal and Gas</t>
  </si>
  <si>
    <t>NERSA/G/CKL-IPP</t>
  </si>
  <si>
    <t>Clackson Power Company (Pty) Ltd</t>
  </si>
  <si>
    <t>Clanwilliam Dam Hydo Power Station</t>
  </si>
  <si>
    <t>NERSA/IPP/LP/882-29</t>
  </si>
  <si>
    <t>Core Energy (Pty) Ltd</t>
  </si>
  <si>
    <t>Witkop Solar Park</t>
  </si>
  <si>
    <t>NERSA/IPP/NC/468-21</t>
  </si>
  <si>
    <t>Coria (PKF) Investment 28 (Pty) Ltd</t>
  </si>
  <si>
    <t>Noblesfontein Wind Farm</t>
  </si>
  <si>
    <t>NERSA/IPP/WP/1033-194</t>
  </si>
  <si>
    <t>CPV Power Plant No.1 (Pty) Ltd</t>
  </si>
  <si>
    <t>CPV Power Plant No.1</t>
  </si>
  <si>
    <t>NER/G/IPP/DAR</t>
  </si>
  <si>
    <t>Darling Independent Power Producer (Pty) Ltd</t>
  </si>
  <si>
    <t>Darlipp (Pty) Ltd</t>
  </si>
  <si>
    <t>NERSA/IPP/EC/658-134</t>
  </si>
  <si>
    <t>Dedisa Peaking Power (Pty) Ltd</t>
  </si>
  <si>
    <t>Dedisa generation station</t>
  </si>
  <si>
    <t>NERSA/IPP/EC/658-128</t>
  </si>
  <si>
    <t>Dorper Wind Farm (Pty) Ltd</t>
  </si>
  <si>
    <t>Dorper Wind Farm</t>
  </si>
  <si>
    <t>NER/IPP/WC/658-409</t>
  </si>
  <si>
    <t>Electra Capital (Pty) Ltd</t>
  </si>
  <si>
    <t>Paleisheuwel Solar Park</t>
  </si>
  <si>
    <t>NER/IPP/GP/658-400</t>
  </si>
  <si>
    <t>Energy Joburg (RF) (Pty) Ltd</t>
  </si>
  <si>
    <t>Robinsons Deep Site</t>
  </si>
  <si>
    <t>Methane Gas</t>
  </si>
  <si>
    <t>Goudkoppies Site</t>
  </si>
  <si>
    <t>Marie Louise Site</t>
  </si>
  <si>
    <t>NERSA/IPP/L/1033-195</t>
  </si>
  <si>
    <t>Erika Energy (Pty) Ltd</t>
  </si>
  <si>
    <t>Southpan Solar Park</t>
  </si>
  <si>
    <t>NERSA/IPP/NC/658-273</t>
  </si>
  <si>
    <t>Firefly Investments 230 (RF) (Pty) Ltd</t>
  </si>
  <si>
    <t>Boshoff Solar Park</t>
  </si>
  <si>
    <t>NER/IPP/EC/658-62</t>
  </si>
  <si>
    <t>Firefly Investments 253 (Pty) Ltd</t>
  </si>
  <si>
    <t>Letsatsi PV</t>
  </si>
  <si>
    <t>199-295-1</t>
  </si>
  <si>
    <t>Friedenheim Irrigation Board</t>
  </si>
  <si>
    <t>Friedenheim</t>
  </si>
  <si>
    <t>NER/IPP/NC/468-41</t>
  </si>
  <si>
    <t>Gibson Bay Wind Farm (Pty) Ltd</t>
  </si>
  <si>
    <t>Gibson Bay Wind Power</t>
  </si>
  <si>
    <t>NERSA/IPP/EC/658-274</t>
  </si>
  <si>
    <t>Grassridge Wind Power (Pty) Ltd</t>
  </si>
  <si>
    <t>Grassridge Wind Farm</t>
  </si>
  <si>
    <t>NER/G/KZ226/01</t>
  </si>
  <si>
    <t>Illovo Sugar South Africa Limited</t>
  </si>
  <si>
    <t>Eston Mill</t>
  </si>
  <si>
    <t>NERSA/IPP/NC/658-275</t>
  </si>
  <si>
    <t>Jasper Power Company (Pty) Ltd</t>
  </si>
  <si>
    <t>Jasper Power Company</t>
  </si>
  <si>
    <t>NER/IPP/EC/658-138</t>
  </si>
  <si>
    <t>Jeffreys Bay Wind Farm (RF) (Pty) Ltd</t>
  </si>
  <si>
    <t>Jeffreys Bay Wind Farm</t>
  </si>
  <si>
    <t>NER/IPP/NC/658-137</t>
  </si>
  <si>
    <t>Ka Xu Solar One (Pty) Ltd</t>
  </si>
  <si>
    <t>Ka Xu Solar One</t>
  </si>
  <si>
    <t>NERSA/IPP/NC/658-276</t>
  </si>
  <si>
    <t>Kakamas Hydroelectric Power (Pty) Ltd</t>
  </si>
  <si>
    <t>Kakamas Hydro Electric Power</t>
  </si>
  <si>
    <t>NER/IPP/NC/658-106</t>
  </si>
  <si>
    <t>Khi Solar one (Pty) Ltd</t>
  </si>
  <si>
    <t>Khi Solar one</t>
  </si>
  <si>
    <t>NER/IPP/WC/658-105</t>
  </si>
  <si>
    <t>Klipheuwel-Dassiefontein Wind Energy Facility (Pty) Ltd</t>
  </si>
  <si>
    <t>Dassieklip Wind Energy Facility</t>
  </si>
  <si>
    <t>NERSA/IPP/NC/658-111</t>
  </si>
  <si>
    <t>Limarco 77 (Pty) Ltd</t>
  </si>
  <si>
    <t>NER/IPP/WC/658-1016</t>
  </si>
  <si>
    <t>L'omarins (Pty) Ltd</t>
  </si>
  <si>
    <t>L'omarins Hydro Power Plant</t>
  </si>
  <si>
    <t>NER/IPP/NC/658-398</t>
  </si>
  <si>
    <t>Longyuan Mulilo De Aar 2 North (Pty) Ltd</t>
  </si>
  <si>
    <t>Longyuan Mulilo De Aar 2 North Wind Farm</t>
  </si>
  <si>
    <t>NER/IPP/NC/658-394</t>
  </si>
  <si>
    <t>Longyuan Mulilo De Aar Wind Power (Pty) Ltd</t>
  </si>
  <si>
    <t>Longyuan Mulilo De Aar Maanhaarberg Wind Energy Facility</t>
  </si>
  <si>
    <t>NERSA/G/IPP/MCS</t>
  </si>
  <si>
    <t>MethCap SPV1 (Proprietary) Limited</t>
  </si>
  <si>
    <t>Cogeneration Plant Methcap Petro SA</t>
  </si>
  <si>
    <t>NERSA/IPP/KZN282/11</t>
  </si>
  <si>
    <t>Mondi Limited</t>
  </si>
  <si>
    <t>Mondi Richards Bay Mill</t>
  </si>
  <si>
    <t>Spent pulping liquor, Coal and Gas</t>
  </si>
  <si>
    <t>NERSA/IPP/MP/2012</t>
  </si>
  <si>
    <t>Mpact Limited</t>
  </si>
  <si>
    <t>Mpact, Piet Retief</t>
  </si>
  <si>
    <t>Spent Liqour and Coal</t>
  </si>
  <si>
    <t>NER/IPP/NC073/658-71</t>
  </si>
  <si>
    <t>Mulilo Renewable Energy Solar De Aar (Pty) Ltd</t>
  </si>
  <si>
    <t>Mulilo Renewable Energy Solar De Aar</t>
  </si>
  <si>
    <t>NER/IPP/NC077/068-107</t>
  </si>
  <si>
    <t>Mulilo Renewable Solar PV Prieska (Pty) Ltd</t>
  </si>
  <si>
    <t>NER/IPP/NC/822-82</t>
  </si>
  <si>
    <t>Mulilo Sonnedix Prieska PV (Pty) Ltd</t>
  </si>
  <si>
    <t>Mulilo Sonnedix Prieska PV</t>
  </si>
  <si>
    <t>NER/G/Nman</t>
  </si>
  <si>
    <t>Nelson Mandela Bay Metropolitan Municipality</t>
  </si>
  <si>
    <t>Mount Road Gas Turbine</t>
  </si>
  <si>
    <t>NERSA/G/KZ232/01</t>
  </si>
  <si>
    <t>Newcastle Cogeneration Limited</t>
  </si>
  <si>
    <t>Newcastle Cogeneration (Pty) Ltd</t>
  </si>
  <si>
    <t>NER/IPP/NC085/068-110</t>
  </si>
  <si>
    <t>Oakleaf Investments Holdings 79 (Pty) Ltd</t>
  </si>
  <si>
    <t>Lesedi PV</t>
  </si>
  <si>
    <t>NERSA/IPP/MP313/2012</t>
  </si>
  <si>
    <t>Power Alt (Pty) Ltd</t>
  </si>
  <si>
    <t>Power Alt</t>
  </si>
  <si>
    <t>NER/IPP/FS/658-408</t>
  </si>
  <si>
    <t>Pulida Energy (Pty) Ltd</t>
  </si>
  <si>
    <t>Pulida Solar Park</t>
  </si>
  <si>
    <t>NERSA/IPP/MP/2011</t>
  </si>
  <si>
    <t>RCL Foods Sugar and Milling (Pty) Ltd</t>
  </si>
  <si>
    <t>Bagasse and Coal</t>
  </si>
  <si>
    <t>Malelane</t>
  </si>
  <si>
    <t>NERSA/IPP/EC/468-22</t>
  </si>
  <si>
    <t>Kouga Wind Farm (RF) (Pty) Ltd</t>
  </si>
  <si>
    <t>Kouga Wind Farm</t>
  </si>
  <si>
    <t>NERSA/IPP/NC/822-28</t>
  </si>
  <si>
    <t>Renewable Energy Investments SA (RF) (Pty) Ltd</t>
  </si>
  <si>
    <t>Khathu</t>
  </si>
  <si>
    <t>NERSA/IPP/EC/658-126</t>
  </si>
  <si>
    <t>Renewables Cookhouse Wind Farm 1 (RF) (Pty) Ltd</t>
  </si>
  <si>
    <t>Cookhouse Wind Farm</t>
  </si>
  <si>
    <t>NERSA/IPP/EC/658-127</t>
  </si>
  <si>
    <t>Rubicept (Pty) Ltd</t>
  </si>
  <si>
    <t>Metro Wind Van Stadens Wind Farm</t>
  </si>
  <si>
    <t>NER/IPP/NW/658-55</t>
  </si>
  <si>
    <t>Rustmo1 Solar Farm (Pty) Ltd</t>
  </si>
  <si>
    <t>North West</t>
  </si>
  <si>
    <t>NERSA/IPP/NC/822-30</t>
  </si>
  <si>
    <t>SAMRP De Aar (RF) (Pty) Ltd</t>
  </si>
  <si>
    <t>SAMRP De Aar Solar Farm (Pty) Ltd</t>
  </si>
  <si>
    <t>NERSA/IPP/NC/822-31</t>
  </si>
  <si>
    <t>SAMRP Droogfontein (RF) (Pty) Ltd</t>
  </si>
  <si>
    <t>SAMRP Droogfontein Solar Farm (Pty) Ltd</t>
  </si>
  <si>
    <t>NER/IPP/NC/658-393</t>
  </si>
  <si>
    <t>SAMRP Khobab Wind (Pty) Ltd</t>
  </si>
  <si>
    <t>Khobab Wind Farm</t>
  </si>
  <si>
    <t>NER/IPP/NC/658-395</t>
  </si>
  <si>
    <t>SAMRP Loeriesfontein 2 (Pty) Ltd</t>
  </si>
  <si>
    <t>Loeriesfontein 2 Wind Farm</t>
  </si>
  <si>
    <t>NER/IPP/NC/658-399</t>
  </si>
  <si>
    <t>SAMRP Noupoort (Pty) Ltd</t>
  </si>
  <si>
    <t>Noupoort Wind Farm</t>
  </si>
  <si>
    <t>LCE/COGEN/KZN291/2013</t>
  </si>
  <si>
    <t>Sappi Southern Africa Ltd</t>
  </si>
  <si>
    <t>Sappi Saiccor</t>
  </si>
  <si>
    <t>Spent Pulping Liqour and Coal</t>
  </si>
  <si>
    <t>Sappi Ngodwana</t>
  </si>
  <si>
    <t>NER/IPP/FS/2013</t>
  </si>
  <si>
    <t>Sasol South Africa (Pty) Limited</t>
  </si>
  <si>
    <t>Sasol Chemical Industries Plant</t>
  </si>
  <si>
    <t>Sasol Synfuels Steam Plant</t>
  </si>
  <si>
    <t>Sasolburg Gas Engines Power Plant</t>
  </si>
  <si>
    <t>Sasol unit 543 Gas Turbines</t>
  </si>
  <si>
    <t>NER/IPP/NC/658-83</t>
  </si>
  <si>
    <t>Scatec Solar SA 166 (Pty) Ltd</t>
  </si>
  <si>
    <t>Kalkbult</t>
  </si>
  <si>
    <t>Sevenstones 159 (Pty) Ltd</t>
  </si>
  <si>
    <t>Sevenstone 159 (Pty) Ltd</t>
  </si>
  <si>
    <t>NERSA/IPP/NC/658-278</t>
  </si>
  <si>
    <t>Simacel 155 (Pty) Ltd</t>
  </si>
  <si>
    <t>Linde</t>
  </si>
  <si>
    <t>NERSA/IPP/NC/658-279</t>
  </si>
  <si>
    <t>Simacel 160 (Pty) Ltd</t>
  </si>
  <si>
    <t>Dreunberg</t>
  </si>
  <si>
    <t>NER/IPP/EC/658-78</t>
  </si>
  <si>
    <t>SlimSun (Pty) Ltd</t>
  </si>
  <si>
    <t>SlimSun Swatland Solar Park</t>
  </si>
  <si>
    <t>NER/IPP/NC/658-90</t>
  </si>
  <si>
    <t>Solar Capital De Aar (Pty) Ltd</t>
  </si>
  <si>
    <t>iLanga Lethemba PV solar energy</t>
  </si>
  <si>
    <t>NERSA/IPP/NC/658-280</t>
  </si>
  <si>
    <t>Solar Capital De Aar 3 (Pty) Ltd</t>
  </si>
  <si>
    <t>iLanga Lethemba PV energy facility</t>
  </si>
  <si>
    <t>NERSA/IPP/FS/658-267</t>
  </si>
  <si>
    <t>Stortemelk Hydro (Pty) Ltd</t>
  </si>
  <si>
    <t>NERSA/IPP/NC/658-281</t>
  </si>
  <si>
    <t>Sublunary Trading (Pty) Ltd RF</t>
  </si>
  <si>
    <t>Upington Solar PV Project</t>
  </si>
  <si>
    <t>NER/MUNIC/G/MP32/01</t>
  </si>
  <si>
    <t>Thaba Chweu Local Municipality</t>
  </si>
  <si>
    <t>Lydenburg Hydro</t>
  </si>
  <si>
    <t>NER/IPP/L/822-76</t>
  </si>
  <si>
    <t>Tobivox (Pty) Ltd</t>
  </si>
  <si>
    <t>Tom Burke Solar Park</t>
  </si>
  <si>
    <t>NER/G/THS</t>
  </si>
  <si>
    <t>Tongaat Hulett Sugar Mills and Estates Limited</t>
  </si>
  <si>
    <t>Amatikulu</t>
  </si>
  <si>
    <t>Darnall</t>
  </si>
  <si>
    <t>Felixton</t>
  </si>
  <si>
    <t>Maidstone</t>
  </si>
  <si>
    <t>NERSA/IPP/EC/658-282</t>
  </si>
  <si>
    <t>Tsitsikamma Community Wind Farm (Pty) Ltd</t>
  </si>
  <si>
    <t>Tsitsikamma Community Wind Farm</t>
  </si>
  <si>
    <t>NERSA/IPP/KZN/2012</t>
  </si>
  <si>
    <t>Umfolozi Sugar Mill (Pty) Ltd</t>
  </si>
  <si>
    <t>Umfolozi Sugar Mill</t>
  </si>
  <si>
    <t>NER/IPP/WC/658-139</t>
  </si>
  <si>
    <t>Umoya Energy (Pty) Ltd</t>
  </si>
  <si>
    <t>Hopefield Wind Farm</t>
  </si>
  <si>
    <t>NERSA/IPP/WC/658-283</t>
  </si>
  <si>
    <t>Vredendal Solar Power Park (Pty) Ltd</t>
  </si>
  <si>
    <t>Vredendal Solar Power Park</t>
  </si>
  <si>
    <t>NERSA/IPP/EC/658-284</t>
  </si>
  <si>
    <t>Waainek Wind Farm Power (Pty) Ltd</t>
  </si>
  <si>
    <t>Waainek Wind Farm</t>
  </si>
  <si>
    <t>NERSA/IPP/NC/658-285</t>
  </si>
  <si>
    <t>Windfall 59 Properties(Pty) Ltd</t>
  </si>
  <si>
    <t>Sishen Solar Energy Facility</t>
  </si>
  <si>
    <t>NER/IPP/NC/658-403</t>
  </si>
  <si>
    <t>Xina Solar One (RF) (Pty) Ltd</t>
  </si>
  <si>
    <t>Xina Solar One</t>
  </si>
  <si>
    <t>Sasol Plants</t>
  </si>
  <si>
    <t>Elc</t>
  </si>
  <si>
    <t>Efficiency</t>
  </si>
  <si>
    <t>MWh</t>
  </si>
  <si>
    <t>SSF Coal</t>
  </si>
  <si>
    <t>Chemicals Coal</t>
  </si>
  <si>
    <t>SSF Gas</t>
  </si>
  <si>
    <t>Chemicals Gas</t>
  </si>
  <si>
    <t>Total Fuels</t>
  </si>
  <si>
    <t xml:space="preserve">Pulp and Paper </t>
  </si>
  <si>
    <t>Elec Eff (CHP)</t>
  </si>
  <si>
    <t>Coal share</t>
  </si>
  <si>
    <t>Sugar Industry</t>
  </si>
  <si>
    <t>Actual</t>
  </si>
  <si>
    <t>Non Eskom Electricity only Plants</t>
  </si>
  <si>
    <t>Auxilary Consumption (MWh)</t>
  </si>
  <si>
    <t>January-December 2017</t>
  </si>
  <si>
    <t>Electrawinds Africa and Indian Ocean Islands (Pty) Ltd</t>
  </si>
  <si>
    <t>##########</t>
  </si>
  <si>
    <t>Sere Wind Farm</t>
  </si>
  <si>
    <t>TSB Komati</t>
  </si>
  <si>
    <t>TSB Malelane</t>
  </si>
  <si>
    <t>Sasol CTL</t>
  </si>
  <si>
    <t>Sasol Chem</t>
  </si>
  <si>
    <t>Elc from Gas Sasol</t>
  </si>
  <si>
    <t>Eff</t>
  </si>
  <si>
    <t>Fuel Use (PJ)</t>
  </si>
  <si>
    <t>Secunda</t>
  </si>
  <si>
    <t>Sasolburg</t>
  </si>
  <si>
    <t>Industry (DMRE categories)</t>
  </si>
  <si>
    <t>Food&amp;Tob</t>
  </si>
  <si>
    <t>Textile&amp;leather</t>
  </si>
  <si>
    <t>Refinery</t>
  </si>
  <si>
    <t>Other Ind</t>
  </si>
  <si>
    <t>Transport equip</t>
  </si>
  <si>
    <t>Comm&amp;gov</t>
  </si>
  <si>
    <t>Inventories</t>
  </si>
  <si>
    <t>Use of products</t>
  </si>
  <si>
    <t>Total supply at purchasers' prices</t>
  </si>
  <si>
    <t>Taxes less subsidies on products</t>
  </si>
  <si>
    <t>Forestry</t>
  </si>
  <si>
    <t>Fishing</t>
  </si>
  <si>
    <t>Mining of coal and lignite</t>
  </si>
  <si>
    <t>Mining of gold and uranium ore</t>
  </si>
  <si>
    <t>Mining of metal ores</t>
  </si>
  <si>
    <t>Other mining and quarrying</t>
  </si>
  <si>
    <t>Food</t>
  </si>
  <si>
    <t>Beverages and tobacco</t>
  </si>
  <si>
    <t>Spinning, weaving and finishing of textiles</t>
  </si>
  <si>
    <t>Knitted, crouched fabrics, wearing apparel, fur articles</t>
  </si>
  <si>
    <t>Tanning and dressing of leather</t>
  </si>
  <si>
    <t>Footwear</t>
  </si>
  <si>
    <t>Sawmilling, planing of wood, cork, straw</t>
  </si>
  <si>
    <t>Paper</t>
  </si>
  <si>
    <t>Publishing, printing, recorded media</t>
  </si>
  <si>
    <t>Coke oven, petroleum refineries</t>
  </si>
  <si>
    <t>Nuclear fuel, basic chemicals</t>
  </si>
  <si>
    <t>Other chemical products, man-made fibres</t>
  </si>
  <si>
    <t>Rubber</t>
  </si>
  <si>
    <t>Plastic</t>
  </si>
  <si>
    <t>Non-metallic minerals</t>
  </si>
  <si>
    <t>Basic iron and steel, casting of metals</t>
  </si>
  <si>
    <t>Basic precious and non-ferrous metals</t>
  </si>
  <si>
    <t>Fabricated metal products</t>
  </si>
  <si>
    <t>Machinery and equipment</t>
  </si>
  <si>
    <t>Electrical machinery and apparatus</t>
  </si>
  <si>
    <t>Radio, television, communication equipment and apparatus</t>
  </si>
  <si>
    <t>Medical, precision, optical instruments, watches and clocks</t>
  </si>
  <si>
    <t>Motor vehicles, trailers, parts</t>
  </si>
  <si>
    <t>Other transport equipment</t>
  </si>
  <si>
    <t>Furniture</t>
  </si>
  <si>
    <t>Manufacturing n.e.c, recycling</t>
  </si>
  <si>
    <t>Electricity, gas, steam and hot water supply</t>
  </si>
  <si>
    <t>Collection, purification and distribution of water</t>
  </si>
  <si>
    <t>Wholesale trade, commission trade</t>
  </si>
  <si>
    <t>Retail trade</t>
  </si>
  <si>
    <t>Sale, maintenance, repair of motor vehicles</t>
  </si>
  <si>
    <t>Hotels and restaurants</t>
  </si>
  <si>
    <t>Land transport, transport via pipe lines</t>
  </si>
  <si>
    <t>Water transport</t>
  </si>
  <si>
    <t>Air transport</t>
  </si>
  <si>
    <t>Auxiliary transport</t>
  </si>
  <si>
    <t>Post and telecommunication</t>
  </si>
  <si>
    <t>Financial intermediation</t>
  </si>
  <si>
    <t>Insurance and pension funding</t>
  </si>
  <si>
    <t>Activities to financial intermediation</t>
  </si>
  <si>
    <t>Real estate activities</t>
  </si>
  <si>
    <t>Renting of machinery and equipment</t>
  </si>
  <si>
    <t>Computer and related activities</t>
  </si>
  <si>
    <t>Research and experimental development</t>
  </si>
  <si>
    <t>Other business activities</t>
  </si>
  <si>
    <t>Education</t>
  </si>
  <si>
    <t>Health and social work</t>
  </si>
  <si>
    <t>Sewerage and refuse disposal</t>
  </si>
  <si>
    <t>Activities of membership organisations</t>
  </si>
  <si>
    <t>Recreational, cultural and sporting activities</t>
  </si>
  <si>
    <t>Other activities</t>
  </si>
  <si>
    <t>Non-observed, informal, non-profit, households,</t>
  </si>
  <si>
    <t>Total industry</t>
  </si>
  <si>
    <t>Total economy</t>
  </si>
  <si>
    <t>Households</t>
  </si>
  <si>
    <t>General Government</t>
  </si>
  <si>
    <t>Capital formation</t>
  </si>
  <si>
    <t>Change in inventory</t>
  </si>
  <si>
    <t>Residual</t>
  </si>
  <si>
    <t>I1</t>
  </si>
  <si>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</si>
  <si>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</si>
  <si>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</si>
  <si>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</si>
  <si>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</si>
  <si>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</si>
  <si>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</si>
  <si>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</si>
  <si>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</si>
  <si>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</si>
  <si>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</si>
  <si>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</si>
  <si>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</si>
  <si>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</si>
  <si>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</si>
  <si>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</si>
  <si>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</si>
  <si>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</si>
  <si>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</si>
  <si>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</si>
  <si>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</si>
  <si>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</si>
  <si>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</si>
  <si>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</si>
  <si>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</si>
  <si>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</si>
  <si>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</si>
  <si>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</si>
  <si>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</si>
  <si>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</si>
  <si>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</si>
  <si>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</si>
  <si>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</si>
  <si>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</si>
  <si>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</si>
  <si>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</si>
  <si>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</si>
  <si>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</si>
  <si>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</si>
  <si>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I41</t>
  </si>
  <si>
    <t>I42</t>
  </si>
  <si>
    <t>I43</t>
  </si>
  <si>
    <t>I44</t>
  </si>
  <si>
    <t>I45</t>
  </si>
  <si>
    <t>I46</t>
  </si>
  <si>
    <t>I47</t>
  </si>
  <si>
    <t>I48</t>
  </si>
  <si>
    <t>I49</t>
  </si>
  <si>
    <t>I50</t>
  </si>
  <si>
    <t>I51</t>
  </si>
  <si>
    <t>I52</t>
  </si>
  <si>
    <t>I53</t>
  </si>
  <si>
    <t>I54</t>
  </si>
  <si>
    <t>I55</t>
  </si>
  <si>
    <t>I56</t>
  </si>
  <si>
    <t>I57</t>
  </si>
  <si>
    <t>I58</t>
  </si>
  <si>
    <t>I59</t>
  </si>
  <si>
    <t>I60</t>
  </si>
  <si>
    <t>I61</t>
  </si>
  <si>
    <t>I62</t>
  </si>
  <si>
    <t>TI</t>
  </si>
  <si>
    <t>TE</t>
  </si>
  <si>
    <t>P1</t>
  </si>
  <si>
    <t>########</t>
  </si>
  <si>
    <t>P2</t>
  </si>
  <si>
    <t>Live animal</t>
  </si>
  <si>
    <t>P3</t>
  </si>
  <si>
    <t>P4</t>
  </si>
  <si>
    <t>P5</t>
  </si>
  <si>
    <t>Coal and lignite</t>
  </si>
  <si>
    <t>P6</t>
  </si>
  <si>
    <t>Metal ores</t>
  </si>
  <si>
    <t>P7</t>
  </si>
  <si>
    <t>Other minerals</t>
  </si>
  <si>
    <t>P8</t>
  </si>
  <si>
    <t>Electricity and gas</t>
  </si>
  <si>
    <t>P9</t>
  </si>
  <si>
    <t>Natural water</t>
  </si>
  <si>
    <t>P10</t>
  </si>
  <si>
    <t>Meat</t>
  </si>
  <si>
    <t>P11</t>
  </si>
  <si>
    <t>Fish</t>
  </si>
  <si>
    <t>P12</t>
  </si>
  <si>
    <t>Vegetables</t>
  </si>
  <si>
    <t>P13</t>
  </si>
  <si>
    <t>Fruit and nuts</t>
  </si>
  <si>
    <t>P14</t>
  </si>
  <si>
    <t>Oils and fats</t>
  </si>
  <si>
    <t>P15</t>
  </si>
  <si>
    <t>Dairy products</t>
  </si>
  <si>
    <t>P16</t>
  </si>
  <si>
    <t>Grain mill products</t>
  </si>
  <si>
    <t>P17</t>
  </si>
  <si>
    <t>Starches products</t>
  </si>
  <si>
    <t>P18</t>
  </si>
  <si>
    <t>Animal feeding</t>
  </si>
  <si>
    <t>P19</t>
  </si>
  <si>
    <t>Bakery products</t>
  </si>
  <si>
    <t>P20</t>
  </si>
  <si>
    <t>Sugar</t>
  </si>
  <si>
    <t>P21</t>
  </si>
  <si>
    <t>Confectionary products</t>
  </si>
  <si>
    <t>P22</t>
  </si>
  <si>
    <t>Pasta products</t>
  </si>
  <si>
    <t>P23</t>
  </si>
  <si>
    <t>Food n.e.c.</t>
  </si>
  <si>
    <t>P24</t>
  </si>
  <si>
    <t>Alcohol, beverages</t>
  </si>
  <si>
    <t>P25</t>
  </si>
  <si>
    <t>Soft drinks</t>
  </si>
  <si>
    <t>P26</t>
  </si>
  <si>
    <t>Tobacco products</t>
  </si>
  <si>
    <t>P27</t>
  </si>
  <si>
    <t>Textile fabrics</t>
  </si>
  <si>
    <t>P28</t>
  </si>
  <si>
    <t>Made-up textile, articles</t>
  </si>
  <si>
    <t>P29</t>
  </si>
  <si>
    <t>Carpets</t>
  </si>
  <si>
    <t>P30</t>
  </si>
  <si>
    <t>Textile n.e.c.</t>
  </si>
  <si>
    <t>P31</t>
  </si>
  <si>
    <t>Knitting fabrics</t>
  </si>
  <si>
    <t>P32</t>
  </si>
  <si>
    <t>Wearing apparel</t>
  </si>
  <si>
    <t>P33</t>
  </si>
  <si>
    <t>Leather products</t>
  </si>
  <si>
    <t>P34</t>
  </si>
  <si>
    <t>P35</t>
  </si>
  <si>
    <t>Wood products</t>
  </si>
  <si>
    <t>P36</t>
  </si>
  <si>
    <t>Paper products</t>
  </si>
  <si>
    <t>P37</t>
  </si>
  <si>
    <t>Printing</t>
  </si>
  <si>
    <t>P38</t>
  </si>
  <si>
    <t>Petroleum products</t>
  </si>
  <si>
    <t>P39</t>
  </si>
  <si>
    <t>Basic chemicals</t>
  </si>
  <si>
    <t>P40</t>
  </si>
  <si>
    <t>Fertilizers, pesticides</t>
  </si>
  <si>
    <t>P41</t>
  </si>
  <si>
    <t>Paint, related products</t>
  </si>
  <si>
    <t>P42</t>
  </si>
  <si>
    <t>Pharmaceutical products</t>
  </si>
  <si>
    <t>P43</t>
  </si>
  <si>
    <t>Soap, cleaning, perfume</t>
  </si>
  <si>
    <t>P44</t>
  </si>
  <si>
    <t>Chemical products, n.e.c.</t>
  </si>
  <si>
    <t>P45</t>
  </si>
  <si>
    <t>Rubber tyres</t>
  </si>
  <si>
    <t>P46</t>
  </si>
  <si>
    <t>Other rubber products</t>
  </si>
  <si>
    <t>P47</t>
  </si>
  <si>
    <t>Plastic products</t>
  </si>
  <si>
    <t>P48</t>
  </si>
  <si>
    <t>Glass products</t>
  </si>
  <si>
    <t>P49</t>
  </si>
  <si>
    <t>Non-structural ceramic</t>
  </si>
  <si>
    <t>P50</t>
  </si>
  <si>
    <t>Structure non-refractory clay</t>
  </si>
  <si>
    <t>P51</t>
  </si>
  <si>
    <t>Plaster, cement</t>
  </si>
  <si>
    <t>P52</t>
  </si>
  <si>
    <t>Articles of concrete</t>
  </si>
  <si>
    <t>P53</t>
  </si>
  <si>
    <t>Non-metallic products n.e.c.</t>
  </si>
  <si>
    <t>P54</t>
  </si>
  <si>
    <t>P55</t>
  </si>
  <si>
    <t>Jewellery</t>
  </si>
  <si>
    <t>P56</t>
  </si>
  <si>
    <t>Manufactured products n.e.c.</t>
  </si>
  <si>
    <t>P57</t>
  </si>
  <si>
    <t>Wastes, scraps</t>
  </si>
  <si>
    <t>P58</t>
  </si>
  <si>
    <t>Iron, steel products</t>
  </si>
  <si>
    <t>P59</t>
  </si>
  <si>
    <t>Non-ferrous metals</t>
  </si>
  <si>
    <t>P60</t>
  </si>
  <si>
    <t>Structural metal products</t>
  </si>
  <si>
    <t>P61</t>
  </si>
  <si>
    <t>Tanks, reservoirs</t>
  </si>
  <si>
    <t>P62</t>
  </si>
  <si>
    <t>Other fabricated metal</t>
  </si>
  <si>
    <t>P63</t>
  </si>
  <si>
    <t>Engines, turbines</t>
  </si>
  <si>
    <t>P64</t>
  </si>
  <si>
    <t>Pumps, compressors</t>
  </si>
  <si>
    <t>P65</t>
  </si>
  <si>
    <t>Bearings, gears</t>
  </si>
  <si>
    <t>P66</t>
  </si>
  <si>
    <t>Lifting equipment</t>
  </si>
  <si>
    <t>P67</t>
  </si>
  <si>
    <t>General machinery</t>
  </si>
  <si>
    <t>P68</t>
  </si>
  <si>
    <t>Special machinery</t>
  </si>
  <si>
    <t>P69</t>
  </si>
  <si>
    <t>Domestic appliances</t>
  </si>
  <si>
    <t>P70</t>
  </si>
  <si>
    <t>Office machinery</t>
  </si>
  <si>
    <t>P71</t>
  </si>
  <si>
    <t>Electrical machinery</t>
  </si>
  <si>
    <t>P72</t>
  </si>
  <si>
    <t>Radio, television</t>
  </si>
  <si>
    <t>P73</t>
  </si>
  <si>
    <t>Medical appliances</t>
  </si>
  <si>
    <t>P74</t>
  </si>
  <si>
    <t>Motor vehicles, parts</t>
  </si>
  <si>
    <t>P75</t>
  </si>
  <si>
    <t>Ships and boats</t>
  </si>
  <si>
    <t>P76</t>
  </si>
  <si>
    <t>Railway and trams</t>
  </si>
  <si>
    <t>P77</t>
  </si>
  <si>
    <t>Aircrafts</t>
  </si>
  <si>
    <t>P78</t>
  </si>
  <si>
    <t>P79</t>
  </si>
  <si>
    <t>P80</t>
  </si>
  <si>
    <t>Construction services</t>
  </si>
  <si>
    <t>P81</t>
  </si>
  <si>
    <t>Trade services</t>
  </si>
  <si>
    <t>P82</t>
  </si>
  <si>
    <t>Accommodation</t>
  </si>
  <si>
    <t>P83</t>
  </si>
  <si>
    <t>Catering services</t>
  </si>
  <si>
    <t>P84</t>
  </si>
  <si>
    <t>Passenger transport</t>
  </si>
  <si>
    <t>P85</t>
  </si>
  <si>
    <t>Freight transport</t>
  </si>
  <si>
    <t>P86</t>
  </si>
  <si>
    <t>Supporting transport services</t>
  </si>
  <si>
    <t>P87</t>
  </si>
  <si>
    <t>Postal, courier services</t>
  </si>
  <si>
    <t>P88</t>
  </si>
  <si>
    <t>Electricity distribution</t>
  </si>
  <si>
    <t>P89</t>
  </si>
  <si>
    <t>Water distribution</t>
  </si>
  <si>
    <t>P90</t>
  </si>
  <si>
    <t>Financial services</t>
  </si>
  <si>
    <t>P91</t>
  </si>
  <si>
    <t>Insurance, pension</t>
  </si>
  <si>
    <t>P92</t>
  </si>
  <si>
    <t>Other financial services</t>
  </si>
  <si>
    <t>P93</t>
  </si>
  <si>
    <t>Real estate services</t>
  </si>
  <si>
    <t>P94</t>
  </si>
  <si>
    <t>Leasing, Rental services</t>
  </si>
  <si>
    <t>P95</t>
  </si>
  <si>
    <t>Research, development</t>
  </si>
  <si>
    <t>P96</t>
  </si>
  <si>
    <t>Legal, accounting</t>
  </si>
  <si>
    <t>P97</t>
  </si>
  <si>
    <t>Other business services</t>
  </si>
  <si>
    <t>P98</t>
  </si>
  <si>
    <t>Telecommunications</t>
  </si>
  <si>
    <t>P99</t>
  </si>
  <si>
    <t>Support services</t>
  </si>
  <si>
    <t>P100</t>
  </si>
  <si>
    <t>Manufactured services n.e.c.</t>
  </si>
  <si>
    <t>P101</t>
  </si>
  <si>
    <t>Public administration</t>
  </si>
  <si>
    <t>P102</t>
  </si>
  <si>
    <t>Education services</t>
  </si>
  <si>
    <t>P103</t>
  </si>
  <si>
    <t>Health, social services</t>
  </si>
  <si>
    <t>P104</t>
  </si>
  <si>
    <t>Other services n.e.c.</t>
  </si>
  <si>
    <t>D1</t>
  </si>
  <si>
    <t>Purchases by non- residents</t>
  </si>
  <si>
    <t>D2</t>
  </si>
  <si>
    <t>Purchases by residents</t>
  </si>
  <si>
    <t>Total Industry</t>
  </si>
  <si>
    <t>V1</t>
  </si>
  <si>
    <t>Total gross value added / GDP</t>
  </si>
  <si>
    <t>V2</t>
  </si>
  <si>
    <t>Compensation of employees</t>
  </si>
  <si>
    <t>V3</t>
  </si>
  <si>
    <t>Taxes less subsidies</t>
  </si>
  <si>
    <t>V4</t>
  </si>
  <si>
    <t>Taxes on products</t>
  </si>
  <si>
    <t>V5</t>
  </si>
  <si>
    <t>Subsidies on products</t>
  </si>
  <si>
    <t>V6</t>
  </si>
  <si>
    <t>Other taxes less subsidies</t>
  </si>
  <si>
    <t>V7</t>
  </si>
  <si>
    <t>GOS / mixed income</t>
  </si>
  <si>
    <t>Total output at basic prices</t>
  </si>
  <si>
    <t>From SUT</t>
  </si>
  <si>
    <t>Price (incl.trade&amp;transport)</t>
  </si>
  <si>
    <t>CV</t>
  </si>
  <si>
    <t>SUT</t>
  </si>
  <si>
    <t>DEFF Inventory</t>
  </si>
  <si>
    <t>Other Sources</t>
  </si>
  <si>
    <t>XMP 2017</t>
  </si>
  <si>
    <t>mR</t>
  </si>
  <si>
    <t>R/GJ</t>
  </si>
  <si>
    <t>GJ/ton</t>
  </si>
  <si>
    <t>R/ton</t>
  </si>
  <si>
    <t>ktons</t>
  </si>
  <si>
    <t>Total including Transformation and export</t>
  </si>
  <si>
    <t>Total including Transformation</t>
  </si>
  <si>
    <t>Total (Final)</t>
  </si>
  <si>
    <t>Stock Change (Eskom)</t>
  </si>
  <si>
    <t>Refinery (Boilers)</t>
  </si>
  <si>
    <t>Total Secunda Check</t>
  </si>
  <si>
    <t>Refinery (material Use)</t>
  </si>
  <si>
    <t>XMP 2013</t>
  </si>
  <si>
    <t>XMP 2012</t>
  </si>
  <si>
    <t>Pulp and Paper</t>
  </si>
  <si>
    <t>Food and Bev</t>
  </si>
  <si>
    <t>Purchased</t>
  </si>
  <si>
    <t>Sasol SSF</t>
  </si>
  <si>
    <t>Burnt</t>
  </si>
  <si>
    <t>Total Transformation</t>
  </si>
  <si>
    <t>Stock Change</t>
  </si>
  <si>
    <t>SATIM Category</t>
  </si>
  <si>
    <t>DMRE categories</t>
  </si>
  <si>
    <t xml:space="preserve"> XMP Ind. Check-&gt;</t>
  </si>
  <si>
    <t>CV 2017</t>
  </si>
  <si>
    <t>XMP 2017 v1</t>
  </si>
  <si>
    <t>XMP 2017 v2</t>
  </si>
  <si>
    <t>Mining(only)</t>
  </si>
  <si>
    <t>Commodity</t>
  </si>
  <si>
    <t>Mass(Mt)</t>
  </si>
  <si>
    <t>Value(MR)</t>
  </si>
  <si>
    <t>Price(R/t)</t>
  </si>
  <si>
    <t>Check</t>
  </si>
  <si>
    <t>Mt</t>
  </si>
  <si>
    <t>GJ/t</t>
  </si>
  <si>
    <t>R/t</t>
  </si>
  <si>
    <t>2017 R/GJ</t>
  </si>
  <si>
    <t>2015 R/GJ</t>
  </si>
  <si>
    <t>2017-&gt;2015</t>
  </si>
  <si>
    <t>Ferro-Alloys</t>
  </si>
  <si>
    <t>Synfuels</t>
  </si>
  <si>
    <t>synf</t>
  </si>
  <si>
    <t>Merchant&amp;Domestic</t>
  </si>
  <si>
    <t>merc and dom</t>
  </si>
  <si>
    <t>Industries</t>
  </si>
  <si>
    <t>ind</t>
  </si>
  <si>
    <t>Steel</t>
  </si>
  <si>
    <t>steel</t>
  </si>
  <si>
    <t>Metallurgical</t>
  </si>
  <si>
    <t>chem</t>
  </si>
  <si>
    <t>Chemical</t>
  </si>
  <si>
    <t>metall</t>
  </si>
  <si>
    <t>Cement</t>
  </si>
  <si>
    <t>Brick&amp;Tile</t>
  </si>
  <si>
    <t>brick and tile</t>
  </si>
  <si>
    <t>agric</t>
  </si>
  <si>
    <t>Mines</t>
  </si>
  <si>
    <t>mines</t>
  </si>
  <si>
    <t>TOTAL</t>
  </si>
  <si>
    <t>SATIM Model Sectors</t>
  </si>
  <si>
    <t>Total including Transformation and export and stock changes</t>
  </si>
  <si>
    <t>Auto Producers</t>
  </si>
  <si>
    <t>Final Consumption (excl.fuel used for elc gen)</t>
  </si>
  <si>
    <t xml:space="preserve">data for NMM, iron and steel, pulp and paper, ferro-alloys, sugar, </t>
  </si>
  <si>
    <t>textile/leather/wood - SUT</t>
  </si>
  <si>
    <t>chem = balance of sut minus sasolburg</t>
  </si>
  <si>
    <t>commerce = deff inv - slightly higher than SUT</t>
  </si>
  <si>
    <t>res - alison's meth</t>
  </si>
  <si>
    <t>xavier =176, we are 173, this excludes a stock change, if we include a stock change - diff between eskom purchase and eskom burn</t>
  </si>
  <si>
    <t>From SUT (elc+gas)</t>
  </si>
  <si>
    <t>From SUT (dist.)</t>
  </si>
  <si>
    <t>Price(elc+gas)</t>
  </si>
  <si>
    <t>Price (dist)</t>
  </si>
  <si>
    <t>Eskom 2016</t>
  </si>
  <si>
    <t>Eskom 2017</t>
  </si>
  <si>
    <t>Total (Eskom+Munics)</t>
  </si>
  <si>
    <t>Total SUT</t>
  </si>
  <si>
    <t>R/kWh</t>
  </si>
  <si>
    <t>Other Refineries</t>
  </si>
  <si>
    <t>Power (pump storage)</t>
  </si>
  <si>
    <t>Sasol Chemicals</t>
  </si>
  <si>
    <t>Total Losses</t>
  </si>
  <si>
    <t>Checks</t>
  </si>
  <si>
    <t>Redistributors</t>
  </si>
  <si>
    <t>Total including Transformation inputs</t>
  </si>
  <si>
    <t>Total net send out including imports</t>
  </si>
  <si>
    <t>Purchases made from Grid</t>
  </si>
  <si>
    <t>Grid+Own Gen</t>
  </si>
  <si>
    <t>preNDC SATIM</t>
  </si>
  <si>
    <t>2012 GWh</t>
  </si>
  <si>
    <t>2012 (TJ)</t>
  </si>
  <si>
    <t>2017 TJ</t>
  </si>
  <si>
    <t>2017 GWh</t>
  </si>
  <si>
    <t>Total Refineries</t>
  </si>
  <si>
    <t>Final (from Grid)</t>
  </si>
  <si>
    <t>Final Grid+own gen</t>
  </si>
  <si>
    <t>Total including Losses and Exports</t>
  </si>
  <si>
    <t>LowIncome</t>
  </si>
  <si>
    <t>MiddleIncome</t>
  </si>
  <si>
    <t>HighIncome</t>
  </si>
  <si>
    <t>PassPub</t>
  </si>
  <si>
    <t>FreightPip</t>
  </si>
  <si>
    <t>FreightRail</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</si>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</sst>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0"/>
    <numFmt numFmtId="165" formatCode="#,##0.0"/>
    <numFmt numFmtId="166" formatCode="0.0000000_);\(0.0000000\)"/>
    <numFmt numFmtId="167" formatCode="#,##0.00;\-#,##0.00;\-"/>
    <numFmt numFmtId="168" formatCode="0_);\(0\)"/>
    <numFmt numFmtId="169" formatCode="0.00_);\(0.00\)"/>
    <numFmt numFmtId="170" formatCode="0.000"/>
    <numFmt numFmtId="171" formatCode="dd\ mm\ yyyy"/>
    <numFmt numFmtId="172" formatCode="0.0000"/>
    <numFmt numFmtId="173" formatCode="0.0%"/>
    <numFmt numFmtId="174" formatCode="#,##0.0000"/>
    <numFmt numFmtId="175" formatCode="#,##0.000"/>
  </numFmts>
  <fonts count="58">
    <font>
      <sz val="12"/>
      <color theme="1"/>
      <name val="Arial"/>
    </font>
    <font>
      <b/>
      <sz val="12"/>
      <color theme="1"/>
      <name val="Arial"/>
      <family val="2"/>
    </font>
    <font>
      <b/>
      <sz val="12"/>
      <color theme="1"/>
      <name val="Calibri"/>
      <family val="2"/>
    </font>
    <font>
      <sz val="12"/>
      <color theme="1"/>
      <name val="Calibri"/>
      <family val="2"/>
    </font>
    <font>
      <sz val="12"/>
      <color theme="1"/>
      <name val="Calibri"/>
      <family val="2"/>
    </font>
    <font>
      <b/>
      <sz val="12"/>
      <color rgb="FF800000"/>
      <name val="Calibri"/>
      <family val="2"/>
    </font>
    <font>
      <sz val="12"/>
      <color rgb="FF000000"/>
      <name val="Arial"/>
      <family val="2"/>
    </font>
    <font>
      <b/>
      <sz val="12"/>
      <color theme="1"/>
      <name val="Calibri"/>
      <family val="2"/>
    </font>
    <font>
      <sz val="12"/>
      <color rgb="FF000000"/>
      <name val="Calibri"/>
      <family val="2"/>
    </font>
    <font>
      <sz val="12"/>
      <color rgb="FF3F3F76"/>
      <name val="Calibri"/>
      <family val="2"/>
    </font>
    <font>
      <sz val="12"/>
      <color theme="1"/>
      <name val="Arial"/>
      <family val="2"/>
    </font>
    <font>
      <sz val="11"/>
      <color rgb="FF000000"/>
      <name val="Calibri"/>
      <family val="2"/>
    </font>
    <font>
      <sz val="12"/>
      <color rgb="FFFF0000"/>
      <name val="Calibri"/>
      <family val="2"/>
    </font>
    <font>
      <b/>
      <sz val="11"/>
      <color rgb="FF000000"/>
      <name val="Calibri"/>
      <family val="2"/>
    </font>
    <font>
      <sz val="12"/>
      <color rgb="FF800000"/>
      <name val="Calibri"/>
      <family val="2"/>
    </font>
    <font>
      <sz val="12"/>
      <color rgb="FF000000"/>
      <name val="&quot;Times New Roman&quot;"/>
    </font>
    <font>
      <sz val="20"/>
      <color theme="1"/>
      <name val="Helvetica Neue"/>
    </font>
    <font>
      <sz val="12"/>
      <name val="Arial"/>
      <family val="2"/>
    </font>
    <font>
      <b/>
      <sz val="12"/>
      <color rgb="FFFFFFFF"/>
      <name val="Helvetica Neue"/>
    </font>
    <font>
      <b/>
      <sz val="12"/>
      <color theme="1"/>
      <name val="Helvetica Neue"/>
    </font>
    <font>
      <sz val="12"/>
      <color theme="1"/>
      <name val="Helvetica Neue"/>
    </font>
    <font>
      <i/>
      <sz val="12"/>
      <color theme="1"/>
      <name val="Helvetica Neue"/>
    </font>
    <font>
      <b/>
      <sz val="20"/>
      <color theme="1"/>
      <name val="Helvetica Neue"/>
    </font>
    <font>
      <sz val="10"/>
      <color theme="1"/>
      <name val="Helvetica Neue"/>
    </font>
    <font>
      <b/>
      <sz val="10"/>
      <color theme="1"/>
      <name val="Helvetica Neue"/>
    </font>
    <font>
      <b/>
      <sz val="10"/>
      <color rgb="FF000000"/>
      <name val="Helvetica Neue"/>
    </font>
    <font>
      <b/>
      <sz val="10"/>
      <color rgb="FFFFFFFF"/>
      <name val="Helvetica Neue"/>
    </font>
    <font>
      <b/>
      <sz val="10"/>
      <color theme="1"/>
      <name val="Arial"/>
      <family val="2"/>
    </font>
    <font>
      <sz val="12"/>
      <color rgb="FFFF0000"/>
      <name val="Helvetica Neue"/>
    </font>
    <font>
      <sz val="8"/>
      <color rgb="FFFFFFFF"/>
      <name val="Arial"/>
      <family val="2"/>
    </font>
    <font>
      <sz val="8"/>
      <color theme="1"/>
      <name val="Arial"/>
      <family val="2"/>
    </font>
    <font>
      <sz val="11"/>
      <color rgb="FF000000"/>
      <name val="Arial"/>
      <family val="2"/>
    </font>
    <font>
      <sz val="11"/>
      <color theme="1"/>
      <name val="Arial"/>
      <family val="2"/>
    </font>
    <font>
      <sz val="11"/>
      <color rgb="FFFF0000"/>
      <name val="Arial"/>
      <family val="2"/>
    </font>
    <font>
      <sz val="11"/>
      <color rgb="FF3F3F76"/>
      <name val="Calibri"/>
      <family val="2"/>
    </font>
    <font>
      <sz val="11"/>
      <color rgb="FFFF0000"/>
      <name val="Calibri"/>
      <family val="2"/>
    </font>
    <font>
      <sz val="11"/>
      <color rgb="FF203764"/>
      <name val="Calibri"/>
      <family val="2"/>
    </font>
    <font>
      <u/>
      <sz val="12"/>
      <color theme="1"/>
      <name val="Arial"/>
      <family val="2"/>
    </font>
    <font>
      <sz val="12"/>
      <color rgb="FFFF0000"/>
      <name val="Arial"/>
      <family val="2"/>
    </font>
    <font>
      <b/>
      <sz val="12"/>
      <color rgb="FFFF0000"/>
      <name val="Calibri"/>
      <family val="2"/>
    </font>
    <font>
      <sz val="11"/>
      <color rgb="FF1155CC"/>
      <name val="Inconsolata"/>
    </font>
    <font>
      <sz val="11"/>
      <color rgb="FFF7981D"/>
      <name val="Inconsolata"/>
    </font>
    <font>
      <b/>
      <sz val="12"/>
      <color theme="1"/>
      <name val="Arial"/>
      <family val="2"/>
    </font>
    <font>
      <sz val="12"/>
      <color rgb="FF000000"/>
      <name val="Arial"/>
      <family val="2"/>
    </font>
    <font>
      <b/>
      <sz val="9"/>
      <color theme="1"/>
      <name val="Arial"/>
      <family val="2"/>
    </font>
    <font>
      <sz val="9"/>
      <color theme="1"/>
      <name val="Arial"/>
      <family val="2"/>
    </font>
    <font>
      <sz val="9"/>
      <color rgb="FF000000"/>
      <name val="Arial"/>
      <family val="2"/>
    </font>
    <font>
      <b/>
      <sz val="12"/>
      <color rgb="FF000000"/>
      <name val="&quot;Times New Roman&quot;"/>
    </font>
    <font>
      <b/>
      <sz val="9"/>
      <color rgb="FF000000"/>
      <name val="Arial"/>
      <family val="2"/>
    </font>
    <font>
      <u/>
      <sz val="11"/>
      <color rgb="FF3C4043"/>
      <name val="Roboto"/>
    </font>
    <font>
      <b/>
      <sz val="11"/>
      <color rgb="FF000000"/>
      <name val="Arial"/>
      <family val="2"/>
    </font>
    <font>
      <sz val="11"/>
      <color rgb="FF000000"/>
      <name val="Inconsolata"/>
    </font>
    <font>
      <b/>
      <sz val="11"/>
      <color theme="1"/>
      <name val="Calibri"/>
      <family val="2"/>
    </font>
    <font>
      <b/>
      <i/>
      <sz val="11"/>
      <color rgb="FF548135"/>
      <name val="Calibri"/>
      <family val="2"/>
    </font>
    <font>
      <b/>
      <sz val="9"/>
      <color rgb="FF222B35"/>
      <name val="Arial"/>
      <family val="2"/>
    </font>
    <font>
      <sz val="11"/>
      <color rgb="FF9C0006"/>
      <name val="Calibri"/>
      <family val="2"/>
    </font>
    <font>
      <b/>
      <sz val="11"/>
      <color theme="1"/>
      <name val="&quot;Verdana Pro Light&quot;"/>
    </font>
    <font>
      <sz val="12"/>
      <color theme="1"/>
      <name val="&quot;Verdana Pro Light&quot;"/>
    </font>
  </fonts>
  <fills count="49">
    <fill>
      <patternFill patternType="none"/>
    </fill>
    <fill>
      <patternFill patternType="gray125"/>
    </fill>
    <fill>
      <patternFill patternType="solid">
        <fgColor theme="7"/>
        <bgColor theme="7"/>
      </patternFill>
    </fill>
    <fill>
      <patternFill patternType="solid">
        <fgColor rgb="FFFFCC99"/>
        <bgColor rgb="FFFFCC99"/>
      </patternFill>
    </fill>
    <fill>
      <patternFill patternType="solid">
        <fgColor rgb="FFFFFF00"/>
        <bgColor rgb="FFFFFF00"/>
      </patternFill>
    </fill>
    <fill>
      <patternFill patternType="solid">
        <fgColor rgb="FFFFD966"/>
        <bgColor rgb="FFFFD966"/>
      </patternFill>
    </fill>
    <fill>
      <patternFill patternType="solid">
        <fgColor rgb="FF76A5AF"/>
        <bgColor rgb="FF76A5AF"/>
      </patternFill>
    </fill>
    <fill>
      <patternFill patternType="solid">
        <fgColor rgb="FF69FFFF"/>
        <bgColor rgb="FF69FFFF"/>
      </patternFill>
    </fill>
    <fill>
      <patternFill patternType="solid">
        <fgColor rgb="FFFF0000"/>
        <bgColor rgb="FFFF0000"/>
      </patternFill>
    </fill>
    <fill>
      <patternFill patternType="solid">
        <fgColor rgb="FF800000"/>
        <bgColor rgb="FF800000"/>
      </patternFill>
    </fill>
    <fill>
      <patternFill patternType="solid">
        <fgColor rgb="FF969696"/>
        <bgColor rgb="FF969696"/>
      </patternFill>
    </fill>
    <fill>
      <patternFill patternType="solid">
        <fgColor rgb="FFC0C0C0"/>
        <bgColor rgb="FFC0C0C0"/>
      </patternFill>
    </fill>
    <fill>
      <patternFill patternType="solid">
        <fgColor rgb="FF00CCFF"/>
        <bgColor rgb="FF00CCFF"/>
      </patternFill>
    </fill>
    <fill>
      <patternFill patternType="solid">
        <fgColor rgb="FF00FFFF"/>
        <bgColor rgb="FF00FFFF"/>
      </patternFill>
    </fill>
    <fill>
      <patternFill patternType="solid">
        <fgColor rgb="FF003300"/>
        <bgColor rgb="FF003300"/>
      </patternFill>
    </fill>
    <fill>
      <patternFill patternType="solid">
        <fgColor rgb="FF999933"/>
        <bgColor rgb="FF999933"/>
      </patternFill>
    </fill>
    <fill>
      <patternFill patternType="solid">
        <fgColor rgb="FF000000"/>
        <bgColor rgb="FF000000"/>
      </patternFill>
    </fill>
    <fill>
      <patternFill patternType="solid">
        <fgColor rgb="FFFFFF99"/>
        <bgColor rgb="FFFFFF99"/>
      </patternFill>
    </fill>
    <fill>
      <patternFill patternType="solid">
        <fgColor rgb="FFCCCCFF"/>
        <bgColor rgb="FFCCCCFF"/>
      </patternFill>
    </fill>
    <fill>
      <patternFill patternType="solid">
        <fgColor rgb="FFD9E2F3"/>
        <bgColor rgb="FFD9E2F3"/>
      </patternFill>
    </fill>
    <fill>
      <patternFill patternType="solid">
        <fgColor rgb="FF993300"/>
        <bgColor rgb="FF993300"/>
      </patternFill>
    </fill>
    <fill>
      <patternFill patternType="solid">
        <fgColor rgb="FFF4B083"/>
        <bgColor rgb="FFF4B083"/>
      </patternFill>
    </fill>
    <fill>
      <patternFill patternType="solid">
        <fgColor rgb="FFFF99CC"/>
        <bgColor rgb="FFFF99CC"/>
      </patternFill>
    </fill>
    <fill>
      <patternFill patternType="solid">
        <fgColor rgb="FF00FF00"/>
        <bgColor rgb="FF00FF00"/>
      </patternFill>
    </fill>
    <fill>
      <patternFill patternType="solid">
        <fgColor rgb="FF808000"/>
        <bgColor rgb="FF808000"/>
      </patternFill>
    </fill>
    <fill>
      <patternFill patternType="solid">
        <fgColor rgb="FF8EAADB"/>
        <bgColor rgb="FF8EAADB"/>
      </patternFill>
    </fill>
    <fill>
      <patternFill patternType="solid">
        <fgColor rgb="FFFFFFFF"/>
        <bgColor rgb="FFFFFFFF"/>
      </patternFill>
    </fill>
    <fill>
      <patternFill patternType="solid">
        <fgColor rgb="FF374150"/>
        <bgColor rgb="FF374150"/>
      </patternFill>
    </fill>
    <fill>
      <patternFill patternType="solid">
        <fgColor rgb="FF754430"/>
        <bgColor rgb="FF754430"/>
      </patternFill>
    </fill>
    <fill>
      <patternFill patternType="solid">
        <fgColor rgb="FF9EC3E9"/>
        <bgColor rgb="FF9EC3E9"/>
      </patternFill>
    </fill>
    <fill>
      <patternFill patternType="solid">
        <fgColor rgb="FFFFDF5A"/>
        <bgColor rgb="FFFFDF5A"/>
      </patternFill>
    </fill>
    <fill>
      <patternFill patternType="solid">
        <fgColor rgb="FF96C456"/>
        <bgColor rgb="FF96C456"/>
      </patternFill>
    </fill>
    <fill>
      <patternFill patternType="solid">
        <fgColor rgb="FFEAEAEA"/>
        <bgColor rgb="FFEAEAEA"/>
      </patternFill>
    </fill>
    <fill>
      <patternFill patternType="solid">
        <fgColor rgb="FF808080"/>
        <bgColor rgb="FF808080"/>
      </patternFill>
    </fill>
    <fill>
      <patternFill patternType="solid">
        <fgColor rgb="FFFFC000"/>
        <bgColor rgb="FFFFC000"/>
      </patternFill>
    </fill>
    <fill>
      <patternFill patternType="solid">
        <fgColor rgb="FFD9D9D9"/>
        <bgColor rgb="FFD9D9D9"/>
      </patternFill>
    </fill>
    <fill>
      <patternFill patternType="solid">
        <fgColor rgb="FFACB9CA"/>
        <bgColor rgb="FFACB9CA"/>
      </patternFill>
    </fill>
    <fill>
      <patternFill patternType="solid">
        <fgColor rgb="FFC9C9C9"/>
        <bgColor rgb="FFC9C9C9"/>
      </patternFill>
    </fill>
    <fill>
      <patternFill patternType="solid">
        <fgColor rgb="FFF4B084"/>
        <bgColor rgb="FFF4B084"/>
      </patternFill>
    </fill>
    <fill>
      <patternFill patternType="solid">
        <fgColor rgb="FFD8D8D8"/>
        <bgColor rgb="FFD8D8D8"/>
      </patternFill>
    </fill>
    <fill>
      <patternFill patternType="solid">
        <fgColor rgb="FFE2EFD9"/>
        <bgColor rgb="FFE2EFD9"/>
      </patternFill>
    </fill>
    <fill>
      <patternFill patternType="solid">
        <fgColor rgb="FFFBE4D5"/>
        <bgColor rgb="FFFBE4D5"/>
      </patternFill>
    </fill>
    <fill>
      <patternFill patternType="solid">
        <fgColor rgb="FFDAEEF3"/>
        <bgColor rgb="FFDAEEF3"/>
      </patternFill>
    </fill>
    <fill>
      <patternFill patternType="solid">
        <fgColor rgb="FFF2DCDB"/>
        <bgColor rgb="FFF2DCDB"/>
      </patternFill>
    </fill>
    <fill>
      <patternFill patternType="solid">
        <fgColor rgb="FFEBF1DE"/>
        <bgColor rgb="FFEBF1DE"/>
      </patternFill>
    </fill>
    <fill>
      <patternFill patternType="solid">
        <fgColor rgb="FFFCD5B4"/>
        <bgColor rgb="FFFCD5B4"/>
      </patternFill>
    </fill>
    <fill>
      <patternFill patternType="solid">
        <fgColor rgb="FFB4C6E7"/>
        <bgColor rgb="FFB4C6E7"/>
      </patternFill>
    </fill>
    <fill>
      <patternFill patternType="solid">
        <fgColor rgb="FFA6CAF0"/>
        <bgColor rgb="FFA6CAF0"/>
      </patternFill>
    </fill>
    <fill>
      <patternFill patternType="solid">
        <fgColor rgb="FFFFC7CE"/>
        <bgColor rgb="FFFFC7CE"/>
      </patternFill>
    </fill>
  </fills>
  <borders count="2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style="thin">
        <color rgb="FF000000"/>
      </right>
      <top/>
      <bottom/>
      <diagonal/>
    </border>
    <border>
      <left style="thin">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7F7F7F"/>
      </left>
      <right style="thin">
        <color rgb="FF7F7F7F"/>
      </right>
      <top style="thin">
        <color rgb="FF000000"/>
      </top>
      <bottom style="thin">
        <color rgb="FF7F7F7F"/>
      </bottom>
      <diagonal/>
    </border>
    <border>
      <left style="thin">
        <color rgb="FF000000"/>
      </left>
      <right style="thin">
        <color rgb="FF7F7F7F"/>
      </right>
      <top style="thin">
        <color rgb="FF7F7F7F"/>
      </top>
      <bottom style="thin">
        <color rgb="FF7F7F7F"/>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style="thin">
        <color rgb="FF7F7F7F"/>
      </left>
      <right style="thin">
        <color rgb="FF7F7F7F"/>
      </right>
      <top style="thin">
        <color rgb="FF7F7F7F"/>
      </top>
      <bottom style="thin">
        <color rgb="FF7F7F7F"/>
      </bottom>
      <diagonal/>
    </border>
  </borders>
  <cellStyleXfs count="1">
    <xf numFmtId="0" fontId="0" fillId="0" borderId="0"/>
  </cellStyleXfs>
  <cellXfs count="456">
    <xf numFmtId="0" fontId="0" fillId="0" borderId="0" xfId="0" applyFont="1" applyAlignment="1"/>
    <xf numFmtId="0" fontId="0" fillId="0" borderId="0" xfId="0" applyFont="1"/>
    <xf numFmtId="4" fontId="0" fillId="0" borderId="0" xfId="0" applyNumberFormat="1" applyFont="1"/>
    <xf numFmtId="2" fontId="0" fillId="0" borderId="0" xfId="0" applyNumberFormat="1" applyFont="1"/>
    <xf numFmtId="0" fontId="1" fillId="0" borderId="0" xfId="0" applyFont="1" applyAlignment="1">
      <alignment wrapText="1"/>
    </xf>
    <xf numFmtId="0" fontId="2" fillId="0" borderId="0" xfId="0" applyFont="1" applyAlignment="1">
      <alignment wrapText="1"/>
    </xf>
    <xf numFmtId="4" fontId="0" fillId="0" borderId="0" xfId="0" applyNumberFormat="1" applyFont="1" applyAlignment="1">
      <alignment wrapText="1"/>
    </xf>
    <xf numFmtId="0" fontId="3" fillId="0" borderId="0" xfId="0" applyFont="1" applyAlignment="1">
      <alignment wrapText="1"/>
    </xf>
    <xf numFmtId="1" fontId="3" fillId="0" borderId="0" xfId="0" applyNumberFormat="1" applyFont="1" applyAlignment="1">
      <alignment wrapText="1"/>
    </xf>
    <xf numFmtId="0" fontId="3" fillId="0" borderId="0" xfId="0" applyFont="1"/>
    <xf numFmtId="0" fontId="4" fillId="0" borderId="0" xfId="0" applyFont="1"/>
    <xf numFmtId="0" fontId="5" fillId="0" borderId="0" xfId="0" applyFont="1"/>
    <xf numFmtId="1" fontId="6" fillId="0" borderId="0" xfId="0" applyNumberFormat="1" applyFont="1" applyAlignment="1"/>
    <xf numFmtId="1" fontId="0" fillId="0" borderId="0" xfId="0" applyNumberFormat="1" applyFont="1"/>
    <xf numFmtId="0" fontId="4" fillId="0" borderId="0" xfId="0" applyFont="1" applyAlignment="1"/>
    <xf numFmtId="0" fontId="7" fillId="0" borderId="0" xfId="0" applyFont="1" applyAlignment="1"/>
    <xf numFmtId="1" fontId="3" fillId="0" borderId="0" xfId="0" applyNumberFormat="1" applyFont="1"/>
    <xf numFmtId="1" fontId="8" fillId="0" borderId="0" xfId="0" applyNumberFormat="1" applyFont="1" applyAlignment="1"/>
    <xf numFmtId="0" fontId="8" fillId="0" borderId="0" xfId="0" applyFont="1" applyAlignment="1"/>
    <xf numFmtId="0" fontId="8" fillId="2" borderId="0" xfId="0" applyFont="1" applyFill="1" applyAlignment="1"/>
    <xf numFmtId="3" fontId="4" fillId="0" borderId="0" xfId="0" applyNumberFormat="1" applyFont="1" applyAlignment="1"/>
    <xf numFmtId="0" fontId="8" fillId="0" borderId="0" xfId="0" applyFont="1" applyAlignment="1"/>
    <xf numFmtId="164" fontId="4" fillId="0" borderId="0" xfId="0" applyNumberFormat="1" applyFont="1"/>
    <xf numFmtId="0" fontId="9" fillId="3" borderId="0" xfId="0" applyFont="1" applyFill="1" applyAlignment="1">
      <alignment horizontal="right"/>
    </xf>
    <xf numFmtId="0" fontId="10" fillId="0" borderId="1" xfId="0" applyFont="1" applyBorder="1" applyAlignment="1">
      <alignment horizontal="right"/>
    </xf>
    <xf numFmtId="4" fontId="3" fillId="0" borderId="0" xfId="0" applyNumberFormat="1" applyFont="1"/>
    <xf numFmtId="1" fontId="11" fillId="0" borderId="0" xfId="0" applyNumberFormat="1" applyFont="1" applyAlignment="1"/>
    <xf numFmtId="165" fontId="12" fillId="0" borderId="0" xfId="0" applyNumberFormat="1" applyFont="1" applyAlignment="1"/>
    <xf numFmtId="0" fontId="11" fillId="0" borderId="0" xfId="0" applyFont="1" applyAlignment="1">
      <alignment horizontal="right"/>
    </xf>
    <xf numFmtId="0" fontId="13" fillId="0" borderId="0" xfId="0" applyFont="1" applyAlignment="1">
      <alignment horizontal="right"/>
    </xf>
    <xf numFmtId="0" fontId="14" fillId="3" borderId="0" xfId="0" applyFont="1" applyFill="1" applyAlignment="1">
      <alignment horizontal="right"/>
    </xf>
    <xf numFmtId="0" fontId="4" fillId="4" borderId="0" xfId="0" applyFont="1" applyFill="1" applyAlignment="1"/>
    <xf numFmtId="0" fontId="4" fillId="0" borderId="0" xfId="0" applyFont="1" applyAlignment="1"/>
    <xf numFmtId="0" fontId="8" fillId="5" borderId="0" xfId="0" applyFont="1" applyFill="1" applyAlignment="1"/>
    <xf numFmtId="0" fontId="4" fillId="5" borderId="0" xfId="0" applyFont="1" applyFill="1"/>
    <xf numFmtId="3" fontId="4" fillId="5" borderId="0" xfId="0" applyNumberFormat="1" applyFont="1" applyFill="1" applyAlignment="1"/>
    <xf numFmtId="0" fontId="4" fillId="5" borderId="0" xfId="0" applyFont="1" applyFill="1" applyAlignment="1"/>
    <xf numFmtId="0" fontId="8" fillId="6" borderId="0" xfId="0" applyFont="1" applyFill="1" applyAlignment="1"/>
    <xf numFmtId="0" fontId="4" fillId="6" borderId="0" xfId="0" applyFont="1" applyFill="1"/>
    <xf numFmtId="3" fontId="4" fillId="6" borderId="0" xfId="0" applyNumberFormat="1" applyFont="1" applyFill="1" applyAlignment="1"/>
    <xf numFmtId="0" fontId="4" fillId="6" borderId="0" xfId="0" applyFont="1" applyFill="1" applyAlignment="1"/>
    <xf numFmtId="3" fontId="11" fillId="0" borderId="0" xfId="0" applyNumberFormat="1" applyFont="1" applyAlignment="1">
      <alignment horizontal="right"/>
    </xf>
    <xf numFmtId="3" fontId="12" fillId="0" borderId="0" xfId="0" applyNumberFormat="1" applyFont="1" applyAlignment="1"/>
    <xf numFmtId="0" fontId="15" fillId="0" borderId="0" xfId="0" applyFont="1" applyAlignment="1">
      <alignment horizontal="left" vertical="top"/>
    </xf>
    <xf numFmtId="0" fontId="4" fillId="0" borderId="0" xfId="0" applyFont="1" applyAlignment="1"/>
    <xf numFmtId="0" fontId="3" fillId="0" borderId="0" xfId="0" applyFont="1" applyAlignment="1"/>
    <xf numFmtId="0" fontId="11" fillId="0" borderId="0" xfId="0" applyFont="1" applyAlignment="1"/>
    <xf numFmtId="3" fontId="3" fillId="0" borderId="0" xfId="0" applyNumberFormat="1" applyFont="1"/>
    <xf numFmtId="3" fontId="4" fillId="0" borderId="0" xfId="0" applyNumberFormat="1" applyFont="1"/>
    <xf numFmtId="0" fontId="11" fillId="0" borderId="0" xfId="0" applyFont="1" applyAlignment="1"/>
    <xf numFmtId="10" fontId="4" fillId="0" borderId="0" xfId="0" applyNumberFormat="1" applyFont="1" applyAlignment="1"/>
    <xf numFmtId="0" fontId="3" fillId="0" borderId="0" xfId="0" applyFont="1" applyAlignment="1"/>
    <xf numFmtId="0" fontId="3" fillId="4" borderId="0" xfId="0" applyFont="1" applyFill="1" applyAlignment="1"/>
    <xf numFmtId="0" fontId="4" fillId="0" borderId="1" xfId="0" applyFont="1" applyBorder="1"/>
    <xf numFmtId="0" fontId="4" fillId="0" borderId="1" xfId="0" applyFont="1" applyBorder="1" applyAlignment="1"/>
    <xf numFmtId="3" fontId="4" fillId="0" borderId="1" xfId="0" applyNumberFormat="1" applyFont="1" applyBorder="1" applyAlignment="1"/>
    <xf numFmtId="0" fontId="18" fillId="8" borderId="5" xfId="0" applyFont="1" applyFill="1" applyBorder="1" applyAlignment="1">
      <alignment horizontal="center"/>
    </xf>
    <xf numFmtId="0" fontId="18" fillId="9" borderId="5" xfId="0" applyFont="1" applyFill="1" applyBorder="1" applyAlignment="1">
      <alignment horizontal="right"/>
    </xf>
    <xf numFmtId="0" fontId="18" fillId="10" borderId="5" xfId="0" applyFont="1" applyFill="1" applyBorder="1" applyAlignment="1">
      <alignment horizontal="right"/>
    </xf>
    <xf numFmtId="0" fontId="19" fillId="11" borderId="5" xfId="0" applyFont="1" applyFill="1" applyBorder="1" applyAlignment="1">
      <alignment horizontal="right"/>
    </xf>
    <xf numFmtId="0" fontId="19" fillId="12" borderId="5" xfId="0" applyFont="1" applyFill="1" applyBorder="1" applyAlignment="1">
      <alignment horizontal="right"/>
    </xf>
    <xf numFmtId="0" fontId="19" fillId="13" borderId="5" xfId="0" applyFont="1" applyFill="1" applyBorder="1" applyAlignment="1">
      <alignment horizontal="right"/>
    </xf>
    <xf numFmtId="0" fontId="18" fillId="14" borderId="5" xfId="0" applyFont="1" applyFill="1" applyBorder="1" applyAlignment="1">
      <alignment horizontal="right"/>
    </xf>
    <xf numFmtId="0" fontId="18" fillId="15" borderId="5" xfId="0" applyFont="1" applyFill="1" applyBorder="1" applyAlignment="1">
      <alignment horizontal="right"/>
    </xf>
    <xf numFmtId="0" fontId="18" fillId="16" borderId="5" xfId="0" applyFont="1" applyFill="1" applyBorder="1" applyAlignment="1">
      <alignment horizontal="right"/>
    </xf>
    <xf numFmtId="0" fontId="18" fillId="9" borderId="5" xfId="0" applyFont="1" applyFill="1" applyBorder="1"/>
    <xf numFmtId="0" fontId="19" fillId="10" borderId="5" xfId="0" applyFont="1" applyFill="1" applyBorder="1"/>
    <xf numFmtId="0" fontId="19" fillId="12" borderId="5" xfId="0" applyFont="1" applyFill="1" applyBorder="1"/>
    <xf numFmtId="0" fontId="19" fillId="13" borderId="5" xfId="0" applyFont="1" applyFill="1" applyBorder="1"/>
    <xf numFmtId="0" fontId="19" fillId="15" borderId="5" xfId="0" applyFont="1" applyFill="1" applyBorder="1"/>
    <xf numFmtId="0" fontId="18" fillId="16" borderId="5" xfId="0" applyFont="1" applyFill="1" applyBorder="1"/>
    <xf numFmtId="0" fontId="20" fillId="17" borderId="5" xfId="0" applyFont="1" applyFill="1" applyBorder="1" applyAlignment="1">
      <alignment horizontal="left"/>
    </xf>
    <xf numFmtId="0" fontId="0" fillId="0" borderId="0" xfId="0" applyFont="1" applyAlignment="1">
      <alignment horizontal="right"/>
    </xf>
    <xf numFmtId="0" fontId="20" fillId="0" borderId="0" xfId="0" applyFont="1" applyAlignment="1">
      <alignment horizontal="right"/>
    </xf>
    <xf numFmtId="0" fontId="20" fillId="0" borderId="0" xfId="0" applyFont="1"/>
    <xf numFmtId="0" fontId="19" fillId="17" borderId="5" xfId="0" applyFont="1" applyFill="1" applyBorder="1" applyAlignment="1">
      <alignment horizontal="center"/>
    </xf>
    <xf numFmtId="0" fontId="19" fillId="0" borderId="0" xfId="0" applyFont="1" applyAlignment="1">
      <alignment horizontal="right"/>
    </xf>
    <xf numFmtId="0" fontId="20" fillId="17" borderId="5" xfId="0" applyFont="1" applyFill="1" applyBorder="1"/>
    <xf numFmtId="0" fontId="19" fillId="0" borderId="0" xfId="0" applyFont="1"/>
    <xf numFmtId="0" fontId="20" fillId="0" borderId="0" xfId="0" applyFont="1" applyAlignment="1">
      <alignment horizontal="left"/>
    </xf>
    <xf numFmtId="0" fontId="19" fillId="17" borderId="5" xfId="0" applyFont="1" applyFill="1" applyBorder="1" applyAlignment="1">
      <alignment horizontal="left"/>
    </xf>
    <xf numFmtId="0" fontId="21" fillId="17" borderId="5" xfId="0" applyFont="1" applyFill="1" applyBorder="1" applyAlignment="1">
      <alignment horizontal="left"/>
    </xf>
    <xf numFmtId="0" fontId="21" fillId="0" borderId="0" xfId="0" applyFont="1" applyAlignment="1">
      <alignment horizontal="right"/>
    </xf>
    <xf numFmtId="0" fontId="21" fillId="0" borderId="0" xfId="0" applyFont="1"/>
    <xf numFmtId="4" fontId="16" fillId="7" borderId="2" xfId="0" applyNumberFormat="1" applyFont="1" applyFill="1" applyBorder="1" applyAlignment="1">
      <alignment horizontal="center"/>
    </xf>
    <xf numFmtId="4" fontId="16" fillId="7" borderId="3" xfId="0" applyNumberFormat="1" applyFont="1" applyFill="1" applyBorder="1" applyAlignment="1">
      <alignment horizontal="center"/>
    </xf>
    <xf numFmtId="4" fontId="16" fillId="7" borderId="4" xfId="0" applyNumberFormat="1" applyFont="1" applyFill="1" applyBorder="1" applyAlignment="1">
      <alignment horizontal="center"/>
    </xf>
    <xf numFmtId="0" fontId="22" fillId="18" borderId="5" xfId="0" applyFont="1" applyFill="1" applyBorder="1" applyAlignment="1">
      <alignment horizontal="center"/>
    </xf>
    <xf numFmtId="166" fontId="0" fillId="18" borderId="5" xfId="0" applyNumberFormat="1" applyFont="1" applyFill="1" applyBorder="1"/>
    <xf numFmtId="0" fontId="23" fillId="18" borderId="5" xfId="0" applyFont="1" applyFill="1" applyBorder="1"/>
    <xf numFmtId="2" fontId="23" fillId="18" borderId="5" xfId="0" applyNumberFormat="1" applyFont="1" applyFill="1" applyBorder="1"/>
    <xf numFmtId="2" fontId="24" fillId="19" borderId="5" xfId="0" applyNumberFormat="1" applyFont="1" applyFill="1" applyBorder="1" applyAlignment="1">
      <alignment horizontal="left"/>
    </xf>
    <xf numFmtId="2" fontId="24" fillId="11" borderId="5" xfId="0" applyNumberFormat="1" applyFont="1" applyFill="1" applyBorder="1" applyAlignment="1">
      <alignment horizontal="left"/>
    </xf>
    <xf numFmtId="2" fontId="24" fillId="11" borderId="5" xfId="0" quotePrefix="1" applyNumberFormat="1" applyFont="1" applyFill="1" applyBorder="1" applyAlignment="1">
      <alignment horizontal="left"/>
    </xf>
    <xf numFmtId="0" fontId="23" fillId="18" borderId="6" xfId="0" applyFont="1" applyFill="1" applyBorder="1"/>
    <xf numFmtId="4" fontId="18" fillId="8" borderId="5" xfId="0" applyNumberFormat="1" applyFont="1" applyFill="1" applyBorder="1" applyAlignment="1">
      <alignment horizontal="center"/>
    </xf>
    <xf numFmtId="4" fontId="18" fillId="9" borderId="5" xfId="0" applyNumberFormat="1" applyFont="1" applyFill="1" applyBorder="1" applyAlignment="1">
      <alignment horizontal="right"/>
    </xf>
    <xf numFmtId="4" fontId="18" fillId="10" borderId="5" xfId="0" applyNumberFormat="1" applyFont="1" applyFill="1" applyBorder="1" applyAlignment="1">
      <alignment horizontal="right"/>
    </xf>
    <xf numFmtId="4" fontId="19" fillId="11" borderId="5" xfId="0" applyNumberFormat="1" applyFont="1" applyFill="1" applyBorder="1" applyAlignment="1">
      <alignment horizontal="right"/>
    </xf>
    <xf numFmtId="4" fontId="19" fillId="12" borderId="5" xfId="0" applyNumberFormat="1" applyFont="1" applyFill="1" applyBorder="1" applyAlignment="1">
      <alignment horizontal="right"/>
    </xf>
    <xf numFmtId="4" fontId="19" fillId="13" borderId="5" xfId="0" applyNumberFormat="1" applyFont="1" applyFill="1" applyBorder="1" applyAlignment="1">
      <alignment horizontal="right"/>
    </xf>
    <xf numFmtId="4" fontId="18" fillId="14" borderId="5" xfId="0" applyNumberFormat="1" applyFont="1" applyFill="1" applyBorder="1" applyAlignment="1">
      <alignment horizontal="right"/>
    </xf>
    <xf numFmtId="4" fontId="18" fillId="15" borderId="5" xfId="0" applyNumberFormat="1" applyFont="1" applyFill="1" applyBorder="1" applyAlignment="1">
      <alignment horizontal="right"/>
    </xf>
    <xf numFmtId="4" fontId="18" fillId="16" borderId="5" xfId="0" applyNumberFormat="1" applyFont="1" applyFill="1" applyBorder="1" applyAlignment="1">
      <alignment horizontal="right"/>
    </xf>
    <xf numFmtId="0" fontId="25" fillId="8" borderId="5" xfId="0" applyFont="1" applyFill="1" applyBorder="1" applyAlignment="1">
      <alignment horizontal="center"/>
    </xf>
    <xf numFmtId="2" fontId="26" fillId="20" borderId="5" xfId="0" quotePrefix="1" applyNumberFormat="1" applyFont="1" applyFill="1" applyBorder="1" applyAlignment="1">
      <alignment horizontal="left"/>
    </xf>
    <xf numFmtId="2" fontId="26" fillId="21" borderId="5" xfId="0" applyNumberFormat="1" applyFont="1" applyFill="1" applyBorder="1" applyAlignment="1">
      <alignment horizontal="left"/>
    </xf>
    <xf numFmtId="2" fontId="26" fillId="21" borderId="5" xfId="0" quotePrefix="1" applyNumberFormat="1" applyFont="1" applyFill="1" applyBorder="1" applyAlignment="1">
      <alignment horizontal="left"/>
    </xf>
    <xf numFmtId="2" fontId="26" fillId="22" borderId="5" xfId="0" applyNumberFormat="1" applyFont="1" applyFill="1" applyBorder="1" applyAlignment="1">
      <alignment horizontal="left"/>
    </xf>
    <xf numFmtId="2" fontId="26" fillId="22" borderId="5" xfId="0" quotePrefix="1" applyNumberFormat="1" applyFont="1" applyFill="1" applyBorder="1" applyAlignment="1">
      <alignment horizontal="left"/>
    </xf>
    <xf numFmtId="2" fontId="24" fillId="18" borderId="5" xfId="0" applyNumberFormat="1" applyFont="1" applyFill="1" applyBorder="1" applyAlignment="1">
      <alignment horizontal="left"/>
    </xf>
    <xf numFmtId="2" fontId="24" fillId="23" borderId="5" xfId="0" applyNumberFormat="1" applyFont="1" applyFill="1" applyBorder="1" applyAlignment="1">
      <alignment horizontal="left"/>
    </xf>
    <xf numFmtId="2" fontId="24" fillId="12" borderId="5" xfId="0" applyNumberFormat="1" applyFont="1" applyFill="1" applyBorder="1" applyAlignment="1">
      <alignment horizontal="left"/>
    </xf>
    <xf numFmtId="2" fontId="24" fillId="13" borderId="5" xfId="0" applyNumberFormat="1" applyFont="1" applyFill="1" applyBorder="1" applyAlignment="1">
      <alignment horizontal="left"/>
    </xf>
    <xf numFmtId="2" fontId="26" fillId="24" borderId="6" xfId="0" applyNumberFormat="1" applyFont="1" applyFill="1" applyBorder="1" applyAlignment="1">
      <alignment horizontal="left"/>
    </xf>
    <xf numFmtId="4" fontId="18" fillId="9" borderId="5" xfId="0" applyNumberFormat="1" applyFont="1" applyFill="1" applyBorder="1"/>
    <xf numFmtId="4" fontId="19" fillId="10" borderId="5" xfId="0" applyNumberFormat="1" applyFont="1" applyFill="1" applyBorder="1"/>
    <xf numFmtId="4" fontId="19" fillId="12" borderId="5" xfId="0" applyNumberFormat="1" applyFont="1" applyFill="1" applyBorder="1"/>
    <xf numFmtId="4" fontId="19" fillId="13" borderId="5" xfId="0" applyNumberFormat="1" applyFont="1" applyFill="1" applyBorder="1"/>
    <xf numFmtId="4" fontId="19" fillId="15" borderId="5" xfId="0" applyNumberFormat="1" applyFont="1" applyFill="1" applyBorder="1"/>
    <xf numFmtId="4" fontId="18" fillId="16" borderId="5" xfId="0" applyNumberFormat="1" applyFont="1" applyFill="1" applyBorder="1"/>
    <xf numFmtId="2" fontId="26" fillId="25" borderId="5" xfId="0" applyNumberFormat="1" applyFont="1" applyFill="1" applyBorder="1" applyAlignment="1">
      <alignment horizontal="left"/>
    </xf>
    <xf numFmtId="2" fontId="24" fillId="12" borderId="5" xfId="0" quotePrefix="1" applyNumberFormat="1" applyFont="1" applyFill="1" applyBorder="1" applyAlignment="1">
      <alignment horizontal="left"/>
    </xf>
    <xf numFmtId="2" fontId="24" fillId="24" borderId="6" xfId="0" applyNumberFormat="1" applyFont="1" applyFill="1" applyBorder="1" applyAlignment="1">
      <alignment horizontal="left"/>
    </xf>
    <xf numFmtId="4" fontId="20" fillId="17" borderId="5" xfId="0" applyNumberFormat="1" applyFont="1" applyFill="1" applyBorder="1"/>
    <xf numFmtId="4" fontId="20" fillId="0" borderId="0" xfId="0" applyNumberFormat="1" applyFont="1" applyAlignment="1">
      <alignment horizontal="right"/>
    </xf>
    <xf numFmtId="4" fontId="0" fillId="0" borderId="0" xfId="0" applyNumberFormat="1" applyFont="1" applyAlignment="1">
      <alignment horizontal="right"/>
    </xf>
    <xf numFmtId="0" fontId="23" fillId="17" borderId="5" xfId="0" applyFont="1" applyFill="1" applyBorder="1"/>
    <xf numFmtId="167" fontId="23" fillId="26" borderId="5" xfId="0" applyNumberFormat="1" applyFont="1" applyFill="1" applyBorder="1"/>
    <xf numFmtId="167" fontId="0" fillId="0" borderId="0" xfId="0" applyNumberFormat="1" applyFont="1"/>
    <xf numFmtId="167" fontId="23" fillId="26" borderId="6" xfId="0" applyNumberFormat="1" applyFont="1" applyFill="1" applyBorder="1"/>
    <xf numFmtId="4" fontId="20" fillId="0" borderId="0" xfId="0" applyNumberFormat="1" applyFont="1"/>
    <xf numFmtId="4" fontId="19" fillId="17" borderId="5" xfId="0" applyNumberFormat="1" applyFont="1" applyFill="1" applyBorder="1" applyAlignment="1">
      <alignment horizontal="center"/>
    </xf>
    <xf numFmtId="4" fontId="19" fillId="0" borderId="0" xfId="0" applyNumberFormat="1" applyFont="1" applyAlignment="1">
      <alignment horizontal="right"/>
    </xf>
    <xf numFmtId="0" fontId="24" fillId="17" borderId="5" xfId="0" applyFont="1" applyFill="1" applyBorder="1" applyAlignment="1">
      <alignment horizontal="center" vertical="center"/>
    </xf>
    <xf numFmtId="167" fontId="24" fillId="26" borderId="5" xfId="0" applyNumberFormat="1" applyFont="1" applyFill="1" applyBorder="1"/>
    <xf numFmtId="167" fontId="24" fillId="26" borderId="6" xfId="0" applyNumberFormat="1" applyFont="1" applyFill="1" applyBorder="1"/>
    <xf numFmtId="4" fontId="19" fillId="0" borderId="0" xfId="0" applyNumberFormat="1" applyFont="1"/>
    <xf numFmtId="4" fontId="20" fillId="17" borderId="5" xfId="0" applyNumberFormat="1" applyFont="1" applyFill="1" applyBorder="1" applyAlignment="1">
      <alignment horizontal="left"/>
    </xf>
    <xf numFmtId="4" fontId="20" fillId="0" borderId="0" xfId="0" applyNumberFormat="1" applyFont="1" applyAlignment="1">
      <alignment horizontal="left"/>
    </xf>
    <xf numFmtId="167" fontId="0" fillId="26" borderId="5" xfId="0" applyNumberFormat="1" applyFont="1" applyFill="1" applyBorder="1"/>
    <xf numFmtId="167" fontId="27" fillId="26" borderId="5" xfId="0" applyNumberFormat="1" applyFont="1" applyFill="1" applyBorder="1"/>
    <xf numFmtId="167" fontId="27" fillId="26" borderId="6" xfId="0" applyNumberFormat="1" applyFont="1" applyFill="1" applyBorder="1"/>
    <xf numFmtId="4" fontId="19" fillId="17" borderId="5" xfId="0" applyNumberFormat="1" applyFont="1" applyFill="1" applyBorder="1"/>
    <xf numFmtId="4" fontId="28" fillId="0" borderId="0" xfId="0" applyNumberFormat="1" applyFont="1" applyAlignment="1">
      <alignment horizontal="right"/>
    </xf>
    <xf numFmtId="4" fontId="21" fillId="17" borderId="5" xfId="0" applyNumberFormat="1" applyFont="1" applyFill="1" applyBorder="1"/>
    <xf numFmtId="4" fontId="21" fillId="0" borderId="0" xfId="0" applyNumberFormat="1" applyFont="1"/>
    <xf numFmtId="4" fontId="21" fillId="0" borderId="0" xfId="0" applyNumberFormat="1" applyFont="1" applyAlignment="1">
      <alignment horizontal="right"/>
    </xf>
    <xf numFmtId="0" fontId="24" fillId="17" borderId="5" xfId="0" applyFont="1" applyFill="1" applyBorder="1"/>
    <xf numFmtId="167" fontId="23" fillId="26" borderId="5" xfId="0" applyNumberFormat="1" applyFont="1" applyFill="1" applyBorder="1" applyAlignment="1">
      <alignment horizontal="right"/>
    </xf>
    <xf numFmtId="4" fontId="3" fillId="0" borderId="0" xfId="0" applyNumberFormat="1" applyFont="1" applyAlignment="1"/>
    <xf numFmtId="10" fontId="2" fillId="0" borderId="0" xfId="0" applyNumberFormat="1" applyFont="1"/>
    <xf numFmtId="4" fontId="29" fillId="27" borderId="0" xfId="0" applyNumberFormat="1" applyFont="1" applyFill="1" applyAlignment="1"/>
    <xf numFmtId="4" fontId="30" fillId="0" borderId="0" xfId="0" applyNumberFormat="1" applyFont="1" applyAlignment="1">
      <alignment horizontal="center"/>
    </xf>
    <xf numFmtId="10" fontId="3" fillId="0" borderId="0" xfId="0" applyNumberFormat="1" applyFont="1"/>
    <xf numFmtId="4" fontId="29" fillId="28" borderId="0" xfId="0" applyNumberFormat="1" applyFont="1" applyFill="1" applyAlignment="1"/>
    <xf numFmtId="4" fontId="30" fillId="29" borderId="0" xfId="0" applyNumberFormat="1" applyFont="1" applyFill="1" applyAlignment="1"/>
    <xf numFmtId="4" fontId="30" fillId="30" borderId="0" xfId="0" applyNumberFormat="1" applyFont="1" applyFill="1" applyAlignment="1"/>
    <xf numFmtId="4" fontId="30" fillId="31" borderId="0" xfId="0" applyNumberFormat="1" applyFont="1" applyFill="1" applyAlignment="1"/>
    <xf numFmtId="0" fontId="0" fillId="17" borderId="5" xfId="0" applyFont="1" applyFill="1" applyBorder="1"/>
    <xf numFmtId="4" fontId="30" fillId="32" borderId="0" xfId="0" applyNumberFormat="1" applyFont="1" applyFill="1" applyAlignment="1"/>
    <xf numFmtId="4" fontId="30" fillId="33" borderId="0" xfId="0" applyNumberFormat="1" applyFont="1" applyFill="1" applyAlignment="1"/>
    <xf numFmtId="4" fontId="30" fillId="34" borderId="0" xfId="0" applyNumberFormat="1" applyFont="1" applyFill="1" applyAlignment="1"/>
    <xf numFmtId="0" fontId="0" fillId="19" borderId="5" xfId="0" applyFont="1" applyFill="1" applyBorder="1"/>
    <xf numFmtId="0" fontId="2" fillId="19" borderId="5" xfId="0" applyFont="1" applyFill="1" applyBorder="1"/>
    <xf numFmtId="0" fontId="1" fillId="0" borderId="0" xfId="0" applyFont="1"/>
    <xf numFmtId="168" fontId="0" fillId="0" borderId="0" xfId="0" applyNumberFormat="1" applyFont="1"/>
    <xf numFmtId="0" fontId="0" fillId="0" borderId="0" xfId="0" applyFont="1" applyAlignment="1">
      <alignment wrapText="1"/>
    </xf>
    <xf numFmtId="0" fontId="10" fillId="35" borderId="7" xfId="0" applyFont="1" applyFill="1" applyBorder="1" applyAlignment="1"/>
    <xf numFmtId="169" fontId="0" fillId="0" borderId="0" xfId="0" applyNumberFormat="1" applyFont="1"/>
    <xf numFmtId="3" fontId="0" fillId="0" borderId="0" xfId="0" applyNumberFormat="1" applyFont="1"/>
    <xf numFmtId="0" fontId="31" fillId="0" borderId="1" xfId="0" applyFont="1" applyBorder="1" applyAlignment="1">
      <alignment horizontal="center"/>
    </xf>
    <xf numFmtId="0" fontId="31" fillId="0" borderId="1" xfId="0" applyFont="1" applyBorder="1" applyAlignment="1">
      <alignment horizontal="center"/>
    </xf>
    <xf numFmtId="0" fontId="11" fillId="0" borderId="0" xfId="0" applyFont="1" applyAlignment="1"/>
    <xf numFmtId="0" fontId="11" fillId="0" borderId="1" xfId="0" applyFont="1" applyBorder="1" applyAlignment="1"/>
    <xf numFmtId="0" fontId="32" fillId="0" borderId="1" xfId="0" applyFont="1" applyBorder="1" applyAlignment="1">
      <alignment horizontal="center" vertical="top"/>
    </xf>
    <xf numFmtId="0" fontId="31" fillId="36" borderId="1" xfId="0" applyFont="1" applyFill="1" applyBorder="1" applyAlignment="1">
      <alignment horizontal="center"/>
    </xf>
    <xf numFmtId="0" fontId="33" fillId="36" borderId="1" xfId="0" applyFont="1" applyFill="1" applyBorder="1" applyAlignment="1">
      <alignment horizontal="center"/>
    </xf>
    <xf numFmtId="0" fontId="11" fillId="0" borderId="1" xfId="0" applyFont="1" applyBorder="1" applyAlignment="1"/>
    <xf numFmtId="0" fontId="11" fillId="0" borderId="0" xfId="0" applyFont="1" applyAlignment="1"/>
    <xf numFmtId="9" fontId="11" fillId="0" borderId="1" xfId="0" applyNumberFormat="1" applyFont="1" applyBorder="1" applyAlignment="1">
      <alignment horizontal="right"/>
    </xf>
    <xf numFmtId="0" fontId="11" fillId="0" borderId="1" xfId="0" applyFont="1" applyBorder="1" applyAlignment="1">
      <alignment horizontal="right"/>
    </xf>
    <xf numFmtId="10" fontId="11" fillId="0" borderId="1" xfId="0" applyNumberFormat="1" applyFont="1" applyBorder="1" applyAlignment="1">
      <alignment horizontal="right"/>
    </xf>
    <xf numFmtId="0" fontId="32" fillId="36" borderId="1" xfId="0" applyFont="1" applyFill="1" applyBorder="1" applyAlignment="1">
      <alignment horizontal="center"/>
    </xf>
    <xf numFmtId="0" fontId="31" fillId="37" borderId="1" xfId="0" applyFont="1" applyFill="1" applyBorder="1" applyAlignment="1">
      <alignment horizontal="center"/>
    </xf>
    <xf numFmtId="0" fontId="32" fillId="37" borderId="1" xfId="0" applyFont="1" applyFill="1" applyBorder="1" applyAlignment="1">
      <alignment horizontal="center"/>
    </xf>
    <xf numFmtId="9" fontId="11" fillId="0" borderId="0" xfId="0" applyNumberFormat="1" applyFont="1" applyAlignment="1">
      <alignment horizontal="right"/>
    </xf>
    <xf numFmtId="9" fontId="34" fillId="3" borderId="0" xfId="0" applyNumberFormat="1" applyFont="1" applyFill="1" applyAlignment="1">
      <alignment horizontal="right"/>
    </xf>
    <xf numFmtId="10" fontId="11" fillId="0" borderId="0" xfId="0" applyNumberFormat="1" applyFont="1" applyAlignment="1">
      <alignment horizontal="right"/>
    </xf>
    <xf numFmtId="4" fontId="4" fillId="0" borderId="0" xfId="0" applyNumberFormat="1" applyFont="1"/>
    <xf numFmtId="4" fontId="4" fillId="0" borderId="0" xfId="0" applyNumberFormat="1" applyFont="1" applyAlignment="1"/>
    <xf numFmtId="9" fontId="34" fillId="3" borderId="13" xfId="0" applyNumberFormat="1" applyFont="1" applyFill="1" applyBorder="1" applyAlignment="1">
      <alignment horizontal="right"/>
    </xf>
    <xf numFmtId="0" fontId="11" fillId="0" borderId="0" xfId="0" applyFont="1" applyAlignment="1">
      <alignment horizontal="center"/>
    </xf>
    <xf numFmtId="0" fontId="35" fillId="0" borderId="0" xfId="0" applyFont="1" applyAlignment="1">
      <alignment horizontal="right"/>
    </xf>
    <xf numFmtId="10" fontId="11" fillId="0" borderId="0" xfId="0" applyNumberFormat="1" applyFont="1" applyAlignment="1">
      <alignment horizontal="left"/>
    </xf>
    <xf numFmtId="0" fontId="36" fillId="0" borderId="0" xfId="0" applyFont="1" applyAlignment="1"/>
    <xf numFmtId="0" fontId="36" fillId="0" borderId="0" xfId="0" applyFont="1" applyAlignment="1">
      <alignment horizontal="right"/>
    </xf>
    <xf numFmtId="0" fontId="36" fillId="3" borderId="0" xfId="0" applyFont="1" applyFill="1" applyAlignment="1">
      <alignment horizontal="right"/>
    </xf>
    <xf numFmtId="0" fontId="36" fillId="3" borderId="14" xfId="0" applyFont="1" applyFill="1" applyBorder="1" applyAlignment="1">
      <alignment horizontal="right"/>
    </xf>
    <xf numFmtId="0" fontId="0" fillId="0" borderId="0" xfId="0" applyFont="1" applyAlignment="1"/>
    <xf numFmtId="0" fontId="0" fillId="19" borderId="15" xfId="0" applyFont="1" applyFill="1" applyBorder="1"/>
    <xf numFmtId="2" fontId="0" fillId="0" borderId="0" xfId="0" applyNumberFormat="1" applyFont="1" applyAlignment="1">
      <alignment wrapText="1"/>
    </xf>
    <xf numFmtId="0" fontId="37" fillId="0" borderId="0" xfId="0" applyFont="1"/>
    <xf numFmtId="0" fontId="0" fillId="0" borderId="0" xfId="0" applyFont="1" applyAlignment="1">
      <alignment wrapText="1"/>
    </xf>
    <xf numFmtId="164" fontId="0" fillId="0" borderId="0" xfId="0" applyNumberFormat="1" applyFont="1"/>
    <xf numFmtId="0" fontId="7" fillId="0" borderId="0" xfId="0" applyFont="1"/>
    <xf numFmtId="2" fontId="7" fillId="0" borderId="0" xfId="0" applyNumberFormat="1" applyFont="1"/>
    <xf numFmtId="2" fontId="4" fillId="0" borderId="0" xfId="0" applyNumberFormat="1" applyFont="1"/>
    <xf numFmtId="0" fontId="1" fillId="39" borderId="5" xfId="0" applyFont="1" applyFill="1" applyBorder="1"/>
    <xf numFmtId="164" fontId="1" fillId="39" borderId="5" xfId="0" applyNumberFormat="1" applyFont="1" applyFill="1" applyBorder="1"/>
    <xf numFmtId="0" fontId="38" fillId="0" borderId="0" xfId="0" applyFont="1"/>
    <xf numFmtId="164" fontId="38" fillId="0" borderId="0" xfId="0" applyNumberFormat="1" applyFont="1"/>
    <xf numFmtId="0" fontId="0" fillId="39" borderId="5" xfId="0" applyFont="1" applyFill="1" applyBorder="1"/>
    <xf numFmtId="164" fontId="0" fillId="39" borderId="5" xfId="0" applyNumberFormat="1" applyFont="1" applyFill="1" applyBorder="1"/>
    <xf numFmtId="0" fontId="39" fillId="0" borderId="0" xfId="0" applyFont="1" applyAlignment="1"/>
    <xf numFmtId="0" fontId="39" fillId="0" borderId="0" xfId="0" applyFont="1"/>
    <xf numFmtId="2" fontId="39" fillId="0" borderId="0" xfId="0" applyNumberFormat="1" applyFont="1"/>
    <xf numFmtId="170" fontId="7" fillId="0" borderId="0" xfId="0" applyNumberFormat="1" applyFont="1"/>
    <xf numFmtId="2" fontId="40" fillId="26" borderId="0" xfId="0" applyNumberFormat="1" applyFont="1" applyFill="1"/>
    <xf numFmtId="0" fontId="0" fillId="40" borderId="5" xfId="0" applyFont="1" applyFill="1" applyBorder="1"/>
    <xf numFmtId="164" fontId="0" fillId="41" borderId="5" xfId="0" applyNumberFormat="1" applyFont="1" applyFill="1" applyBorder="1"/>
    <xf numFmtId="164" fontId="0" fillId="40" borderId="5" xfId="0" applyNumberFormat="1" applyFont="1" applyFill="1" applyBorder="1"/>
    <xf numFmtId="2" fontId="4" fillId="0" borderId="0" xfId="0" applyNumberFormat="1" applyFont="1" applyAlignment="1"/>
    <xf numFmtId="2" fontId="7" fillId="0" borderId="0" xfId="0" applyNumberFormat="1" applyFont="1" applyAlignment="1"/>
    <xf numFmtId="170" fontId="4" fillId="0" borderId="0" xfId="0" applyNumberFormat="1" applyFont="1"/>
    <xf numFmtId="170" fontId="12" fillId="0" borderId="0" xfId="0" applyNumberFormat="1" applyFont="1"/>
    <xf numFmtId="0" fontId="1" fillId="0" borderId="0" xfId="0" applyFont="1" applyAlignment="1">
      <alignment wrapText="1"/>
    </xf>
    <xf numFmtId="170" fontId="4" fillId="0" borderId="0" xfId="0" applyNumberFormat="1" applyFont="1" applyAlignment="1"/>
    <xf numFmtId="2" fontId="41" fillId="26" borderId="0" xfId="0" applyNumberFormat="1" applyFont="1" applyFill="1"/>
    <xf numFmtId="0" fontId="4" fillId="0" borderId="0" xfId="0" applyFont="1" applyAlignment="1">
      <alignment wrapText="1"/>
    </xf>
    <xf numFmtId="0" fontId="15" fillId="0" borderId="0" xfId="0" applyFont="1" applyAlignment="1">
      <alignment horizontal="left" vertical="top"/>
    </xf>
    <xf numFmtId="0" fontId="30" fillId="0" borderId="0" xfId="0" applyFont="1" applyAlignment="1"/>
    <xf numFmtId="0" fontId="44" fillId="0" borderId="20" xfId="0" applyFont="1" applyBorder="1" applyAlignment="1">
      <alignment horizontal="left" vertical="top"/>
    </xf>
    <xf numFmtId="0" fontId="45" fillId="42" borderId="12" xfId="0" applyFont="1" applyFill="1" applyBorder="1" applyAlignment="1">
      <alignment horizontal="left" vertical="top"/>
    </xf>
    <xf numFmtId="0" fontId="45" fillId="42" borderId="20" xfId="0" applyFont="1" applyFill="1" applyBorder="1" applyAlignment="1">
      <alignment horizontal="left" vertical="top"/>
    </xf>
    <xf numFmtId="3" fontId="45" fillId="42" borderId="20" xfId="0" applyNumberFormat="1" applyFont="1" applyFill="1" applyBorder="1" applyAlignment="1">
      <alignment horizontal="left" vertical="top"/>
    </xf>
    <xf numFmtId="0" fontId="46" fillId="42" borderId="20" xfId="0" applyFont="1" applyFill="1" applyBorder="1" applyAlignment="1">
      <alignment horizontal="right" vertical="top"/>
    </xf>
    <xf numFmtId="0" fontId="46" fillId="42" borderId="20" xfId="0" applyFont="1" applyFill="1" applyBorder="1" applyAlignment="1">
      <alignment horizontal="left" vertical="top"/>
    </xf>
    <xf numFmtId="0" fontId="15" fillId="42" borderId="20" xfId="0" applyFont="1" applyFill="1" applyBorder="1" applyAlignment="1">
      <alignment horizontal="left" vertical="top"/>
    </xf>
    <xf numFmtId="0" fontId="44" fillId="43" borderId="12" xfId="0" applyFont="1" applyFill="1" applyBorder="1" applyAlignment="1">
      <alignment horizontal="left" vertical="top"/>
    </xf>
    <xf numFmtId="0" fontId="44" fillId="43" borderId="20" xfId="0" applyFont="1" applyFill="1" applyBorder="1" applyAlignment="1">
      <alignment horizontal="left" vertical="top"/>
    </xf>
    <xf numFmtId="3" fontId="44" fillId="43" borderId="20" xfId="0" applyNumberFormat="1" applyFont="1" applyFill="1" applyBorder="1" applyAlignment="1">
      <alignment horizontal="left" vertical="top"/>
    </xf>
    <xf numFmtId="0" fontId="47" fillId="43" borderId="20" xfId="0" applyFont="1" applyFill="1" applyBorder="1" applyAlignment="1">
      <alignment horizontal="left" vertical="top"/>
    </xf>
    <xf numFmtId="0" fontId="48" fillId="43" borderId="20" xfId="0" applyFont="1" applyFill="1" applyBorder="1" applyAlignment="1">
      <alignment horizontal="right" vertical="top"/>
    </xf>
    <xf numFmtId="0" fontId="47" fillId="43" borderId="20" xfId="0" applyFont="1" applyFill="1" applyBorder="1" applyAlignment="1">
      <alignment horizontal="left" vertical="top"/>
    </xf>
    <xf numFmtId="0" fontId="45" fillId="43" borderId="12" xfId="0" applyFont="1" applyFill="1" applyBorder="1" applyAlignment="1">
      <alignment horizontal="left"/>
    </xf>
    <xf numFmtId="0" fontId="45" fillId="43" borderId="20" xfId="0" applyFont="1" applyFill="1" applyBorder="1" applyAlignment="1">
      <alignment horizontal="left"/>
    </xf>
    <xf numFmtId="0" fontId="45" fillId="43" borderId="20" xfId="0" applyFont="1" applyFill="1" applyBorder="1" applyAlignment="1">
      <alignment horizontal="left" vertical="top"/>
    </xf>
    <xf numFmtId="3" fontId="45" fillId="43" borderId="20" xfId="0" applyNumberFormat="1" applyFont="1" applyFill="1" applyBorder="1" applyAlignment="1">
      <alignment horizontal="left"/>
    </xf>
    <xf numFmtId="0" fontId="46" fillId="43" borderId="20" xfId="0" applyFont="1" applyFill="1" applyBorder="1" applyAlignment="1">
      <alignment horizontal="right"/>
    </xf>
    <xf numFmtId="0" fontId="45" fillId="43" borderId="12" xfId="0" applyFont="1" applyFill="1" applyBorder="1" applyAlignment="1">
      <alignment horizontal="left" vertical="top"/>
    </xf>
    <xf numFmtId="3" fontId="45" fillId="43" borderId="20" xfId="0" applyNumberFormat="1" applyFont="1" applyFill="1" applyBorder="1" applyAlignment="1">
      <alignment horizontal="left" vertical="top"/>
    </xf>
    <xf numFmtId="0" fontId="15" fillId="43" borderId="20" xfId="0" applyFont="1" applyFill="1" applyBorder="1" applyAlignment="1">
      <alignment horizontal="left" vertical="top"/>
    </xf>
    <xf numFmtId="0" fontId="46" fillId="43" borderId="20" xfId="0" applyFont="1" applyFill="1" applyBorder="1" applyAlignment="1">
      <alignment horizontal="right" vertical="top"/>
    </xf>
    <xf numFmtId="0" fontId="45" fillId="44" borderId="12" xfId="0" applyFont="1" applyFill="1" applyBorder="1" applyAlignment="1">
      <alignment horizontal="left" vertical="top"/>
    </xf>
    <xf numFmtId="0" fontId="45" fillId="44" borderId="20" xfId="0" applyFont="1" applyFill="1" applyBorder="1" applyAlignment="1">
      <alignment horizontal="left" vertical="top"/>
    </xf>
    <xf numFmtId="3" fontId="45" fillId="44" borderId="20" xfId="0" applyNumberFormat="1" applyFont="1" applyFill="1" applyBorder="1" applyAlignment="1">
      <alignment horizontal="left" vertical="top"/>
    </xf>
    <xf numFmtId="0" fontId="46" fillId="44" borderId="20" xfId="0" applyFont="1" applyFill="1" applyBorder="1" applyAlignment="1">
      <alignment horizontal="right" vertical="top"/>
    </xf>
    <xf numFmtId="0" fontId="46" fillId="44" borderId="20" xfId="0" applyFont="1" applyFill="1" applyBorder="1" applyAlignment="1">
      <alignment horizontal="left" vertical="top"/>
    </xf>
    <xf numFmtId="0" fontId="15" fillId="44" borderId="20" xfId="0" applyFont="1" applyFill="1" applyBorder="1" applyAlignment="1">
      <alignment horizontal="left" vertical="top"/>
    </xf>
    <xf numFmtId="0" fontId="15" fillId="44" borderId="20" xfId="0" applyFont="1" applyFill="1" applyBorder="1" applyAlignment="1">
      <alignment horizontal="left" vertical="top"/>
    </xf>
    <xf numFmtId="0" fontId="45" fillId="44" borderId="12" xfId="0" applyFont="1" applyFill="1" applyBorder="1" applyAlignment="1">
      <alignment horizontal="left"/>
    </xf>
    <xf numFmtId="0" fontId="45" fillId="44" borderId="20" xfId="0" applyFont="1" applyFill="1" applyBorder="1" applyAlignment="1">
      <alignment horizontal="left"/>
    </xf>
    <xf numFmtId="3" fontId="45" fillId="44" borderId="20" xfId="0" applyNumberFormat="1" applyFont="1" applyFill="1" applyBorder="1" applyAlignment="1">
      <alignment horizontal="left"/>
    </xf>
    <xf numFmtId="0" fontId="46" fillId="44" borderId="20" xfId="0" applyFont="1" applyFill="1" applyBorder="1" applyAlignment="1">
      <alignment horizontal="right"/>
    </xf>
    <xf numFmtId="0" fontId="45" fillId="45" borderId="12" xfId="0" applyFont="1" applyFill="1" applyBorder="1" applyAlignment="1">
      <alignment horizontal="left" vertical="top"/>
    </xf>
    <xf numFmtId="0" fontId="45" fillId="45" borderId="20" xfId="0" applyFont="1" applyFill="1" applyBorder="1" applyAlignment="1">
      <alignment horizontal="left" vertical="top"/>
    </xf>
    <xf numFmtId="3" fontId="45" fillId="45" borderId="20" xfId="0" applyNumberFormat="1" applyFont="1" applyFill="1" applyBorder="1" applyAlignment="1">
      <alignment horizontal="left" vertical="top"/>
    </xf>
    <xf numFmtId="0" fontId="45" fillId="45" borderId="20" xfId="0" applyFont="1" applyFill="1" applyBorder="1" applyAlignment="1">
      <alignment horizontal="right" vertical="top"/>
    </xf>
    <xf numFmtId="0" fontId="46" fillId="45" borderId="20" xfId="0" applyFont="1" applyFill="1" applyBorder="1" applyAlignment="1">
      <alignment horizontal="left" vertical="top"/>
    </xf>
    <xf numFmtId="0" fontId="46" fillId="45" borderId="20" xfId="0" applyFont="1" applyFill="1" applyBorder="1" applyAlignment="1">
      <alignment horizontal="right" vertical="top"/>
    </xf>
    <xf numFmtId="0" fontId="46" fillId="43" borderId="20" xfId="0" applyFont="1" applyFill="1" applyBorder="1" applyAlignment="1">
      <alignment horizontal="left" vertical="top"/>
    </xf>
    <xf numFmtId="0" fontId="49" fillId="26" borderId="0" xfId="0" applyFont="1" applyFill="1" applyAlignment="1">
      <alignment horizontal="left"/>
    </xf>
    <xf numFmtId="0" fontId="4" fillId="0" borderId="21" xfId="0" applyFont="1" applyBorder="1" applyAlignment="1"/>
    <xf numFmtId="0" fontId="4" fillId="0" borderId="22" xfId="0" applyFont="1" applyBorder="1"/>
    <xf numFmtId="0" fontId="4" fillId="0" borderId="23" xfId="0" applyFont="1" applyBorder="1"/>
    <xf numFmtId="0" fontId="50" fillId="26" borderId="7" xfId="0" applyFont="1" applyFill="1" applyBorder="1" applyAlignment="1"/>
    <xf numFmtId="0" fontId="11" fillId="0" borderId="0" xfId="0" applyFont="1" applyAlignment="1">
      <alignment horizontal="center"/>
    </xf>
    <xf numFmtId="0" fontId="4" fillId="0" borderId="24" xfId="0" applyFont="1" applyBorder="1"/>
    <xf numFmtId="0" fontId="13" fillId="0" borderId="7" xfId="0" applyFont="1" applyBorder="1" applyAlignment="1"/>
    <xf numFmtId="0" fontId="13" fillId="0" borderId="0" xfId="0" applyFont="1" applyAlignment="1">
      <alignment horizontal="center"/>
    </xf>
    <xf numFmtId="0" fontId="11" fillId="0" borderId="7" xfId="0" applyFont="1" applyBorder="1" applyAlignment="1"/>
    <xf numFmtId="10" fontId="11" fillId="0" borderId="0" xfId="0" applyNumberFormat="1" applyFont="1" applyAlignment="1">
      <alignment horizontal="right"/>
    </xf>
    <xf numFmtId="1" fontId="4" fillId="0" borderId="0" xfId="0" applyNumberFormat="1" applyFont="1"/>
    <xf numFmtId="3" fontId="7" fillId="0" borderId="0" xfId="0" applyNumberFormat="1" applyFont="1"/>
    <xf numFmtId="1" fontId="7" fillId="0" borderId="0" xfId="0" applyNumberFormat="1" applyFont="1"/>
    <xf numFmtId="0" fontId="4" fillId="0" borderId="7" xfId="0" applyFont="1" applyBorder="1" applyAlignment="1"/>
    <xf numFmtId="0" fontId="11" fillId="0" borderId="0" xfId="0" applyFont="1" applyAlignment="1">
      <alignment horizontal="right"/>
    </xf>
    <xf numFmtId="0" fontId="4" fillId="0" borderId="25" xfId="0" applyFont="1" applyBorder="1"/>
    <xf numFmtId="0" fontId="4" fillId="0" borderId="26" xfId="0" applyFont="1" applyBorder="1"/>
    <xf numFmtId="0" fontId="4" fillId="0" borderId="20" xfId="0" applyFont="1" applyBorder="1"/>
    <xf numFmtId="0" fontId="13" fillId="0" borderId="1" xfId="0" applyFont="1" applyBorder="1" applyAlignment="1"/>
    <xf numFmtId="0" fontId="13" fillId="0" borderId="1" xfId="0" applyFont="1" applyBorder="1" applyAlignment="1"/>
    <xf numFmtId="3" fontId="11" fillId="0" borderId="1" xfId="0" applyNumberFormat="1" applyFont="1" applyBorder="1" applyAlignment="1"/>
    <xf numFmtId="3" fontId="4" fillId="0" borderId="1" xfId="0" applyNumberFormat="1" applyFont="1" applyBorder="1"/>
    <xf numFmtId="0" fontId="51" fillId="26" borderId="0" xfId="0" applyFont="1" applyFill="1" applyAlignment="1"/>
    <xf numFmtId="165" fontId="4" fillId="0" borderId="1" xfId="0" applyNumberFormat="1" applyFont="1" applyBorder="1" applyAlignment="1"/>
    <xf numFmtId="0" fontId="31" fillId="26" borderId="1" xfId="0" applyFont="1" applyFill="1" applyBorder="1" applyAlignment="1"/>
    <xf numFmtId="0" fontId="4" fillId="0" borderId="1" xfId="0" applyFont="1" applyBorder="1" applyAlignment="1"/>
    <xf numFmtId="0" fontId="52" fillId="0" borderId="0" xfId="0" applyFont="1"/>
    <xf numFmtId="0" fontId="53" fillId="0" borderId="0" xfId="0" applyFont="1"/>
    <xf numFmtId="0" fontId="52" fillId="0" borderId="0" xfId="0" applyFont="1" applyAlignment="1">
      <alignment horizontal="center"/>
    </xf>
    <xf numFmtId="0" fontId="9" fillId="3" borderId="27" xfId="0" applyFont="1" applyFill="1" applyBorder="1"/>
    <xf numFmtId="170" fontId="9" fillId="3" borderId="27" xfId="0" applyNumberFormat="1" applyFont="1" applyFill="1" applyBorder="1"/>
    <xf numFmtId="4" fontId="9" fillId="3" borderId="27" xfId="0" applyNumberFormat="1" applyFont="1" applyFill="1" applyBorder="1"/>
    <xf numFmtId="172" fontId="9" fillId="3" borderId="27" xfId="0" applyNumberFormat="1" applyFont="1" applyFill="1" applyBorder="1"/>
    <xf numFmtId="3" fontId="9" fillId="3" borderId="27" xfId="0" applyNumberFormat="1" applyFont="1" applyFill="1" applyBorder="1"/>
    <xf numFmtId="165" fontId="9" fillId="3" borderId="27" xfId="0" applyNumberFormat="1" applyFont="1" applyFill="1" applyBorder="1"/>
    <xf numFmtId="4" fontId="38" fillId="0" borderId="0" xfId="0" applyNumberFormat="1" applyFont="1"/>
    <xf numFmtId="0" fontId="54" fillId="46" borderId="1" xfId="0" applyFont="1" applyFill="1" applyBorder="1" applyAlignment="1"/>
    <xf numFmtId="0" fontId="54" fillId="46" borderId="9" xfId="0" applyFont="1" applyFill="1" applyBorder="1" applyAlignment="1"/>
    <xf numFmtId="0" fontId="54" fillId="4" borderId="9" xfId="0" applyFont="1" applyFill="1" applyBorder="1" applyAlignment="1"/>
    <xf numFmtId="0" fontId="48" fillId="4" borderId="9" xfId="0" applyFont="1" applyFill="1" applyBorder="1" applyAlignment="1"/>
    <xf numFmtId="0" fontId="46" fillId="0" borderId="12" xfId="0" applyFont="1" applyBorder="1" applyAlignment="1"/>
    <xf numFmtId="0" fontId="46" fillId="0" borderId="20" xfId="0" applyFont="1" applyBorder="1" applyAlignment="1"/>
    <xf numFmtId="0" fontId="46" fillId="4" borderId="20" xfId="0" applyFont="1" applyFill="1" applyBorder="1" applyAlignment="1"/>
    <xf numFmtId="0" fontId="46" fillId="0" borderId="20" xfId="0" applyFont="1" applyBorder="1" applyAlignment="1">
      <alignment horizontal="right"/>
    </xf>
    <xf numFmtId="4" fontId="46" fillId="0" borderId="20" xfId="0" applyNumberFormat="1" applyFont="1" applyBorder="1" applyAlignment="1">
      <alignment horizontal="right"/>
    </xf>
    <xf numFmtId="0" fontId="45" fillId="26" borderId="12" xfId="0" applyFont="1" applyFill="1" applyBorder="1" applyAlignment="1">
      <alignment horizontal="left"/>
    </xf>
    <xf numFmtId="0" fontId="45" fillId="26" borderId="20" xfId="0" applyFont="1" applyFill="1" applyBorder="1" applyAlignment="1">
      <alignment horizontal="left"/>
    </xf>
    <xf numFmtId="0" fontId="45" fillId="0" borderId="20" xfId="0" applyFont="1" applyBorder="1" applyAlignment="1">
      <alignment horizontal="left"/>
    </xf>
    <xf numFmtId="0" fontId="45" fillId="4" borderId="20" xfId="0" applyFont="1" applyFill="1" applyBorder="1" applyAlignment="1">
      <alignment horizontal="left"/>
    </xf>
    <xf numFmtId="0" fontId="45" fillId="0" borderId="20" xfId="0" applyFont="1" applyBorder="1" applyAlignment="1">
      <alignment horizontal="right"/>
    </xf>
    <xf numFmtId="4" fontId="45" fillId="0" borderId="20" xfId="0" applyNumberFormat="1" applyFont="1" applyBorder="1" applyAlignment="1">
      <alignment horizontal="right"/>
    </xf>
    <xf numFmtId="0" fontId="45" fillId="0" borderId="12" xfId="0" applyFont="1" applyBorder="1" applyAlignment="1">
      <alignment horizontal="left"/>
    </xf>
    <xf numFmtId="0" fontId="45" fillId="0" borderId="20" xfId="0" applyFont="1" applyBorder="1" applyAlignment="1">
      <alignment horizontal="right"/>
    </xf>
    <xf numFmtId="9" fontId="4" fillId="0" borderId="0" xfId="0" applyNumberFormat="1" applyFont="1" applyAlignment="1"/>
    <xf numFmtId="173" fontId="4" fillId="0" borderId="0" xfId="0" applyNumberFormat="1" applyFont="1" applyAlignment="1"/>
    <xf numFmtId="10" fontId="4" fillId="0" borderId="0" xfId="0" applyNumberFormat="1" applyFont="1"/>
    <xf numFmtId="0" fontId="48" fillId="47" borderId="10" xfId="0" applyFont="1" applyFill="1" applyBorder="1" applyAlignment="1"/>
    <xf numFmtId="0" fontId="48" fillId="47" borderId="23" xfId="0" applyFont="1" applyFill="1" applyBorder="1" applyAlignment="1"/>
    <xf numFmtId="0" fontId="13" fillId="4" borderId="10" xfId="0" applyFont="1" applyFill="1" applyBorder="1" applyAlignment="1"/>
    <xf numFmtId="0" fontId="48" fillId="47" borderId="10" xfId="0" applyFont="1" applyFill="1" applyBorder="1" applyAlignment="1"/>
    <xf numFmtId="0" fontId="44" fillId="47" borderId="23" xfId="0" applyFont="1" applyFill="1" applyBorder="1" applyAlignment="1"/>
    <xf numFmtId="0" fontId="45" fillId="0" borderId="1" xfId="0" applyFont="1" applyBorder="1" applyAlignment="1">
      <alignment horizontal="left"/>
    </xf>
    <xf numFmtId="0" fontId="45" fillId="0" borderId="9" xfId="0" applyFont="1" applyBorder="1" applyAlignment="1">
      <alignment horizontal="left"/>
    </xf>
    <xf numFmtId="4" fontId="11" fillId="4" borderId="1" xfId="0" applyNumberFormat="1" applyFont="1" applyFill="1" applyBorder="1" applyAlignment="1"/>
    <xf numFmtId="0" fontId="45" fillId="0" borderId="1" xfId="0" applyFont="1" applyBorder="1" applyAlignment="1">
      <alignment horizontal="right"/>
    </xf>
    <xf numFmtId="4" fontId="45" fillId="0" borderId="9" xfId="0" applyNumberFormat="1" applyFont="1" applyBorder="1" applyAlignment="1">
      <alignment horizontal="right"/>
    </xf>
    <xf numFmtId="0" fontId="45" fillId="0" borderId="9" xfId="0" applyFont="1" applyBorder="1" applyAlignment="1">
      <alignment horizontal="right"/>
    </xf>
    <xf numFmtId="4" fontId="11" fillId="4" borderId="12" xfId="0" applyNumberFormat="1" applyFont="1" applyFill="1" applyBorder="1" applyAlignment="1"/>
    <xf numFmtId="4" fontId="45" fillId="0" borderId="12" xfId="0" applyNumberFormat="1" applyFont="1" applyBorder="1" applyAlignment="1">
      <alignment horizontal="right"/>
    </xf>
    <xf numFmtId="0" fontId="45" fillId="0" borderId="12" xfId="0" applyFont="1" applyBorder="1" applyAlignment="1">
      <alignment horizontal="right"/>
    </xf>
    <xf numFmtId="0" fontId="11" fillId="4" borderId="12" xfId="0" applyFont="1" applyFill="1" applyBorder="1" applyAlignment="1"/>
    <xf numFmtId="4" fontId="45" fillId="0" borderId="20" xfId="0" applyNumberFormat="1" applyFont="1" applyBorder="1" applyAlignment="1">
      <alignment horizontal="left"/>
    </xf>
    <xf numFmtId="4" fontId="55" fillId="48" borderId="20" xfId="0" applyNumberFormat="1" applyFont="1" applyFill="1" applyBorder="1" applyAlignment="1">
      <alignment horizontal="right"/>
    </xf>
    <xf numFmtId="0" fontId="10" fillId="0" borderId="0" xfId="0" applyFont="1" applyAlignment="1">
      <alignment horizontal="left"/>
    </xf>
    <xf numFmtId="0" fontId="10" fillId="0" borderId="26" xfId="0" applyFont="1" applyBorder="1" applyAlignment="1">
      <alignment horizontal="left"/>
    </xf>
    <xf numFmtId="0" fontId="10" fillId="0" borderId="26" xfId="0" applyFont="1" applyBorder="1" applyAlignment="1">
      <alignment horizontal="left"/>
    </xf>
    <xf numFmtId="0" fontId="10" fillId="0" borderId="1" xfId="0" applyFont="1" applyBorder="1" applyAlignment="1">
      <alignment horizontal="center"/>
    </xf>
    <xf numFmtId="0" fontId="10" fillId="0" borderId="20" xfId="0" applyFont="1" applyBorder="1" applyAlignment="1">
      <alignment horizontal="center"/>
    </xf>
    <xf numFmtId="0" fontId="30" fillId="0" borderId="20" xfId="0" applyFont="1" applyBorder="1" applyAlignment="1">
      <alignment horizontal="center"/>
    </xf>
    <xf numFmtId="0" fontId="30" fillId="0" borderId="20" xfId="0" applyFont="1" applyBorder="1" applyAlignment="1">
      <alignment horizontal="left"/>
    </xf>
    <xf numFmtId="0" fontId="30" fillId="0" borderId="0" xfId="0" applyFont="1" applyAlignment="1">
      <alignment horizontal="left"/>
    </xf>
    <xf numFmtId="0" fontId="30" fillId="0" borderId="11" xfId="0" applyFont="1" applyBorder="1" applyAlignment="1">
      <alignment horizontal="left"/>
    </xf>
    <xf numFmtId="0" fontId="30" fillId="0" borderId="24" xfId="0" applyFont="1" applyBorder="1" applyAlignment="1">
      <alignment horizontal="left"/>
    </xf>
    <xf numFmtId="0" fontId="10" fillId="0" borderId="11" xfId="0" applyFont="1" applyBorder="1" applyAlignment="1">
      <alignment horizontal="center"/>
    </xf>
    <xf numFmtId="0" fontId="10" fillId="0" borderId="24" xfId="0" applyFont="1" applyBorder="1" applyAlignment="1"/>
    <xf numFmtId="0" fontId="30" fillId="0" borderId="0" xfId="0" applyFont="1" applyAlignment="1">
      <alignment horizontal="center"/>
    </xf>
    <xf numFmtId="0" fontId="30" fillId="0" borderId="11" xfId="0" applyFont="1" applyBorder="1" applyAlignment="1">
      <alignment horizontal="center"/>
    </xf>
    <xf numFmtId="0" fontId="30" fillId="0" borderId="9" xfId="0" applyFont="1" applyBorder="1" applyAlignment="1">
      <alignment horizontal="center"/>
    </xf>
    <xf numFmtId="0" fontId="30" fillId="0" borderId="9" xfId="0" applyFont="1" applyBorder="1" applyAlignment="1">
      <alignment horizontal="center"/>
    </xf>
    <xf numFmtId="0" fontId="30" fillId="0" borderId="20" xfId="0" applyFont="1" applyBorder="1" applyAlignment="1">
      <alignment horizontal="center"/>
    </xf>
    <xf numFmtId="0" fontId="30" fillId="0" borderId="24" xfId="0" applyFont="1" applyBorder="1" applyAlignment="1">
      <alignment horizontal="center"/>
    </xf>
    <xf numFmtId="0" fontId="30" fillId="0" borderId="24" xfId="0" applyFont="1" applyBorder="1" applyAlignment="1"/>
    <xf numFmtId="0" fontId="10" fillId="0" borderId="11" xfId="0" applyFont="1" applyBorder="1" applyAlignment="1">
      <alignment horizontal="center"/>
    </xf>
    <xf numFmtId="0" fontId="10" fillId="0" borderId="24" xfId="0" applyFont="1" applyBorder="1" applyAlignment="1"/>
    <xf numFmtId="0" fontId="42" fillId="0" borderId="0" xfId="0" applyFont="1" applyAlignment="1">
      <alignment horizontal="center"/>
    </xf>
    <xf numFmtId="0" fontId="10" fillId="0" borderId="11" xfId="0" applyFont="1" applyBorder="1" applyAlignment="1">
      <alignment horizontal="right"/>
    </xf>
    <xf numFmtId="0" fontId="10" fillId="0" borderId="0" xfId="0" applyFont="1" applyAlignment="1">
      <alignment horizontal="right"/>
    </xf>
    <xf numFmtId="0" fontId="10" fillId="0" borderId="24" xfId="0" applyFont="1" applyBorder="1" applyAlignment="1">
      <alignment horizontal="right"/>
    </xf>
    <xf numFmtId="0" fontId="42" fillId="0" borderId="24" xfId="0" applyFont="1" applyBorder="1" applyAlignment="1">
      <alignment horizontal="right"/>
    </xf>
    <xf numFmtId="0" fontId="10" fillId="0" borderId="24" xfId="0" applyFont="1" applyBorder="1" applyAlignment="1"/>
    <xf numFmtId="0" fontId="42" fillId="0" borderId="0" xfId="0" applyFont="1" applyAlignment="1">
      <alignment horizontal="right"/>
    </xf>
    <xf numFmtId="0" fontId="10" fillId="0" borderId="11" xfId="0" applyFont="1" applyBorder="1" applyAlignment="1"/>
    <xf numFmtId="0" fontId="10" fillId="4" borderId="11" xfId="0" applyFont="1" applyFill="1" applyBorder="1" applyAlignment="1">
      <alignment horizontal="center"/>
    </xf>
    <xf numFmtId="0" fontId="10" fillId="4" borderId="24" xfId="0" applyFont="1" applyFill="1" applyBorder="1" applyAlignment="1"/>
    <xf numFmtId="0" fontId="42" fillId="4" borderId="0" xfId="0" applyFont="1" applyFill="1" applyAlignment="1">
      <alignment horizontal="center"/>
    </xf>
    <xf numFmtId="0" fontId="10" fillId="4" borderId="11" xfId="0" applyFont="1" applyFill="1" applyBorder="1" applyAlignment="1">
      <alignment horizontal="right"/>
    </xf>
    <xf numFmtId="0" fontId="10" fillId="4" borderId="0" xfId="0" applyFont="1" applyFill="1" applyAlignment="1">
      <alignment horizontal="right"/>
    </xf>
    <xf numFmtId="0" fontId="10" fillId="4" borderId="24" xfId="0" applyFont="1" applyFill="1" applyBorder="1" applyAlignment="1">
      <alignment horizontal="right"/>
    </xf>
    <xf numFmtId="0" fontId="42" fillId="4" borderId="0" xfId="0" applyFont="1" applyFill="1" applyAlignment="1">
      <alignment horizontal="right"/>
    </xf>
    <xf numFmtId="0" fontId="10" fillId="4" borderId="11" xfId="0" applyFont="1" applyFill="1" applyBorder="1" applyAlignment="1"/>
    <xf numFmtId="0" fontId="10" fillId="0" borderId="24" xfId="0" applyFont="1" applyBorder="1" applyAlignment="1">
      <alignment horizontal="center"/>
    </xf>
    <xf numFmtId="0" fontId="10" fillId="0" borderId="0" xfId="0" applyFont="1" applyAlignment="1">
      <alignment horizontal="center"/>
    </xf>
    <xf numFmtId="0" fontId="42" fillId="0" borderId="1" xfId="0" applyFont="1" applyBorder="1" applyAlignment="1">
      <alignment horizontal="center"/>
    </xf>
    <xf numFmtId="0" fontId="42" fillId="0" borderId="9" xfId="0" applyFont="1" applyBorder="1" applyAlignment="1"/>
    <xf numFmtId="0" fontId="42" fillId="0" borderId="19" xfId="0" applyFont="1" applyBorder="1" applyAlignment="1">
      <alignment horizontal="center"/>
    </xf>
    <xf numFmtId="0" fontId="42" fillId="0" borderId="19" xfId="0" applyFont="1" applyBorder="1" applyAlignment="1">
      <alignment horizontal="right"/>
    </xf>
    <xf numFmtId="0" fontId="42" fillId="0" borderId="9" xfId="0" applyFont="1" applyBorder="1" applyAlignment="1">
      <alignment horizontal="center"/>
    </xf>
    <xf numFmtId="0" fontId="10" fillId="0" borderId="1" xfId="0" applyFont="1" applyBorder="1" applyAlignment="1"/>
    <xf numFmtId="0" fontId="42" fillId="0" borderId="9" xfId="0" applyFont="1" applyBorder="1" applyAlignment="1">
      <alignment horizontal="right"/>
    </xf>
    <xf numFmtId="0" fontId="42" fillId="0" borderId="11" xfId="0" applyFont="1" applyBorder="1" applyAlignment="1">
      <alignment horizontal="center"/>
    </xf>
    <xf numFmtId="0" fontId="42" fillId="0" borderId="24" xfId="0" applyFont="1" applyBorder="1" applyAlignment="1"/>
    <xf numFmtId="0" fontId="42" fillId="0" borderId="0" xfId="0" applyFont="1" applyAlignment="1"/>
    <xf numFmtId="0" fontId="10" fillId="0" borderId="0" xfId="0" applyFont="1" applyAlignment="1"/>
    <xf numFmtId="0" fontId="42" fillId="0" borderId="24" xfId="0" applyFont="1" applyBorder="1" applyAlignment="1">
      <alignment horizontal="center"/>
    </xf>
    <xf numFmtId="0" fontId="42" fillId="0" borderId="11" xfId="0" applyFont="1" applyBorder="1" applyAlignment="1">
      <alignment horizontal="center"/>
    </xf>
    <xf numFmtId="0" fontId="42" fillId="0" borderId="7" xfId="0" applyFont="1" applyBorder="1" applyAlignment="1">
      <alignment horizontal="right"/>
    </xf>
    <xf numFmtId="0" fontId="42" fillId="0" borderId="11" xfId="0" applyFont="1" applyBorder="1" applyAlignment="1">
      <alignment horizontal="right"/>
    </xf>
    <xf numFmtId="0" fontId="10" fillId="0" borderId="11" xfId="0" applyFont="1" applyBorder="1" applyAlignment="1">
      <alignment horizontal="center"/>
    </xf>
    <xf numFmtId="0" fontId="10" fillId="0" borderId="12" xfId="0" applyFont="1" applyBorder="1" applyAlignment="1"/>
    <xf numFmtId="0" fontId="10" fillId="0" borderId="26" xfId="0" applyFont="1" applyBorder="1" applyAlignment="1"/>
    <xf numFmtId="0" fontId="10" fillId="0" borderId="20" xfId="0" applyFont="1" applyBorder="1" applyAlignment="1"/>
    <xf numFmtId="0" fontId="42" fillId="0" borderId="26" xfId="0" applyFont="1" applyBorder="1" applyAlignment="1"/>
    <xf numFmtId="0" fontId="42" fillId="0" borderId="12" xfId="0" applyFont="1" applyBorder="1" applyAlignment="1"/>
    <xf numFmtId="0" fontId="10" fillId="0" borderId="19" xfId="0" applyFont="1" applyBorder="1" applyAlignment="1"/>
    <xf numFmtId="0" fontId="42" fillId="0" borderId="26" xfId="0" applyFont="1" applyBorder="1" applyAlignment="1">
      <alignment horizontal="center"/>
    </xf>
    <xf numFmtId="0" fontId="42" fillId="0" borderId="26" xfId="0" applyFont="1" applyBorder="1" applyAlignment="1">
      <alignment horizontal="right"/>
    </xf>
    <xf numFmtId="0" fontId="42" fillId="0" borderId="20" xfId="0" applyFont="1" applyBorder="1" applyAlignment="1">
      <alignment horizontal="center"/>
    </xf>
    <xf numFmtId="0" fontId="10" fillId="0" borderId="7" xfId="0" applyFont="1" applyBorder="1" applyAlignment="1"/>
    <xf numFmtId="165" fontId="4" fillId="0" borderId="0" xfId="0" applyNumberFormat="1" applyFont="1"/>
    <xf numFmtId="0" fontId="17" fillId="0" borderId="0" xfId="0" applyFont="1" applyAlignment="1"/>
    <xf numFmtId="1" fontId="4" fillId="0" borderId="0" xfId="0" applyNumberFormat="1" applyFont="1" applyAlignment="1"/>
    <xf numFmtId="165" fontId="4" fillId="0" borderId="0" xfId="0" applyNumberFormat="1" applyFont="1" applyAlignment="1"/>
    <xf numFmtId="3" fontId="56" fillId="0" borderId="0" xfId="0" applyNumberFormat="1" applyFont="1" applyAlignment="1"/>
    <xf numFmtId="1" fontId="56" fillId="0" borderId="0" xfId="0" applyNumberFormat="1" applyFont="1" applyAlignment="1"/>
    <xf numFmtId="3" fontId="17" fillId="0" borderId="0" xfId="0" applyNumberFormat="1" applyFont="1" applyAlignment="1"/>
    <xf numFmtId="3" fontId="57" fillId="0" borderId="0" xfId="0" applyNumberFormat="1" applyFont="1" applyAlignment="1"/>
    <xf numFmtId="4" fontId="57" fillId="0" borderId="0" xfId="0" applyNumberFormat="1" applyFont="1" applyAlignment="1">
      <alignment horizontal="right"/>
    </xf>
    <xf numFmtId="1" fontId="57" fillId="0" borderId="0" xfId="0" applyNumberFormat="1" applyFont="1" applyAlignment="1">
      <alignment horizontal="right"/>
    </xf>
    <xf numFmtId="3" fontId="57" fillId="0" borderId="0" xfId="0" applyNumberFormat="1" applyFont="1" applyAlignment="1">
      <alignment horizontal="right"/>
    </xf>
    <xf numFmtId="164" fontId="4" fillId="0" borderId="0" xfId="0" applyNumberFormat="1" applyFont="1" applyAlignment="1"/>
    <xf numFmtId="174" fontId="57" fillId="0" borderId="0" xfId="0" applyNumberFormat="1" applyFont="1" applyAlignment="1">
      <alignment horizontal="right"/>
    </xf>
    <xf numFmtId="175" fontId="4" fillId="0" borderId="0" xfId="0" applyNumberFormat="1" applyFont="1" applyAlignment="1"/>
    <xf numFmtId="3" fontId="8" fillId="0" borderId="0" xfId="0" applyNumberFormat="1" applyFont="1" applyAlignment="1">
      <alignment horizontal="right"/>
    </xf>
    <xf numFmtId="0" fontId="8" fillId="0" borderId="0" xfId="0" applyFont="1" applyAlignment="1">
      <alignment horizontal="right"/>
    </xf>
    <xf numFmtId="0" fontId="8" fillId="0" borderId="0" xfId="0" applyFont="1" applyAlignment="1"/>
    <xf numFmtId="3" fontId="8" fillId="0" borderId="0" xfId="0" applyNumberFormat="1" applyFont="1" applyAlignment="1"/>
    <xf numFmtId="0" fontId="16" fillId="7" borderId="2" xfId="0" applyFont="1" applyFill="1" applyBorder="1" applyAlignment="1">
      <alignment horizontal="center"/>
    </xf>
    <xf numFmtId="0" fontId="17" fillId="0" borderId="3" xfId="0" applyFont="1" applyBorder="1"/>
    <xf numFmtId="0" fontId="17" fillId="0" borderId="4" xfId="0" applyFont="1" applyBorder="1"/>
    <xf numFmtId="0" fontId="11" fillId="0" borderId="0" xfId="0" applyFont="1" applyAlignment="1"/>
    <xf numFmtId="0" fontId="0" fillId="0" borderId="0" xfId="0" applyFont="1" applyAlignment="1"/>
    <xf numFmtId="0" fontId="11" fillId="0" borderId="8" xfId="0" applyFont="1" applyBorder="1" applyAlignment="1"/>
    <xf numFmtId="0" fontId="17" fillId="0" borderId="9" xfId="0" applyFont="1" applyBorder="1"/>
    <xf numFmtId="0" fontId="11" fillId="36" borderId="10" xfId="0" applyFont="1" applyFill="1" applyBorder="1" applyAlignment="1">
      <alignment horizontal="center"/>
    </xf>
    <xf numFmtId="0" fontId="17" fillId="0" borderId="11" xfId="0" applyFont="1" applyBorder="1"/>
    <xf numFmtId="0" fontId="17" fillId="0" borderId="12" xfId="0" applyFont="1" applyBorder="1"/>
    <xf numFmtId="0" fontId="11" fillId="37" borderId="10" xfId="0" applyFont="1" applyFill="1" applyBorder="1" applyAlignment="1">
      <alignment horizontal="center"/>
    </xf>
    <xf numFmtId="0" fontId="11" fillId="38" borderId="10" xfId="0" applyFont="1" applyFill="1" applyBorder="1" applyAlignment="1">
      <alignment horizontal="center"/>
    </xf>
    <xf numFmtId="0" fontId="35" fillId="0" borderId="0" xfId="0" applyFont="1" applyAlignment="1"/>
    <xf numFmtId="0" fontId="42" fillId="0" borderId="8" xfId="0" applyFont="1" applyBorder="1" applyAlignment="1">
      <alignment horizontal="left" vertical="top"/>
    </xf>
    <xf numFmtId="0" fontId="44" fillId="0" borderId="11" xfId="0" applyFont="1" applyBorder="1" applyAlignment="1">
      <alignment horizontal="left"/>
    </xf>
    <xf numFmtId="0" fontId="44" fillId="0" borderId="11" xfId="0" applyFont="1" applyBorder="1" applyAlignment="1">
      <alignment horizontal="left" vertical="top"/>
    </xf>
    <xf numFmtId="0" fontId="10" fillId="0" borderId="19" xfId="0" applyFont="1" applyBorder="1" applyAlignment="1">
      <alignment horizontal="left" vertical="top"/>
    </xf>
    <xf numFmtId="0" fontId="17" fillId="0" borderId="19" xfId="0" applyFont="1" applyBorder="1"/>
    <xf numFmtId="0" fontId="44" fillId="0" borderId="19" xfId="0" applyFont="1" applyBorder="1" applyAlignment="1">
      <alignment horizontal="left" vertical="top"/>
    </xf>
    <xf numFmtId="0" fontId="0" fillId="19" borderId="16" xfId="0" applyFont="1" applyFill="1" applyBorder="1"/>
    <xf numFmtId="0" fontId="17" fillId="0" borderId="17" xfId="0" applyFont="1" applyBorder="1"/>
    <xf numFmtId="0" fontId="17" fillId="0" borderId="18" xfId="0" applyFont="1" applyBorder="1"/>
    <xf numFmtId="0" fontId="1" fillId="0" borderId="0" xfId="0" applyFont="1" applyAlignment="1">
      <alignment horizontal="left" vertical="top"/>
    </xf>
    <xf numFmtId="0" fontId="43" fillId="0" borderId="19" xfId="0" applyFont="1" applyBorder="1" applyAlignment="1">
      <alignment horizontal="left" vertical="top"/>
    </xf>
    <xf numFmtId="171" fontId="43" fillId="0" borderId="19" xfId="0" applyNumberFormat="1" applyFont="1" applyBorder="1" applyAlignment="1">
      <alignment horizontal="left" vertical="top"/>
    </xf>
    <xf numFmtId="0" fontId="10" fillId="0" borderId="26" xfId="0" applyFont="1" applyBorder="1" applyAlignment="1">
      <alignment horizontal="left"/>
    </xf>
    <xf numFmtId="0" fontId="17" fillId="0" borderId="2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10</xdr:col>
      <xdr:colOff>57150</xdr:colOff>
      <xdr:row>4</xdr:row>
      <xdr:rowOff>28575</xdr:rowOff>
    </xdr:from>
    <xdr:ext cx="6229350" cy="4495800"/>
    <xdr:pic>
      <xdr:nvPicPr>
        <xdr:cNvPr id="2" name="image1.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14</xdr:col>
      <xdr:colOff>9525</xdr:colOff>
      <xdr:row>13</xdr:row>
      <xdr:rowOff>47625</xdr:rowOff>
    </xdr:from>
    <xdr:ext cx="3238500" cy="1409700"/>
    <xdr:pic>
      <xdr:nvPicPr>
        <xdr:cNvPr id="2" name="image3.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16</xdr:col>
      <xdr:colOff>514350</xdr:colOff>
      <xdr:row>13</xdr:row>
      <xdr:rowOff>19050</xdr:rowOff>
    </xdr:from>
    <xdr:ext cx="2333625" cy="1466850"/>
    <xdr:pic>
      <xdr:nvPicPr>
        <xdr:cNvPr id="3" name="image4.png" title="Image">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19</xdr:col>
      <xdr:colOff>76200</xdr:colOff>
      <xdr:row>13</xdr:row>
      <xdr:rowOff>95250</xdr:rowOff>
    </xdr:from>
    <xdr:ext cx="6534150" cy="1409700"/>
    <xdr:pic>
      <xdr:nvPicPr>
        <xdr:cNvPr id="4" name="image5.png" title="Image">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19</xdr:col>
      <xdr:colOff>19050</xdr:colOff>
      <xdr:row>23</xdr:row>
      <xdr:rowOff>180975</xdr:rowOff>
    </xdr:from>
    <xdr:ext cx="3829050" cy="2162175"/>
    <xdr:pic>
      <xdr:nvPicPr>
        <xdr:cNvPr id="5" name="image2.png" title="Image">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google.com/url?q=https://www.ers.usda.gov/webdocs/outlooks/40459/11717_wrs0702_1_.pdf?v%3D3385.2%23:~:text%3DNatural%2520gas%2520is%2520the%2520primary,produce%25201%2520ton%2520of%2520ammonia&amp;sa=D&amp;source=editors&amp;ust=1616067852073000&amp;usg=AFQjCNHWy75QnDQemwK02LQbO73Ku38bFg" TargetMode="External"/><Relationship Id="rId1" Type="http://schemas.openxmlformats.org/officeDocument/2006/relationships/hyperlink" Target="https://www.sasol.com/sites/default/files/financial_reports/Additional%20Analyst%20Information%20-%2031%20December%202017.pdf"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987"/>
  <sheetViews>
    <sheetView workbookViewId="0">
      <pane xSplit="1" topLeftCell="B1" activePane="topRight" state="frozen"/>
      <selection pane="topRight" activeCell="C2" sqref="C2"/>
    </sheetView>
  </sheetViews>
  <sheetFormatPr defaultColWidth="11.21875" defaultRowHeight="15" customHeight="1"/>
  <cols>
    <col min="1" max="1" width="18.109375" customWidth="1"/>
    <col min="2" max="2" width="13.44140625" customWidth="1"/>
    <col min="3" max="27" width="10.5546875" customWidth="1"/>
    <col min="28" max="39" width="11.33203125" customWidth="1"/>
  </cols>
  <sheetData>
    <row r="1" spans="1:39" ht="15.75" customHeight="1"/>
    <row r="2" spans="1:39" ht="15.75" customHeight="1">
      <c r="A2" s="1" t="s">
        <v>0</v>
      </c>
      <c r="B2" s="1"/>
      <c r="C2" s="2" t="str">
        <f>'DMRE 2017EB'!C2</f>
        <v>Crude Oil</v>
      </c>
      <c r="D2" s="2" t="str">
        <f>'DMRE 2017EB'!S2</f>
        <v>Bituminous coal</v>
      </c>
      <c r="G2" s="3" t="str">
        <f>'DMRE 2017EB'!R2</f>
        <v>Coking coal</v>
      </c>
      <c r="H2" s="2" t="str">
        <f>'DMRE 2017EB'!J2</f>
        <v>Electricity</v>
      </c>
      <c r="I2" s="2"/>
      <c r="J2" s="2" t="str">
        <f>'DMRE 2017EB'!E2</f>
        <v>Gas</v>
      </c>
      <c r="K2" s="3" t="str">
        <f>'DMRE 2017EB'!AY2</f>
        <v>Gas Diesel</v>
      </c>
      <c r="L2" s="3" t="str">
        <f>'DMRE 2017EB'!AT2</f>
        <v>Motor Gasoline</v>
      </c>
      <c r="M2" s="3" t="str">
        <f>'DMRE 2017EB'!AU2</f>
        <v>Aviation Gasoline</v>
      </c>
      <c r="N2" s="3"/>
      <c r="O2" s="3"/>
      <c r="P2" s="1"/>
      <c r="Q2" s="3" t="str">
        <f>'DMRE 2017EB'!BE1</f>
        <v>Parrafin Wax</v>
      </c>
      <c r="R2" s="3" t="str">
        <f>'DMRE 2017EB'!AS2</f>
        <v xml:space="preserve">     LPG</v>
      </c>
      <c r="X2" s="1" t="s">
        <v>1</v>
      </c>
    </row>
    <row r="3" spans="1:39" ht="15.75" customHeight="1">
      <c r="A3" s="4" t="s">
        <v>2</v>
      </c>
      <c r="B3" s="4"/>
      <c r="C3" s="5" t="s">
        <v>3</v>
      </c>
      <c r="D3" s="5" t="s">
        <v>4</v>
      </c>
      <c r="E3" s="5" t="s">
        <v>5</v>
      </c>
      <c r="F3" s="5" t="s">
        <v>6</v>
      </c>
      <c r="G3" s="5" t="s">
        <v>7</v>
      </c>
      <c r="H3" s="5" t="s">
        <v>8</v>
      </c>
      <c r="I3" s="5"/>
      <c r="J3" s="5" t="s">
        <v>9</v>
      </c>
      <c r="K3" s="5" t="s">
        <v>10</v>
      </c>
      <c r="L3" s="5" t="s">
        <v>11</v>
      </c>
      <c r="M3" s="5" t="s">
        <v>12</v>
      </c>
      <c r="N3" s="5"/>
      <c r="O3" s="5" t="s">
        <v>13</v>
      </c>
      <c r="P3" s="5" t="s">
        <v>14</v>
      </c>
      <c r="Q3" s="5" t="s">
        <v>15</v>
      </c>
      <c r="R3" s="5" t="s">
        <v>16</v>
      </c>
      <c r="S3" s="5" t="s">
        <v>17</v>
      </c>
      <c r="T3" s="5" t="s">
        <v>18</v>
      </c>
      <c r="U3" s="5" t="s">
        <v>19</v>
      </c>
      <c r="V3" s="5" t="s">
        <v>20</v>
      </c>
      <c r="W3" s="5" t="s">
        <v>21</v>
      </c>
      <c r="X3" s="5" t="s">
        <v>1</v>
      </c>
      <c r="Y3" s="5" t="s">
        <v>22</v>
      </c>
      <c r="Z3" s="5" t="s">
        <v>23</v>
      </c>
      <c r="AA3" s="4"/>
      <c r="AB3" s="4" t="s">
        <v>24</v>
      </c>
      <c r="AC3" s="4"/>
      <c r="AD3" s="4"/>
      <c r="AE3" s="4"/>
      <c r="AF3" s="4"/>
      <c r="AG3" s="4"/>
      <c r="AH3" s="4"/>
      <c r="AI3" s="4"/>
      <c r="AJ3" s="4"/>
      <c r="AK3" s="4"/>
      <c r="AL3" s="4"/>
      <c r="AM3" s="4"/>
    </row>
    <row r="4" spans="1:39" ht="15.75" customHeight="1">
      <c r="A4" s="4" t="s">
        <v>25</v>
      </c>
      <c r="B4" s="6" t="str">
        <f>'DMRE 2017EB'!N9</f>
        <v>Domestic Supply</v>
      </c>
      <c r="C4" s="7">
        <f>SUMIFS('DMRE 2017EB'!$O$9:$BS$9,'DMRE 2017EB'!$O$1:$BS$1,'SATIM Energy balance 2017 (new)'!C$2)</f>
        <v>733832.03503417969</v>
      </c>
      <c r="D4" s="7">
        <f>SUMIFS('DMRE 2017EB'!$O$9:$BS$9,'DMRE 2017EB'!$O$1:$BS$1,'SATIM Energy balance 2017 (new)'!D$2)</f>
        <v>3979999.337890625</v>
      </c>
      <c r="E4" s="7">
        <f>SUMIFS('DMRE 2017EB'!$O$9:$BS$9,'DMRE 2017EB'!$O$1:$BS$1,'SATIM Energy balance 2017 (new)'!E$2)</f>
        <v>0</v>
      </c>
      <c r="F4" s="7">
        <f>SUMIFS('DMRE 2017EB'!$O$9:$BS$9,'DMRE 2017EB'!$O$1:$BS$1,'SATIM Energy balance 2017 (new)'!F$2)</f>
        <v>0</v>
      </c>
      <c r="G4" s="7">
        <f>SUMIFS('DMRE 2017EB'!$O$9:$BS$9,'DMRE 2017EB'!$O$1:$BS$1,'SATIM Energy balance 2017 (new)'!G$2)</f>
        <v>36910.9296875</v>
      </c>
      <c r="H4" s="7">
        <f>SUMIFS('DMRE 2017EB'!$O$9:$BS$9,'DMRE 2017EB'!$O$1:$BS$1,'SATIM Energy balance 2017 (new)'!H$2)</f>
        <v>-21578.40234375</v>
      </c>
      <c r="I4" s="7"/>
      <c r="J4" s="7">
        <f>SUMIFS('DMRE 2017EB'!$O$9:$BS$9,'DMRE 2017EB'!$O$1:$BS$1,'SATIM Energy balance 2017 (new)'!J$2)</f>
        <v>149196.5</v>
      </c>
      <c r="K4" s="7">
        <f>SUMIFS('DMRE 2017EB'!$O$9:$BS$9,'DMRE 2017EB'!$O$1:$BS$1,'SATIM Energy balance 2017 (new)'!K$2)</f>
        <v>162002.5859375</v>
      </c>
      <c r="L4" s="7">
        <f>SUMIFS('DMRE 2017EB'!$O$9:$BS$9,'DMRE 2017EB'!$O$1:$BS$1,'SATIM Energy balance 2017 (new)'!L$2)</f>
        <v>35299.12109375</v>
      </c>
      <c r="M4" s="7">
        <f>SUMIFS('DMRE 2017EB'!$O$9:$BS$9,'DMRE 2017EB'!$O$1:$BS$1,'SATIM Energy balance 2017 (new)'!M$2)</f>
        <v>455.97972106933594</v>
      </c>
      <c r="N4" s="7">
        <f>SUMIFS('DMRE 2017EB'!$O$9:$BS$9,'DMRE 2017EB'!$O$1:$BS$1,'SATIM Energy balance 2017 (new)'!N$2)</f>
        <v>0</v>
      </c>
      <c r="O4" s="7">
        <f>SUMIFS('DMRE 2017EB'!$O$9:$BS$9,'DMRE 2017EB'!$O$1:$BS$1,'SATIM Energy balance 2017 (new)'!O$2)</f>
        <v>0</v>
      </c>
      <c r="P4" s="7">
        <f>SUMIFS('DMRE 2017EB'!$O$9:$BS$9,'DMRE 2017EB'!$O$1:$BS$1,'SATIM Energy balance 2017 (new)'!P$2)</f>
        <v>0</v>
      </c>
      <c r="Q4" s="7">
        <f>SUMIFS('DMRE 2017EB'!$O$9:$BS$9,'DMRE 2017EB'!$O$1:$BS$1,'SATIM Energy balance 2017 (new)'!Q$2)</f>
        <v>1.567799985408783</v>
      </c>
      <c r="R4" s="7">
        <f>SUMIFS('DMRE 2017EB'!$O$9:$BS$9,'DMRE 2017EB'!$O$1:$BS$1,'SATIM Energy balance 2017 (new)'!R$2)</f>
        <v>2128.134521484375</v>
      </c>
      <c r="S4" s="7">
        <f>SUMIFS('DMRE 2017EB'!$O$9:$BS$9,'DMRE 2017EB'!$O$1:$BS$1,'SATIM Energy balance 2017 (new)'!S$2)</f>
        <v>0</v>
      </c>
      <c r="T4" s="7">
        <f>SUMIFS('DMRE 2017EB'!$O$9:$BS$9,'DMRE 2017EB'!$O$1:$BS$1,'SATIM Energy balance 2017 (new)'!T$2)</f>
        <v>0</v>
      </c>
      <c r="U4" s="7">
        <f>SUMIFS('DMRE 2017EB'!$O$9:$BS$9,'DMRE 2017EB'!$O$1:$BS$1,'SATIM Energy balance 2017 (new)'!U$2)</f>
        <v>0</v>
      </c>
      <c r="V4" s="7">
        <f>SUMIFS('DMRE 2017EB'!$O$9:$BS$9,'DMRE 2017EB'!$O$1:$BS$1,'SATIM Energy balance 2017 (new)'!V$2)</f>
        <v>0</v>
      </c>
      <c r="W4" s="7">
        <f>SUMIFS('DMRE 2017EB'!$O$9:$BS$9,'DMRE 2017EB'!$O$1:$BS$1,'SATIM Energy balance 2017 (new)'!W$2)</f>
        <v>0</v>
      </c>
      <c r="X4" s="8">
        <f>SUMIFS('DMRE 2017EB'!$O$9:$BS$9,'DMRE 2017EB'!$O$1:$BS$1,'SATIM Energy balance 2017 (new)'!X$2)</f>
        <v>654700.875</v>
      </c>
      <c r="Y4" s="7">
        <f>SUMIFS('DMRE 2017EB'!$O$9:$BS$9,'DMRE 2017EB'!$O$1:$BS$1,'SATIM Energy balance 2017 (new)'!Y$2)</f>
        <v>0</v>
      </c>
      <c r="Z4" s="7">
        <f>SUMIFS('DMRE 2017EB'!$O$9:$BS$9,'DMRE 2017EB'!$O$1:$BS$1,'SATIM Energy balance 2017 (new)'!Z$2)</f>
        <v>0</v>
      </c>
      <c r="AA4" s="4"/>
      <c r="AB4" s="4">
        <f t="shared" ref="AB4:AB5" si="0">SUM(C4:Z4)</f>
        <v>5732948.6643423438</v>
      </c>
      <c r="AC4" s="4"/>
      <c r="AD4" s="4"/>
      <c r="AE4" s="4"/>
      <c r="AF4" s="4"/>
      <c r="AG4" s="4"/>
      <c r="AH4" s="4"/>
      <c r="AI4" s="4"/>
      <c r="AJ4" s="4"/>
      <c r="AK4" s="4"/>
      <c r="AL4" s="4"/>
      <c r="AM4" s="4"/>
    </row>
    <row r="5" spans="1:39" ht="15.75" customHeight="1">
      <c r="A5" s="4" t="s">
        <v>25</v>
      </c>
      <c r="B5" s="9" t="str">
        <f>'DMRE 2017EB'!N46</f>
        <v>Final Consumption</v>
      </c>
      <c r="C5" s="7">
        <f>SUMIFS('DMRE 2017EB'!$O$46:$BS$46,'DMRE 2017EB'!$O$1:$BS$1,'SATIM Energy balance 2017 (new)'!C$2)</f>
        <v>0</v>
      </c>
      <c r="D5" s="7">
        <f>SUMIFS('DMRE 2017EB'!$O$46:$BS$46,'DMRE 2017EB'!$O$1:$BS$1,'SATIM Energy balance 2017 (new)'!D$2)</f>
        <v>482179.26837921143</v>
      </c>
      <c r="E5" s="7">
        <f>SUMIFS('DMRE 2017EB'!$O$46:$BS$46,'DMRE 2017EB'!$O$1:$BS$1,'SATIM Energy balance 2017 (new)'!E$2)</f>
        <v>0</v>
      </c>
      <c r="F5" s="7">
        <f>SUMIFS('DMRE 2017EB'!$O$46:$BS$46,'DMRE 2017EB'!$O$1:$BS$1,'SATIM Energy balance 2017 (new)'!F$2)</f>
        <v>0</v>
      </c>
      <c r="G5" s="7">
        <f>SUMIFS('DMRE 2017EB'!$O$46:$BS$46,'DMRE 2017EB'!$O$1:$BS$1,'SATIM Energy balance 2017 (new)'!G$2)</f>
        <v>0</v>
      </c>
      <c r="H5" s="7">
        <f>SUMIFS('DMRE 2017EB'!$O$46:$BS$46,'DMRE 2017EB'!$O$1:$BS$1,'SATIM Energy balance 2017 (new)'!H$2)</f>
        <v>729630.2635345459</v>
      </c>
      <c r="I5" s="7"/>
      <c r="J5" s="7">
        <f>SUMIFS('DMRE 2017EB'!$O$46:$BS$46,'DMRE 2017EB'!$O$1:$BS$1,'SATIM Energy balance 2017 (new)'!J$2)</f>
        <v>155825.9791841507</v>
      </c>
      <c r="K5" s="7">
        <f>SUMIFS('DMRE 2017EB'!$O$46:$BS$46,'DMRE 2017EB'!$O$1:$BS$1,'SATIM Energy balance 2017 (new)'!K$2)</f>
        <v>505147.26420497894</v>
      </c>
      <c r="L5" s="7">
        <f>SUMIFS('DMRE 2017EB'!$O$46:$BS$46,'DMRE 2017EB'!$O$1:$BS$1,'SATIM Energy balance 2017 (new)'!L$2)</f>
        <v>403972.73872573674</v>
      </c>
      <c r="M5" s="7">
        <f>SUMIFS('DMRE 2017EB'!$O$46:$BS$46,'DMRE 2017EB'!$O$1:$BS$1,'SATIM Energy balance 2017 (new)'!M$2)</f>
        <v>14499.7841796875</v>
      </c>
      <c r="N5" s="7">
        <f>SUMIFS('DMRE 2017EB'!$O$46:$BS$46,'DMRE 2017EB'!$O$1:$BS$1,'SATIM Energy balance 2017 (new)'!N$2)</f>
        <v>0</v>
      </c>
      <c r="O5" s="7">
        <f>SUMIFS('DMRE 2017EB'!$O$46:$BS$46,'DMRE 2017EB'!$O$1:$BS$1,'SATIM Energy balance 2017 (new)'!O$2)</f>
        <v>0</v>
      </c>
      <c r="P5" s="7">
        <f>SUMIFS('DMRE 2017EB'!$O$46:$BS$46,'DMRE 2017EB'!$O$1:$BS$1,'SATIM Energy balance 2017 (new)'!P$2)</f>
        <v>0</v>
      </c>
      <c r="Q5" s="7">
        <f>SUMIFS('DMRE 2017EB'!$O$46:$BS$46,'DMRE 2017EB'!$O$1:$BS$1,'SATIM Energy balance 2017 (new)'!Q$2)</f>
        <v>399.58800029754639</v>
      </c>
      <c r="R5" s="7">
        <f>SUMIFS('DMRE 2017EB'!$O$46:$BS$46,'DMRE 2017EB'!$O$1:$BS$1,'SATIM Energy balance 2017 (new)'!R$2)</f>
        <v>15120.919884443283</v>
      </c>
      <c r="S5" s="7">
        <f>SUMIFS('DMRE 2017EB'!$O$46:$BS$46,'DMRE 2017EB'!$O$1:$BS$1,'SATIM Energy balance 2017 (new)'!S$2)</f>
        <v>0</v>
      </c>
      <c r="T5" s="7">
        <f>SUMIFS('DMRE 2017EB'!$O$46:$BS$46,'DMRE 2017EB'!$O$1:$BS$1,'SATIM Energy balance 2017 (new)'!T$2)</f>
        <v>0</v>
      </c>
      <c r="U5" s="7">
        <f>SUMIFS('DMRE 2017EB'!$O$46:$BS$46,'DMRE 2017EB'!$O$1:$BS$1,'SATIM Energy balance 2017 (new)'!U$2)</f>
        <v>0</v>
      </c>
      <c r="V5" s="7">
        <f>SUMIFS('DMRE 2017EB'!$O$46:$BS$46,'DMRE 2017EB'!$O$1:$BS$1,'SATIM Energy balance 2017 (new)'!V$2)</f>
        <v>0</v>
      </c>
      <c r="W5" s="7">
        <f>SUMIFS('DMRE 2017EB'!$O$46:$BS$46,'DMRE 2017EB'!$O$1:$BS$1,'SATIM Energy balance 2017 (new)'!W$2)</f>
        <v>0</v>
      </c>
      <c r="X5" s="8">
        <f>SUMIFS('DMRE 2017EB'!$O$46:$BS$46,'DMRE 2017EB'!$O$1:$BS$1,'SATIM Energy balance 2017 (new)'!X$2)</f>
        <v>425901.1015625</v>
      </c>
      <c r="Y5" s="7">
        <f>SUMIFS('DMRE 2017EB'!$O$46:$BS$46,'DMRE 2017EB'!$O$1:$BS$1,'SATIM Energy balance 2017 (new)'!Y$2)</f>
        <v>0</v>
      </c>
      <c r="Z5" s="7">
        <f>SUMIFS('DMRE 2017EB'!$O$46:$BS$46,'DMRE 2017EB'!$O$1:$BS$1,'SATIM Energy balance 2017 (new)'!Z$2)</f>
        <v>0</v>
      </c>
      <c r="AA5" s="7">
        <f>SUMIFS('DMRE 2017EB'!$O$46:$BS$46,'DMRE 2017EB'!$O$1:$BS$1,'SATIM Energy balance 2017 (new)'!AA$2)</f>
        <v>0</v>
      </c>
      <c r="AB5" s="4">
        <f t="shared" si="0"/>
        <v>2732676.907655552</v>
      </c>
      <c r="AC5" s="4"/>
      <c r="AD5" s="4"/>
      <c r="AE5" s="4"/>
      <c r="AF5" s="4"/>
      <c r="AG5" s="4"/>
      <c r="AH5" s="4"/>
      <c r="AI5" s="4"/>
      <c r="AJ5" s="4"/>
      <c r="AK5" s="4"/>
      <c r="AL5" s="4"/>
      <c r="AM5" s="4"/>
    </row>
    <row r="6" spans="1:39" ht="15.75" customHeight="1">
      <c r="A6" s="4" t="s">
        <v>2</v>
      </c>
      <c r="B6" s="1" t="s">
        <v>26</v>
      </c>
    </row>
    <row r="7" spans="1:39" ht="15.75" customHeight="1">
      <c r="A7" s="4" t="s">
        <v>27</v>
      </c>
      <c r="B7" s="1" t="s">
        <v>28</v>
      </c>
    </row>
    <row r="8" spans="1:39" ht="15.75" customHeight="1">
      <c r="H8" s="10">
        <f>H26/H29</f>
        <v>1.4813617296451028E-2</v>
      </c>
    </row>
    <row r="9" spans="1:39" ht="15.75" customHeight="1">
      <c r="A9" s="11" t="s">
        <v>29</v>
      </c>
      <c r="B9" s="9"/>
      <c r="D9" s="12" t="s">
        <v>30</v>
      </c>
      <c r="E9" s="12" t="s">
        <v>31</v>
      </c>
      <c r="F9" s="13"/>
      <c r="G9" s="13"/>
      <c r="H9" s="13">
        <f>H11/3.6</f>
        <v>180952.45944444442</v>
      </c>
      <c r="P9" s="14" t="s">
        <v>32</v>
      </c>
      <c r="Q9" s="14" t="s">
        <v>33</v>
      </c>
      <c r="R9" s="14" t="s">
        <v>32</v>
      </c>
    </row>
    <row r="10" spans="1:39" ht="15.75" customHeight="1">
      <c r="A10" s="15" t="s">
        <v>34</v>
      </c>
      <c r="C10" s="9"/>
      <c r="D10" s="16" t="s">
        <v>4</v>
      </c>
      <c r="E10" s="16" t="s">
        <v>5</v>
      </c>
      <c r="F10" s="16" t="s">
        <v>6</v>
      </c>
      <c r="G10" s="17" t="s">
        <v>35</v>
      </c>
      <c r="H10" s="17" t="s">
        <v>36</v>
      </c>
      <c r="I10" s="18" t="s">
        <v>37</v>
      </c>
      <c r="J10" s="9" t="s">
        <v>9</v>
      </c>
      <c r="K10" s="9" t="s">
        <v>10</v>
      </c>
      <c r="L10" s="9" t="s">
        <v>11</v>
      </c>
      <c r="M10" s="18" t="s">
        <v>38</v>
      </c>
      <c r="N10" s="18" t="s">
        <v>39</v>
      </c>
      <c r="O10" s="9" t="s">
        <v>13</v>
      </c>
      <c r="P10" s="9" t="s">
        <v>14</v>
      </c>
      <c r="Q10" s="9" t="s">
        <v>15</v>
      </c>
      <c r="R10" s="9" t="s">
        <v>16</v>
      </c>
      <c r="S10" s="9" t="s">
        <v>17</v>
      </c>
      <c r="T10" s="9" t="s">
        <v>18</v>
      </c>
      <c r="U10" s="9" t="s">
        <v>19</v>
      </c>
      <c r="V10" s="9" t="s">
        <v>20</v>
      </c>
      <c r="W10" s="9" t="s">
        <v>21</v>
      </c>
      <c r="X10" s="9" t="s">
        <v>1</v>
      </c>
      <c r="Y10" s="9" t="s">
        <v>22</v>
      </c>
      <c r="Z10" s="9" t="s">
        <v>23</v>
      </c>
    </row>
    <row r="11" spans="1:39" ht="15.75" customHeight="1">
      <c r="A11" s="19" t="s">
        <v>40</v>
      </c>
      <c r="B11" s="9"/>
      <c r="D11" s="20">
        <f>SUM(D12:D27)</f>
        <v>419344.66098346736</v>
      </c>
      <c r="E11" s="13"/>
      <c r="F11" s="13"/>
      <c r="G11" s="20">
        <f t="shared" ref="G11:I11" si="1">SUM(G12:G27)</f>
        <v>148639.76999999999</v>
      </c>
      <c r="H11" s="20">
        <f t="shared" si="1"/>
        <v>651428.85399999993</v>
      </c>
      <c r="I11" s="20">
        <f t="shared" si="1"/>
        <v>665356.09992399998</v>
      </c>
      <c r="J11" s="20">
        <f>SUM(J15:J27)+J13+J12</f>
        <v>66110.967818069461</v>
      </c>
      <c r="K11" s="20">
        <f>SUM(K12:K27) +K34</f>
        <v>530469</v>
      </c>
      <c r="L11" s="20">
        <f t="shared" ref="L11:M11" si="2">SUM(L12:L27)</f>
        <v>382152</v>
      </c>
      <c r="M11" s="20">
        <f t="shared" si="2"/>
        <v>89404</v>
      </c>
      <c r="N11" s="20"/>
      <c r="O11" s="20"/>
      <c r="P11" s="20">
        <f>SUM(P12:P27)</f>
        <v>18325.334009999999</v>
      </c>
      <c r="Q11" s="20">
        <f>SUM(Q12:Q27)+Q34</f>
        <v>13739.843200000001</v>
      </c>
      <c r="R11" s="20">
        <f t="shared" ref="R11:T11" si="3">SUM(R12:R27)</f>
        <v>21594.677329999999</v>
      </c>
      <c r="S11" s="20">
        <f t="shared" si="3"/>
        <v>45296.207999999999</v>
      </c>
      <c r="T11" s="20">
        <f t="shared" si="3"/>
        <v>0</v>
      </c>
      <c r="X11" s="13">
        <f>SUM(X12:X27)</f>
        <v>83768</v>
      </c>
      <c r="Z11" s="13">
        <f>SUM(Z12:Z27)</f>
        <v>1</v>
      </c>
    </row>
    <row r="12" spans="1:39" ht="15.75" customHeight="1">
      <c r="A12" s="21" t="s">
        <v>41</v>
      </c>
      <c r="B12" s="9"/>
      <c r="D12" s="20">
        <f>SUMIF(SUTCoal!$B$66:$B$86,A12,SUTCoal!$K$66:$K$86)</f>
        <v>1998</v>
      </c>
      <c r="E12" s="13"/>
      <c r="F12" s="13"/>
      <c r="G12" s="13"/>
      <c r="H12" s="20">
        <f>SUMIF(SUTElec!$B$45:$B$100,$A12,SUTElec!L$45:L$100)*3.6</f>
        <v>20772</v>
      </c>
      <c r="I12" s="20">
        <f>SUMIF(SUTElec!$B$45:$B$100,$A12,SUTElec!M$45:M$100)*3.6</f>
        <v>20772</v>
      </c>
      <c r="J12" s="22">
        <f>gas!C34</f>
        <v>0</v>
      </c>
      <c r="K12" s="20">
        <v>49181</v>
      </c>
      <c r="L12" s="20">
        <v>0</v>
      </c>
      <c r="M12" s="20"/>
      <c r="N12" s="20"/>
      <c r="O12" s="20"/>
      <c r="P12" s="20">
        <v>2624</v>
      </c>
      <c r="Q12" s="20">
        <v>3162</v>
      </c>
      <c r="R12" s="20">
        <v>45</v>
      </c>
      <c r="S12" s="20"/>
    </row>
    <row r="13" spans="1:39" ht="15.75" customHeight="1">
      <c r="A13" s="18" t="s">
        <v>42</v>
      </c>
      <c r="B13" s="9"/>
      <c r="D13" s="20">
        <f>SUMIF(SUTCoal!$B$66:$B$86,A13,SUTCoal!$K$66:$K$86)</f>
        <v>26655</v>
      </c>
      <c r="E13" s="13"/>
      <c r="F13" s="13"/>
      <c r="G13" s="13"/>
      <c r="H13" s="20">
        <f>SUMIF(SUTElec!$B$45:$B$100,$A13,SUTElec!L$45:L$100)*3.6</f>
        <v>129042</v>
      </c>
      <c r="I13" s="20">
        <f>SUMIF(SUTElec!$B$45:$B$100,$A13,SUTElec!M$45:M$100)*3.6</f>
        <v>129042</v>
      </c>
      <c r="J13" s="20">
        <f>gas!C35</f>
        <v>1232.300537109375</v>
      </c>
      <c r="K13" s="20">
        <v>1499</v>
      </c>
      <c r="L13" s="18" t="s">
        <v>43</v>
      </c>
      <c r="P13" s="23">
        <f>20074/100</f>
        <v>200.74</v>
      </c>
      <c r="Q13" s="23">
        <v>526</v>
      </c>
      <c r="R13" s="24">
        <v>440.85982000000001</v>
      </c>
    </row>
    <row r="14" spans="1:39" ht="15.75" customHeight="1">
      <c r="A14" s="21" t="s">
        <v>44</v>
      </c>
      <c r="B14" s="9"/>
      <c r="D14" s="20"/>
      <c r="E14" s="13"/>
      <c r="F14" s="13"/>
      <c r="G14" s="17">
        <v>72723</v>
      </c>
      <c r="H14" s="20">
        <f>SUMIF(SUTElec!$B$45:$B$100,$A14,SUTElec!L$45:L$100)*3.6</f>
        <v>0</v>
      </c>
      <c r="I14" s="20">
        <f>SUMIF(SUTElec!$B$45:$B$100,$A14,SUTElec!M$45:M$100)*3.6</f>
        <v>0</v>
      </c>
      <c r="J14" s="20"/>
      <c r="K14" s="9">
        <v>1</v>
      </c>
      <c r="L14" s="9">
        <v>1</v>
      </c>
      <c r="P14" s="9"/>
      <c r="R14" s="9"/>
      <c r="S14" s="9"/>
      <c r="X14" s="9">
        <v>1</v>
      </c>
      <c r="Z14" s="9">
        <v>1</v>
      </c>
    </row>
    <row r="15" spans="1:39" ht="15.75" customHeight="1">
      <c r="A15" s="14" t="s">
        <v>45</v>
      </c>
      <c r="B15" s="25"/>
      <c r="D15" s="20">
        <f>SUMIF(SUTCoal!$B$66:$B$86,A15,SUTCoal!$K$66:$K$86)</f>
        <v>38149.398862713242</v>
      </c>
      <c r="E15" s="13"/>
      <c r="F15" s="13"/>
      <c r="G15" s="13"/>
      <c r="H15" s="20">
        <f>SUMIF(SUTElec!$B$45:$B$100,$A15,SUTElec!L$45:L$100)*3.6</f>
        <v>110071.95</v>
      </c>
      <c r="I15" s="20">
        <f>SUMIF(SUTElec!$B$45:$B$100,$A15,SUTElec!M$45:M$100)*3.6</f>
        <v>110071.95</v>
      </c>
      <c r="J15" s="20">
        <f>gas!C26</f>
        <v>0</v>
      </c>
      <c r="K15" s="24">
        <v>46046</v>
      </c>
      <c r="Q15" s="9"/>
      <c r="R15" s="24">
        <v>135.85721000000001</v>
      </c>
      <c r="X15" s="9"/>
    </row>
    <row r="16" spans="1:39" ht="15.75" customHeight="1">
      <c r="A16" s="14" t="s">
        <v>46</v>
      </c>
      <c r="B16" s="25"/>
      <c r="D16" s="20">
        <f>SUMIF(SUTCoal!$B$66:$B$86,A16,SUTCoal!$K$66:$K$86)</f>
        <v>45800</v>
      </c>
      <c r="E16" s="13"/>
      <c r="F16" s="13"/>
      <c r="G16" s="26">
        <v>46089</v>
      </c>
      <c r="H16" s="20">
        <f>SUMIF(SUTElec!$B$45:$B$100,$A16,SUTElec!L$45:L$100)*3.6</f>
        <v>51898.610229872764</v>
      </c>
      <c r="I16" s="20">
        <f>SUMIF(SUTElec!$B$45:$B$100,$A16,SUTElec!M$45:M$100)*3.6</f>
        <v>51898.610229872764</v>
      </c>
      <c r="J16" s="20"/>
      <c r="Q16" s="9"/>
      <c r="R16" s="9"/>
      <c r="X16" s="9"/>
    </row>
    <row r="17" spans="1:39" ht="15.75" customHeight="1">
      <c r="A17" s="14" t="s">
        <v>47</v>
      </c>
      <c r="B17" s="25"/>
      <c r="D17" s="20">
        <f>SUMIF(SUTCoal!$B$66:$B$86,A17,SUTCoal!$K$66:$K$86)</f>
        <v>80400</v>
      </c>
      <c r="E17" s="13"/>
      <c r="F17" s="13"/>
      <c r="G17" s="26">
        <v>29827.77</v>
      </c>
      <c r="H17" s="20">
        <f>SUMIF(SUTElec!$B$45:$B$100,$A17,SUTElec!L$45:L$100)*3.6</f>
        <v>17311.869770127232</v>
      </c>
      <c r="I17" s="20">
        <f>SUMIF(SUTElec!$B$45:$B$100,$A17,SUTElec!M$45:M$100)*3.6</f>
        <v>17311.869770127232</v>
      </c>
      <c r="J17" s="20">
        <f>gas!C20</f>
        <v>9877.6650390625</v>
      </c>
      <c r="Q17" s="9"/>
      <c r="R17" s="18">
        <v>242</v>
      </c>
      <c r="X17" s="9"/>
    </row>
    <row r="18" spans="1:39" ht="15.75" customHeight="1">
      <c r="A18" s="14" t="s">
        <v>48</v>
      </c>
      <c r="B18" s="25"/>
      <c r="D18" s="20">
        <f>SUMIF(SUTCoal!$B$66:$B$86,A18,SUTCoal!$K$66:$K$86)</f>
        <v>24367.322234482759</v>
      </c>
      <c r="E18" s="13"/>
      <c r="F18" s="13"/>
      <c r="G18" s="13"/>
      <c r="H18" s="20">
        <f>SUMIF(SUTElec!$B$45:$B$100,$A18,SUTElec!L$45:L$100)*3.6</f>
        <v>31985.351999999999</v>
      </c>
      <c r="I18" s="20">
        <f>SUMIF(SUTElec!$B$45:$B$100,$A18,SUTElec!M$45:M$100)*3.6</f>
        <v>37093.930560000001</v>
      </c>
      <c r="J18" s="27">
        <v>28640.3</v>
      </c>
      <c r="P18" s="14">
        <v>1100</v>
      </c>
      <c r="Q18" s="9"/>
      <c r="R18" s="9"/>
      <c r="X18" s="9"/>
    </row>
    <row r="19" spans="1:39" ht="15.75" customHeight="1">
      <c r="A19" s="14" t="s">
        <v>49</v>
      </c>
      <c r="B19" s="25"/>
      <c r="D19" s="20"/>
      <c r="E19" s="13"/>
      <c r="F19" s="13"/>
      <c r="G19" s="13"/>
      <c r="H19" s="20">
        <v>37372</v>
      </c>
      <c r="I19" s="20"/>
      <c r="J19" s="20">
        <v>1773</v>
      </c>
      <c r="K19" s="28"/>
      <c r="P19" s="14">
        <v>562.98</v>
      </c>
      <c r="Q19" s="9"/>
      <c r="R19" s="18">
        <v>2627</v>
      </c>
      <c r="X19" s="9"/>
    </row>
    <row r="20" spans="1:39" ht="15.75" customHeight="1">
      <c r="A20" s="14" t="s">
        <v>50</v>
      </c>
      <c r="B20" s="25"/>
      <c r="D20" s="20">
        <f>SUMIF(SUTCoal!$B$66:$B$86,A20,SUTCoal!$K$66:$K$86)</f>
        <v>415.63769293257508</v>
      </c>
      <c r="E20" s="13"/>
      <c r="F20" s="13"/>
      <c r="G20" s="13"/>
      <c r="H20" s="20">
        <f>SUMIF(SUTElec!$B$45:$B$100,$A20,SUTElec!L$45:L$100)*3.6-H19</f>
        <v>16707.129999999997</v>
      </c>
      <c r="I20" s="20">
        <f>SUMIF(SUTElec!$B$45:$B$100,$A20,SUTElec!M$45:M$100)*3.6</f>
        <v>54079.13</v>
      </c>
      <c r="J20" s="20">
        <f>gas!C22</f>
        <v>506.87100219726563</v>
      </c>
      <c r="K20" s="28"/>
      <c r="Q20" s="9"/>
      <c r="X20" s="9"/>
    </row>
    <row r="21" spans="1:39" ht="15.75" customHeight="1">
      <c r="A21" s="14" t="s">
        <v>51</v>
      </c>
      <c r="B21" s="25"/>
      <c r="D21" s="20">
        <f>SUMIF(SUTCoal!$B$66:$B$86,A21,SUTCoal!$K$66:$K$86)</f>
        <v>48900</v>
      </c>
      <c r="E21" s="13"/>
      <c r="F21" s="13"/>
      <c r="G21" s="13"/>
      <c r="H21" s="20">
        <f>SUMIF(SUTElec!$B$45:$B$100,$A21,SUTElec!L$45:L$100)*3.6</f>
        <v>5874.5159999999996</v>
      </c>
      <c r="I21" s="20">
        <f>SUMIF(SUTElec!$B$45:$B$100,$A21,SUTElec!M$45:M$100)*3.6</f>
        <v>5874.5159999999996</v>
      </c>
      <c r="J21" s="20">
        <f>gas!C23</f>
        <v>15122.775390625</v>
      </c>
      <c r="P21" s="18">
        <v>8116</v>
      </c>
      <c r="Q21" s="9"/>
      <c r="R21" s="9"/>
      <c r="X21" s="9"/>
    </row>
    <row r="22" spans="1:39" ht="15.75" customHeight="1">
      <c r="A22" s="14" t="s">
        <v>52</v>
      </c>
      <c r="B22" s="25"/>
      <c r="D22" s="20">
        <f>SUMIF(SUTCoal!$B$66:$B$86,A22,SUTCoal!$K$66:$K$86)</f>
        <v>10881.941510966695</v>
      </c>
      <c r="E22" s="13"/>
      <c r="F22" s="13"/>
      <c r="G22" s="13"/>
      <c r="H22" s="20">
        <f>SUMIF(SUTElec!$B$45:$B$100,$A22,SUTElec!L$45:L$100)*3.6</f>
        <v>14952.240000000002</v>
      </c>
      <c r="I22" s="20">
        <f>SUMIF(SUTElec!$B$45:$B$100,$A22,SUTElec!M$45:M$100)*3.6</f>
        <v>17502.240000000002</v>
      </c>
      <c r="J22" s="20">
        <f>gas!C27</f>
        <v>3824.499755859375</v>
      </c>
      <c r="P22" s="18" t="s">
        <v>53</v>
      </c>
      <c r="Q22" s="9"/>
      <c r="R22" s="9"/>
      <c r="S22" s="29">
        <f>45.296208*1000</f>
        <v>45296.207999999999</v>
      </c>
      <c r="X22" s="9"/>
    </row>
    <row r="23" spans="1:39" ht="15.75" customHeight="1">
      <c r="A23" s="14" t="s">
        <v>54</v>
      </c>
      <c r="B23" s="25"/>
      <c r="D23" s="20">
        <f>SUMIF(SUTCoal!$B$66:$B$86,A23,SUTCoal!$K$66:$K$86)</f>
        <v>0</v>
      </c>
      <c r="E23" s="13"/>
      <c r="F23" s="13"/>
      <c r="G23" s="13"/>
      <c r="H23" s="20">
        <f>SUMIF(SUTElec!$B$45:$B$100,$A23,SUTElec!L$45:L$100)*3.6</f>
        <v>7966.2960000000003</v>
      </c>
      <c r="I23" s="20">
        <f>SUMIF(SUTElec!$B$45:$B$100,$A23,SUTElec!M$45:M$100)*3.6</f>
        <v>14234.963364000001</v>
      </c>
      <c r="J23" s="20">
        <f>gas!C28</f>
        <v>624.001708984375</v>
      </c>
      <c r="M23" s="20"/>
      <c r="P23" s="18">
        <v>1213</v>
      </c>
      <c r="Q23" s="9"/>
      <c r="R23" s="9"/>
    </row>
    <row r="24" spans="1:39" ht="15.75" customHeight="1">
      <c r="A24" s="14" t="s">
        <v>55</v>
      </c>
      <c r="B24" s="25"/>
      <c r="D24" s="20">
        <f>SUMIF(SUTCoal!$B$66:$B$86,A24,SUTCoal!$K$66:$K$86)</f>
        <v>126160.36068237205</v>
      </c>
      <c r="E24" s="13"/>
      <c r="F24" s="13"/>
      <c r="G24" s="13"/>
      <c r="H24" s="20">
        <f>SUMIF(SUTElec!$B$45:$B$100,$A24,SUTElec!L$45:L$100)*3.6</f>
        <v>22607.69</v>
      </c>
      <c r="I24" s="20">
        <f>SUMIF(SUTElec!$B$45:$B$100,$A24,SUTElec!M$45:M$100)*3.6</f>
        <v>22607.69</v>
      </c>
      <c r="J24" s="20">
        <f>gas!C31+gas!C32+gas!C24+gas!C25</f>
        <v>4289.0572681427002</v>
      </c>
      <c r="K24" s="24">
        <v>37630</v>
      </c>
      <c r="P24" s="18" t="s">
        <v>53</v>
      </c>
      <c r="Q24" s="9"/>
      <c r="R24" s="9"/>
      <c r="X24" s="9"/>
    </row>
    <row r="25" spans="1:39" ht="15.75" customHeight="1">
      <c r="A25" s="21" t="s">
        <v>56</v>
      </c>
      <c r="B25" s="25"/>
      <c r="D25" s="20">
        <f>SUMIF(SUTCoal!$B$66:$B$86,A25,SUTCoal!$K$66:$K$86)</f>
        <v>15617</v>
      </c>
      <c r="E25" s="13"/>
      <c r="F25" s="13"/>
      <c r="G25" s="13"/>
      <c r="H25" s="20">
        <f>SUMIF(SUTElec!$B$45:$B$100,$A25,SUTElec!L$45:L$100)*3.6</f>
        <v>172332</v>
      </c>
      <c r="I25" s="20">
        <f>SUMIF(SUTElec!$B$45:$B$100,$A25,SUTElec!M$45:M$100)*3.6</f>
        <v>172332</v>
      </c>
      <c r="J25" s="20">
        <f>gas!C36</f>
        <v>220.49711608886719</v>
      </c>
      <c r="Q25" s="23">
        <v>9649</v>
      </c>
      <c r="R25" s="30">
        <v>17978</v>
      </c>
      <c r="X25" s="23">
        <v>83767</v>
      </c>
    </row>
    <row r="26" spans="1:39" ht="15.75" customHeight="1">
      <c r="A26" s="18" t="s">
        <v>57</v>
      </c>
      <c r="B26" s="25"/>
      <c r="D26" s="20">
        <f>SUMIF(SUTCoal!$B$66:$B$86,A26,SUTCoal!$K$66:$K$86)</f>
        <v>0</v>
      </c>
      <c r="E26" s="13"/>
      <c r="F26" s="13"/>
      <c r="G26" s="13"/>
      <c r="H26" s="20">
        <f>SUMIF(SUTElec!$B$45:$B$100,$A26,SUTElec!L$45:L$100)*3.6</f>
        <v>12535.2</v>
      </c>
      <c r="I26" s="20">
        <f>SUMIF(SUTElec!$B$45:$B$100,$A26,SUTElec!M$45:M$100)*3.6</f>
        <v>12535.2</v>
      </c>
      <c r="J26" s="20">
        <v>0</v>
      </c>
      <c r="K26" s="20">
        <v>395724</v>
      </c>
      <c r="L26" s="31">
        <f>382151/425129.6473 * 425129.6473</f>
        <v>382151</v>
      </c>
      <c r="M26" s="20">
        <f>68939+20465</f>
        <v>89404</v>
      </c>
      <c r="N26" s="32"/>
      <c r="O26" s="32">
        <v>0</v>
      </c>
      <c r="P26" s="20">
        <f>26455.61401-21947</f>
        <v>4508.6140100000011</v>
      </c>
      <c r="Q26" s="32">
        <v>399.06319999999999</v>
      </c>
      <c r="R26" s="32">
        <v>125.9603</v>
      </c>
      <c r="T26" s="14">
        <v>0</v>
      </c>
      <c r="U26" s="14">
        <v>0</v>
      </c>
    </row>
    <row r="27" spans="1:39" ht="15.75" customHeight="1">
      <c r="A27" s="21" t="s">
        <v>58</v>
      </c>
      <c r="B27" s="9"/>
      <c r="D27" s="9"/>
      <c r="I27" s="20"/>
      <c r="J27" s="20"/>
    </row>
    <row r="28" spans="1:39" ht="15.75" customHeight="1">
      <c r="A28" s="33" t="s">
        <v>59</v>
      </c>
      <c r="B28" s="34"/>
      <c r="C28" s="34"/>
      <c r="D28" s="35">
        <f>D11+D32+SUM(D34:D44)</f>
        <v>5325617.9703152496</v>
      </c>
      <c r="E28" s="34"/>
      <c r="F28" s="34"/>
      <c r="G28" s="34"/>
      <c r="H28" s="35">
        <f>H11+SUM(H36:H38)+SUM(H46:H53)+H32</f>
        <v>851121.62040248094</v>
      </c>
      <c r="I28" s="35"/>
      <c r="J28" s="35">
        <f>J11+SUM(J36:J38)+SUM(J46:J53)+J32+J35+J40+J43+J44</f>
        <v>169963.93612716038</v>
      </c>
      <c r="K28" s="35">
        <f t="shared" ref="K28:R28" si="4">K11+K32</f>
        <v>598494.67799999996</v>
      </c>
      <c r="L28" s="35">
        <f t="shared" si="4"/>
        <v>420514.73300000001</v>
      </c>
      <c r="M28" s="35">
        <f t="shared" si="4"/>
        <v>101385.08100000001</v>
      </c>
      <c r="N28" s="35">
        <f t="shared" si="4"/>
        <v>0</v>
      </c>
      <c r="O28" s="35">
        <f t="shared" si="4"/>
        <v>0</v>
      </c>
      <c r="P28" s="35">
        <f t="shared" si="4"/>
        <v>121325.33400999999</v>
      </c>
      <c r="Q28" s="35">
        <f t="shared" si="4"/>
        <v>13739.843200000001</v>
      </c>
      <c r="R28" s="35">
        <f t="shared" si="4"/>
        <v>23519.444329999998</v>
      </c>
      <c r="S28" s="36">
        <v>0</v>
      </c>
      <c r="T28" s="36" t="s">
        <v>60</v>
      </c>
      <c r="U28" s="34"/>
      <c r="V28" s="36" t="s">
        <v>61</v>
      </c>
      <c r="W28" s="34"/>
      <c r="X28" s="36" t="s">
        <v>62</v>
      </c>
      <c r="Y28" s="34"/>
      <c r="Z28" s="34"/>
      <c r="AA28" s="34"/>
      <c r="AB28" s="34"/>
      <c r="AC28" s="34"/>
      <c r="AD28" s="34"/>
      <c r="AE28" s="34"/>
      <c r="AF28" s="34"/>
      <c r="AG28" s="34"/>
      <c r="AH28" s="34"/>
      <c r="AI28" s="34"/>
      <c r="AJ28" s="34"/>
      <c r="AK28" s="34"/>
      <c r="AL28" s="34"/>
      <c r="AM28" s="34"/>
    </row>
    <row r="29" spans="1:39" ht="15.75" customHeight="1">
      <c r="A29" s="37" t="s">
        <v>63</v>
      </c>
      <c r="B29" s="38"/>
      <c r="C29" s="38"/>
      <c r="D29" s="39">
        <f>D30+D31</f>
        <v>5347709.2626229413</v>
      </c>
      <c r="E29" s="38"/>
      <c r="F29" s="38"/>
      <c r="G29" s="38"/>
      <c r="H29" s="39">
        <f>H34+H31</f>
        <v>846194.4</v>
      </c>
      <c r="I29" s="39"/>
      <c r="J29" s="39">
        <f>SUM(J30:J31)-J32</f>
        <v>168739.25</v>
      </c>
      <c r="K29" s="39">
        <f t="shared" ref="K29:S29" si="5">K30+K31</f>
        <v>549333.77</v>
      </c>
      <c r="L29" s="39">
        <f t="shared" si="5"/>
        <v>442422.55799999996</v>
      </c>
      <c r="M29" s="39">
        <f t="shared" si="5"/>
        <v>105037.08100000001</v>
      </c>
      <c r="N29" s="39">
        <f t="shared" si="5"/>
        <v>938424.8</v>
      </c>
      <c r="O29" s="40">
        <f t="shared" si="5"/>
        <v>0</v>
      </c>
      <c r="P29" s="39">
        <f t="shared" si="5"/>
        <v>140000</v>
      </c>
      <c r="Q29" s="39">
        <f t="shared" si="5"/>
        <v>23976</v>
      </c>
      <c r="R29" s="39">
        <f t="shared" si="5"/>
        <v>16636.767</v>
      </c>
      <c r="S29" s="39">
        <f t="shared" si="5"/>
        <v>0</v>
      </c>
      <c r="T29" s="38"/>
      <c r="U29" s="38"/>
      <c r="V29" s="38"/>
      <c r="W29" s="38"/>
      <c r="X29" s="38"/>
      <c r="Y29" s="38"/>
      <c r="Z29" s="38"/>
      <c r="AA29" s="38"/>
      <c r="AB29" s="38"/>
      <c r="AC29" s="38"/>
      <c r="AD29" s="38"/>
      <c r="AE29" s="38"/>
      <c r="AF29" s="38"/>
      <c r="AG29" s="38"/>
      <c r="AH29" s="38"/>
      <c r="AI29" s="38"/>
      <c r="AJ29" s="38"/>
      <c r="AK29" s="38"/>
      <c r="AL29" s="38"/>
      <c r="AM29" s="38"/>
    </row>
    <row r="30" spans="1:39" ht="15.75" customHeight="1">
      <c r="A30" s="14" t="s">
        <v>64</v>
      </c>
      <c r="D30" s="20">
        <f>SUTCoal!K4</f>
        <v>5347709.2626229413</v>
      </c>
      <c r="G30" s="14" t="s">
        <v>53</v>
      </c>
      <c r="I30" s="20"/>
      <c r="J30" s="20">
        <v>25838</v>
      </c>
      <c r="K30" s="20">
        <v>319100</v>
      </c>
      <c r="L30" s="20">
        <v>367400</v>
      </c>
      <c r="M30" s="20">
        <f>93056
-M31+M32</f>
        <v>90633.832000000009</v>
      </c>
      <c r="N30" s="20">
        <v>2255</v>
      </c>
      <c r="P30" s="20">
        <v>140000</v>
      </c>
      <c r="Q30" s="20">
        <f>23976
-Q31+Q32</f>
        <v>23976</v>
      </c>
      <c r="R30" s="20">
        <f>14712
-R31+R32</f>
        <v>13182.057000000001</v>
      </c>
      <c r="S30" s="20"/>
    </row>
    <row r="31" spans="1:39" ht="15.75" customHeight="1">
      <c r="A31" s="14" t="s">
        <v>65</v>
      </c>
      <c r="D31" s="14">
        <v>0</v>
      </c>
      <c r="G31" s="14" t="s">
        <v>53</v>
      </c>
      <c r="H31" s="20">
        <f>9064.9*3.6</f>
        <v>32633.64</v>
      </c>
      <c r="I31" s="20"/>
      <c r="J31" s="20">
        <f>143.4*1000</f>
        <v>143400</v>
      </c>
      <c r="K31" s="20">
        <f>5070*45.411</f>
        <v>230233.77000000002</v>
      </c>
      <c r="L31" s="20">
        <f>1586*47.303</f>
        <v>75022.55799999999</v>
      </c>
      <c r="M31" s="20">
        <f>333*43.253</f>
        <v>14403.249</v>
      </c>
      <c r="N31" s="20">
        <v>936169.8</v>
      </c>
      <c r="P31" s="20">
        <v>0</v>
      </c>
      <c r="Q31" s="20">
        <v>0</v>
      </c>
      <c r="R31" s="20">
        <f>70*49.353</f>
        <v>3454.71</v>
      </c>
      <c r="S31" s="20"/>
      <c r="V31" s="14" t="s">
        <v>66</v>
      </c>
      <c r="X31" s="14" t="s">
        <v>67</v>
      </c>
    </row>
    <row r="32" spans="1:39" ht="15.75" customHeight="1">
      <c r="A32" s="14" t="s">
        <v>68</v>
      </c>
      <c r="D32" s="20">
        <f>SUMIF(SUTCoal!$B$50:$B$86,A32,SUTCoal!$K$50:$K$86)</f>
        <v>1727000</v>
      </c>
      <c r="H32" s="20">
        <f>SUMIF(SUTElec!$B$45:$B$100,$A32,SUTElec!L$45:L$100)*3.6</f>
        <v>57195.421436004166</v>
      </c>
      <c r="I32" s="20"/>
      <c r="J32" s="20">
        <f>-gas!C7</f>
        <v>498.75</v>
      </c>
      <c r="K32" s="20">
        <f>1498*45.411</f>
        <v>68025.678</v>
      </c>
      <c r="L32" s="20">
        <f>811*47.303</f>
        <v>38362.733</v>
      </c>
      <c r="M32" s="20">
        <f>277*43.253</f>
        <v>11981.081</v>
      </c>
      <c r="N32" s="20"/>
      <c r="P32" s="20">
        <v>103000</v>
      </c>
      <c r="Q32" s="20">
        <v>0</v>
      </c>
      <c r="R32" s="20">
        <f>39*49.353</f>
        <v>1924.7670000000001</v>
      </c>
      <c r="S32" s="20"/>
    </row>
    <row r="33" spans="1:24" ht="15.75" customHeight="1">
      <c r="A33" s="15" t="s">
        <v>69</v>
      </c>
      <c r="D33" s="20"/>
      <c r="H33" s="14"/>
      <c r="I33" s="20"/>
      <c r="J33" s="20"/>
      <c r="K33" s="20">
        <f t="shared" ref="K33:L33" si="6">K31-K32</f>
        <v>162208.092</v>
      </c>
      <c r="L33" s="20">
        <f t="shared" si="6"/>
        <v>36659.82499999999</v>
      </c>
      <c r="M33" s="20"/>
      <c r="N33" s="20"/>
      <c r="P33" s="20"/>
      <c r="Q33" s="20"/>
      <c r="R33" s="20"/>
      <c r="S33" s="20"/>
    </row>
    <row r="34" spans="1:24" ht="15.75" customHeight="1">
      <c r="A34" s="14" t="s">
        <v>70</v>
      </c>
      <c r="D34" s="20">
        <f>SUMIF(SUTCoal!$B$50:$B$86,A34,SUTCoal!$K$50:$K$86)</f>
        <v>2295861.6315662651</v>
      </c>
      <c r="H34" s="20">
        <f>235054*3.6-H31</f>
        <v>813560.76</v>
      </c>
      <c r="I34" s="20"/>
      <c r="J34" s="20"/>
      <c r="K34" s="20">
        <v>388</v>
      </c>
      <c r="L34" s="20"/>
      <c r="M34" s="20"/>
      <c r="N34" s="20"/>
      <c r="P34" s="41">
        <v>9790</v>
      </c>
      <c r="Q34" s="20">
        <v>3.78</v>
      </c>
      <c r="R34" s="20"/>
      <c r="S34" s="20"/>
    </row>
    <row r="35" spans="1:24" ht="15.75" customHeight="1">
      <c r="A35" s="14" t="s">
        <v>71</v>
      </c>
      <c r="D35" s="41">
        <v>553766</v>
      </c>
      <c r="I35" s="20"/>
      <c r="J35" s="42">
        <f>1.262931*41*1000</f>
        <v>51780.171000000002</v>
      </c>
      <c r="K35" s="20"/>
      <c r="L35" s="20"/>
      <c r="M35" s="20"/>
      <c r="N35" s="20"/>
      <c r="O35" s="43"/>
      <c r="P35" s="20"/>
      <c r="Q35" s="20"/>
      <c r="R35" s="20"/>
      <c r="S35" s="20"/>
    </row>
    <row r="36" spans="1:24" ht="15.75" customHeight="1">
      <c r="A36" s="44" t="s">
        <v>72</v>
      </c>
      <c r="D36" s="20">
        <f>SUMIF(SUTCoal!$B$50:$B$86,A36,SUTCoal!$K$50:$K$86)</f>
        <v>206949</v>
      </c>
      <c r="H36" s="20">
        <f>SUMIF(SUTElec!$B$45:$B$100,$A36,SUTElec!L$45:L$100)*3.6</f>
        <v>17553.600000000002</v>
      </c>
      <c r="I36" s="20">
        <f>SUMIF(SUTElec!$B$45:$B$100,$A36,SUTElec!M$45:M$100)*3.6</f>
        <v>37729.562616000003</v>
      </c>
      <c r="J36" s="20"/>
      <c r="K36" s="20"/>
      <c r="L36" s="20"/>
      <c r="M36" s="20"/>
      <c r="N36" s="20"/>
      <c r="O36" s="43"/>
      <c r="P36" s="20"/>
      <c r="Q36" s="20"/>
      <c r="R36" s="20"/>
      <c r="S36" s="20"/>
    </row>
    <row r="37" spans="1:24" ht="15.75" customHeight="1">
      <c r="A37" s="44" t="s">
        <v>73</v>
      </c>
      <c r="H37" s="20">
        <f>SUMIF(SUTElec!$B$45:$B$100,$A37,SUTElec!L$45:L$100)*3.6</f>
        <v>3027</v>
      </c>
      <c r="I37" s="20">
        <f>SUMIF(SUTElec!$B$45:$B$100,$A37,SUTElec!M$45:M$100)*3.6</f>
        <v>3027</v>
      </c>
      <c r="J37" s="20">
        <v>25838</v>
      </c>
      <c r="K37" s="20"/>
      <c r="L37" s="20"/>
      <c r="M37" s="20"/>
      <c r="N37" s="20">
        <f>N30</f>
        <v>2255</v>
      </c>
      <c r="O37" s="43"/>
      <c r="P37" s="20"/>
      <c r="Q37" s="20"/>
      <c r="R37" s="20"/>
      <c r="S37" s="20"/>
    </row>
    <row r="38" spans="1:24" ht="15.75" customHeight="1">
      <c r="A38" s="44" t="s">
        <v>74</v>
      </c>
      <c r="H38" s="20">
        <f>SUMIF(SUTElec!$B$45:$B$100,$A38,SUTElec!L$45:L$100)*3.6</f>
        <v>4233.6000000000004</v>
      </c>
      <c r="I38" s="20">
        <f>SUMIF(SUTElec!$B$45:$B$100,$A38,SUTElec!M$45:M$100)*3.6</f>
        <v>4233.6000000000004</v>
      </c>
      <c r="J38" s="43"/>
      <c r="K38" s="20"/>
      <c r="L38" s="20"/>
      <c r="M38" s="20"/>
      <c r="N38" s="20">
        <v>936169.8</v>
      </c>
      <c r="O38" s="43"/>
      <c r="P38" s="20"/>
      <c r="Q38" s="20"/>
      <c r="R38" s="20"/>
      <c r="S38" s="20"/>
    </row>
    <row r="39" spans="1:24" ht="15.75" customHeight="1">
      <c r="A39" s="15" t="s">
        <v>75</v>
      </c>
      <c r="H39" s="43"/>
      <c r="I39" s="43"/>
      <c r="J39" s="43"/>
      <c r="N39" s="43"/>
      <c r="O39" s="43"/>
      <c r="P39" s="20"/>
      <c r="Q39" s="20"/>
      <c r="R39" s="20"/>
      <c r="S39" s="20"/>
    </row>
    <row r="40" spans="1:24" ht="15.75" customHeight="1">
      <c r="A40" s="45" t="s">
        <v>76</v>
      </c>
      <c r="D40" s="20">
        <f>SUMIF(SUTCoal!$B$50:$B$86,A40,SUTCoal!$K$50:$K$86)</f>
        <v>0</v>
      </c>
      <c r="H40" s="43"/>
      <c r="I40" s="43">
        <v>66.400000000000006</v>
      </c>
      <c r="J40" s="43">
        <v>201.1</v>
      </c>
      <c r="P40" s="20"/>
      <c r="Q40" s="20"/>
      <c r="R40" s="20"/>
      <c r="S40" s="20"/>
    </row>
    <row r="41" spans="1:24" ht="15.75" customHeight="1">
      <c r="A41" s="46" t="s">
        <v>77</v>
      </c>
      <c r="D41" s="20">
        <f>SUMIF(SUTCoal!$B$50:$B$86,A41,SUTCoal!$K$50:$K$86)</f>
        <v>54802</v>
      </c>
      <c r="H41" s="20"/>
      <c r="I41" s="20">
        <f>SUMIF(SUTElec!$B$45:$B$100,$A41,SUTElec!M$45:M$100)*3.6</f>
        <v>6268.6673639999999</v>
      </c>
      <c r="P41" s="20"/>
      <c r="Q41" s="20"/>
      <c r="R41" s="20"/>
      <c r="S41" s="20"/>
      <c r="W41" s="47">
        <f>D42</f>
        <v>5390</v>
      </c>
    </row>
    <row r="42" spans="1:24" ht="15.75" customHeight="1">
      <c r="A42" s="45" t="s">
        <v>78</v>
      </c>
      <c r="D42" s="20">
        <f>SUMIF(SUTCoal!$B$50:$B$86,A42,SUTCoal!$K$50:$K$86)</f>
        <v>5390</v>
      </c>
      <c r="I42" s="20">
        <f>SUMIF(SUTElec!$B$45:$B$100,$A42,SUTElec!M$45:M$100)*3.6</f>
        <v>2550</v>
      </c>
      <c r="P42" s="20"/>
      <c r="Q42" s="20"/>
      <c r="R42" s="20"/>
      <c r="S42" s="20">
        <v>38430</v>
      </c>
    </row>
    <row r="43" spans="1:24" ht="15.75" customHeight="1">
      <c r="A43" s="46" t="s">
        <v>79</v>
      </c>
      <c r="D43" s="20">
        <f>SUMIF(SUTCoal!$B$50:$B$86,A43,SUTCoal!$K$50:$K$86)</f>
        <v>8050.67776551724</v>
      </c>
      <c r="I43" s="20">
        <f>SUMIF(SUTElec!$B$45:$B$100,$A43,SUTElec!M$45:M$100)*3.6</f>
        <v>5108.5785599999999</v>
      </c>
      <c r="J43" s="48">
        <f>NERSA2017!P141*1000</f>
        <v>6357.0344000000005</v>
      </c>
      <c r="X43" s="14">
        <v>980</v>
      </c>
    </row>
    <row r="44" spans="1:24" ht="15.75" customHeight="1">
      <c r="A44" s="49" t="s">
        <v>80</v>
      </c>
      <c r="D44" s="20">
        <f>SUMIF(SUTCoal!$B$50:$B$86,A44,SUTCoal!$K$50:$K$86)</f>
        <v>54454</v>
      </c>
      <c r="I44" s="20">
        <f>SUMIF(SUTElec!$B$45:$B$100,$A44,SUTElec!M$45:M$100)*3.6</f>
        <v>20175.962616000001</v>
      </c>
      <c r="J44" s="48">
        <f>NERSA2017!P140*1000</f>
        <v>19177.912909090912</v>
      </c>
    </row>
    <row r="46" spans="1:24" ht="15.75" customHeight="1">
      <c r="A46" s="15" t="s">
        <v>81</v>
      </c>
      <c r="G46" s="50"/>
      <c r="H46" s="20">
        <f>SUMIF(SUTElec!$B$45:$B$100,$A46,SUTElec!L$45:L$100)*3.6</f>
        <v>33001.581599999998</v>
      </c>
      <c r="I46" s="50">
        <f>SUMIF(SUTElec!$B$45:$B$100,$A46,SUTElec!K$45:K$100)</f>
        <v>3.9E-2</v>
      </c>
    </row>
    <row r="47" spans="1:24" ht="15.75" customHeight="1">
      <c r="A47" s="14" t="s">
        <v>82</v>
      </c>
      <c r="H47" s="20">
        <f>SUMIF(SUTElec!$B$45:$B$100,$A47,SUTElec!L$45:L$100)*3.6</f>
        <v>3103.8620689655163</v>
      </c>
      <c r="I47" s="50">
        <f>SUMIF(SUTElec!$B$45:$B$100,$A47,SUTElec!K$45:K$100)</f>
        <v>0.13</v>
      </c>
    </row>
    <row r="48" spans="1:24" ht="15.75" customHeight="1">
      <c r="A48" s="14" t="s">
        <v>83</v>
      </c>
      <c r="H48" s="20">
        <f>SUMIF(SUTElec!$B$45:$B$100,$A48,SUTElec!L$45:L$100)*3.6</f>
        <v>18098.250855188155</v>
      </c>
      <c r="I48" s="50">
        <f>SUMIF(SUTElec!$B$45:$B$100,$A48,SUTElec!K$45:K$100)</f>
        <v>0.123</v>
      </c>
    </row>
    <row r="49" spans="1:39" ht="15.75" customHeight="1">
      <c r="A49" s="14" t="s">
        <v>84</v>
      </c>
      <c r="H49" s="20">
        <f>SUMIF(SUTElec!$B$45:$B$100,$A49,SUTElec!L$45:L$100)*3.6</f>
        <v>42278.211706102142</v>
      </c>
      <c r="I49" s="50">
        <f>SUMIF(SUTElec!$B$45:$B$100,$A49,SUTElec!K$45:K$100)</f>
        <v>0.19700000000000001</v>
      </c>
    </row>
    <row r="50" spans="1:39" ht="15.75" customHeight="1">
      <c r="A50" s="14" t="s">
        <v>85</v>
      </c>
      <c r="H50" s="20">
        <f>SUMIF(SUTElec!$B$45:$B$100,$A50,SUTElec!L$45:L$100)*3.6</f>
        <v>632.02689075630281</v>
      </c>
      <c r="I50" s="50">
        <f>SUMIF(SUTElec!$B$45:$B$100,$A50,SUTElec!K$45:K$100)</f>
        <v>4.8000000000000001E-2</v>
      </c>
    </row>
    <row r="51" spans="1:39" ht="15.75" customHeight="1">
      <c r="A51" s="14" t="s">
        <v>86</v>
      </c>
      <c r="H51" s="20">
        <f>SUMIF(SUTElec!$B$45:$B$100,$A51,SUTElec!L$45:L$100)*3.6</f>
        <v>13192.066212765973</v>
      </c>
      <c r="I51" s="50">
        <f>SUMIF(SUTElec!$B$45:$B$100,$A51,SUTElec!K$45:K$100)</f>
        <v>0.06</v>
      </c>
    </row>
    <row r="52" spans="1:39" ht="15.75" customHeight="1">
      <c r="A52" s="14" t="s">
        <v>87</v>
      </c>
      <c r="H52" s="20">
        <f>SUMIF(SUTElec!$B$45:$B$100,$A52,SUTElec!L$45:L$100)*3.6</f>
        <v>5793.2605263157966</v>
      </c>
      <c r="I52" s="50">
        <f>SUMIF(SUTElec!$B$45:$B$100,$A52,SUTElec!K$45:K$100)</f>
        <v>0.05</v>
      </c>
    </row>
    <row r="53" spans="1:39" ht="15.75" customHeight="1">
      <c r="A53" s="14" t="s">
        <v>88</v>
      </c>
      <c r="H53" s="20">
        <f>SUMIF(SUTElec!$B$45:$B$100,$A53,SUTElec!L$45:L$100)*3.6</f>
        <v>1583.8851063829793</v>
      </c>
      <c r="I53" s="50">
        <f>SUMIF(SUTElec!$B$45:$B$100,$A53,SUTElec!K$45:K$100)</f>
        <v>0.06</v>
      </c>
    </row>
    <row r="54" spans="1:39" ht="15.75" customHeight="1"/>
    <row r="55" spans="1:39" ht="15.75" customHeight="1">
      <c r="A55" s="14" t="s">
        <v>89</v>
      </c>
      <c r="K55" s="10">
        <f t="shared" ref="K55:M55" si="7">K28/K29</f>
        <v>1.0894918730374066</v>
      </c>
      <c r="L55" s="10">
        <f t="shared" si="7"/>
        <v>0.95048212482872552</v>
      </c>
      <c r="M55" s="10">
        <f t="shared" si="7"/>
        <v>0.9652313262589618</v>
      </c>
      <c r="P55" s="10">
        <f t="shared" ref="P55:R55" si="8">P28/P29</f>
        <v>0.86660952864285712</v>
      </c>
      <c r="Q55" s="10">
        <f t="shared" si="8"/>
        <v>0.57306653319986656</v>
      </c>
      <c r="R55" s="10">
        <f t="shared" si="8"/>
        <v>1.4137028143749322</v>
      </c>
    </row>
    <row r="56" spans="1:39" ht="15.75" customHeight="1"/>
    <row r="57" spans="1:39" ht="15.75" customHeight="1">
      <c r="L57" s="51"/>
      <c r="M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spans="1:39" ht="15.75" customHeight="1">
      <c r="J58" s="14">
        <v>42</v>
      </c>
      <c r="K58" s="14" t="s">
        <v>90</v>
      </c>
      <c r="L58" s="51"/>
      <c r="M58" s="51"/>
      <c r="N58" s="51"/>
      <c r="O58" s="51"/>
      <c r="P58" s="51"/>
      <c r="Q58" s="51"/>
      <c r="R58" s="51"/>
      <c r="S58" s="51"/>
      <c r="T58" s="51"/>
      <c r="U58" s="51"/>
      <c r="V58" s="52"/>
      <c r="W58" s="52"/>
      <c r="X58" s="52"/>
      <c r="Y58" s="52"/>
      <c r="Z58" s="52"/>
      <c r="AA58" s="52"/>
      <c r="AB58" s="52"/>
      <c r="AC58" s="52"/>
      <c r="AD58" s="51"/>
      <c r="AE58" s="51"/>
      <c r="AF58" s="51"/>
      <c r="AG58" s="51"/>
      <c r="AH58" s="51"/>
      <c r="AI58" s="51"/>
      <c r="AJ58" s="51"/>
      <c r="AK58" s="51"/>
      <c r="AL58" s="51"/>
      <c r="AM58" s="51"/>
    </row>
    <row r="59" spans="1:39" ht="15.75" customHeight="1">
      <c r="J59" s="14">
        <v>55</v>
      </c>
      <c r="K59" s="14" t="s">
        <v>90</v>
      </c>
    </row>
    <row r="60" spans="1:39" ht="15.75" customHeight="1">
      <c r="J60" s="14">
        <v>2007</v>
      </c>
      <c r="K60" s="14" t="s">
        <v>91</v>
      </c>
    </row>
    <row r="61" spans="1:39" ht="15.75" customHeight="1">
      <c r="J61" s="10">
        <f>J60*J58</f>
        <v>84294</v>
      </c>
    </row>
    <row r="62" spans="1:39" ht="15.75" customHeight="1">
      <c r="J62" s="10">
        <f>J60*J59</f>
        <v>110385</v>
      </c>
    </row>
    <row r="63" spans="1:39" ht="15.75" customHeight="1"/>
    <row r="64" spans="1:39"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 right="0.7" top="0.75" bottom="0.75" header="0" footer="0"/>
  <pageSetup orientation="landscape"/>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4:P7"/>
  <sheetViews>
    <sheetView workbookViewId="0"/>
  </sheetViews>
  <sheetFormatPr defaultColWidth="11.21875" defaultRowHeight="15" customHeight="1"/>
  <sheetData>
    <row r="4" spans="1:16">
      <c r="A4" s="53"/>
      <c r="B4" s="53" t="s">
        <v>4</v>
      </c>
      <c r="C4" s="53" t="s">
        <v>36</v>
      </c>
      <c r="D4" s="53" t="s">
        <v>37</v>
      </c>
      <c r="E4" s="53" t="s">
        <v>9</v>
      </c>
      <c r="F4" s="53" t="s">
        <v>14</v>
      </c>
    </row>
    <row r="5" spans="1:16">
      <c r="A5" s="53" t="s">
        <v>48</v>
      </c>
      <c r="B5" s="53">
        <v>24367.322234482759</v>
      </c>
      <c r="C5" s="53">
        <v>31985.351999999999</v>
      </c>
      <c r="D5" s="53">
        <v>40459.030559999999</v>
      </c>
      <c r="E5" s="53">
        <v>28640.3</v>
      </c>
      <c r="F5" s="53">
        <v>1100</v>
      </c>
    </row>
    <row r="6" spans="1:16">
      <c r="A6" s="53" t="s">
        <v>72</v>
      </c>
      <c r="B6" s="53">
        <v>206949</v>
      </c>
      <c r="C6" s="53">
        <v>17553.600000000002</v>
      </c>
      <c r="D6" s="53">
        <v>33940.970820000002</v>
      </c>
      <c r="E6" s="53"/>
      <c r="F6" s="53"/>
    </row>
    <row r="7" spans="1:16">
      <c r="A7" s="54" t="s">
        <v>73</v>
      </c>
      <c r="B7" s="53"/>
      <c r="C7" s="55">
        <f>SUMIF(SUTElec!$B$45:$B$100,$A7,SUTElec!L$45:L$100)*3.6</f>
        <v>3027</v>
      </c>
      <c r="D7" s="55">
        <f>SUMIF(SUTElec!$B$45:$B$100,$A7,SUTElec!M$45:M$100)*3.6</f>
        <v>3027</v>
      </c>
      <c r="E7" s="55">
        <v>25838</v>
      </c>
      <c r="F7" s="55"/>
      <c r="L7" s="20"/>
      <c r="M7" s="20"/>
      <c r="N7" s="20">
        <f>N1</f>
        <v>0</v>
      </c>
      <c r="O7" s="43"/>
      <c r="P7" s="2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outlinePr summaryBelow="0" summaryRight="0"/>
  </sheetPr>
  <dimension ref="A1:L85"/>
  <sheetViews>
    <sheetView workbookViewId="0"/>
  </sheetViews>
  <sheetFormatPr defaultColWidth="11.21875" defaultRowHeight="15" customHeight="1"/>
  <cols>
    <col min="1" max="26" width="11.33203125" customWidth="1"/>
  </cols>
  <sheetData>
    <row r="1" spans="1:12" ht="15" customHeight="1">
      <c r="A1" s="429" t="s">
        <v>92</v>
      </c>
      <c r="B1" s="430"/>
      <c r="C1" s="430"/>
      <c r="D1" s="430"/>
      <c r="E1" s="430"/>
      <c r="F1" s="430"/>
      <c r="G1" s="430"/>
      <c r="H1" s="430"/>
      <c r="I1" s="430"/>
      <c r="J1" s="430"/>
      <c r="K1" s="430"/>
      <c r="L1" s="431"/>
    </row>
    <row r="2" spans="1:12" ht="15.75">
      <c r="A2" s="56" t="s">
        <v>93</v>
      </c>
      <c r="B2" s="57" t="s">
        <v>4</v>
      </c>
      <c r="C2" s="58" t="s">
        <v>39</v>
      </c>
      <c r="D2" s="59" t="s">
        <v>94</v>
      </c>
      <c r="E2" s="60" t="s">
        <v>9</v>
      </c>
      <c r="F2" s="61" t="s">
        <v>95</v>
      </c>
      <c r="G2" s="61" t="s">
        <v>96</v>
      </c>
      <c r="H2" s="61" t="s">
        <v>97</v>
      </c>
      <c r="I2" s="62" t="s">
        <v>98</v>
      </c>
      <c r="J2" s="61" t="s">
        <v>8</v>
      </c>
      <c r="K2" s="63" t="s">
        <v>99</v>
      </c>
      <c r="L2" s="64" t="s">
        <v>24</v>
      </c>
    </row>
    <row r="3" spans="1:12" ht="15.75">
      <c r="A3" s="56" t="s">
        <v>100</v>
      </c>
      <c r="B3" s="65"/>
      <c r="C3" s="66"/>
      <c r="D3" s="59" t="s">
        <v>101</v>
      </c>
      <c r="E3" s="67"/>
      <c r="F3" s="68"/>
      <c r="G3" s="68"/>
      <c r="H3" s="61" t="s">
        <v>102</v>
      </c>
      <c r="I3" s="62" t="s">
        <v>103</v>
      </c>
      <c r="J3" s="68"/>
      <c r="K3" s="69"/>
      <c r="L3" s="70"/>
    </row>
    <row r="4" spans="1:12">
      <c r="A4" s="71" t="s">
        <v>104</v>
      </c>
      <c r="B4" s="72">
        <v>6013584.2699999996</v>
      </c>
      <c r="C4" s="73">
        <v>2940.3</v>
      </c>
      <c r="D4" s="73">
        <v>7381.32</v>
      </c>
      <c r="E4" s="73">
        <v>28338.51</v>
      </c>
      <c r="F4" s="73">
        <v>173601.16</v>
      </c>
      <c r="G4" s="73">
        <v>2350.0300000000002</v>
      </c>
      <c r="H4" s="73">
        <v>24569.040000000001</v>
      </c>
      <c r="I4" s="73">
        <v>651129.43999999994</v>
      </c>
      <c r="J4" s="73" t="s">
        <v>105</v>
      </c>
      <c r="K4" s="73"/>
      <c r="L4" s="73">
        <v>6903894.0599999996</v>
      </c>
    </row>
    <row r="5" spans="1:12">
      <c r="A5" s="71" t="s">
        <v>106</v>
      </c>
      <c r="B5" s="73">
        <v>35169.74</v>
      </c>
      <c r="C5" s="73">
        <v>888087.38</v>
      </c>
      <c r="D5" s="73">
        <v>225511.46</v>
      </c>
      <c r="E5" s="73">
        <v>131145.63</v>
      </c>
      <c r="F5" s="73"/>
      <c r="G5" s="73"/>
      <c r="H5" s="73"/>
      <c r="I5" s="74"/>
      <c r="J5" s="73">
        <v>37998</v>
      </c>
      <c r="K5" s="74"/>
      <c r="L5" s="73">
        <v>1317912.2</v>
      </c>
    </row>
    <row r="6" spans="1:12">
      <c r="A6" s="71" t="s">
        <v>107</v>
      </c>
      <c r="B6" s="73">
        <v>-1945488.38</v>
      </c>
      <c r="C6" s="73">
        <v>-19294.689999999999</v>
      </c>
      <c r="D6" s="73">
        <v>-127189.57</v>
      </c>
      <c r="E6" s="73">
        <v>-644.20000000000005</v>
      </c>
      <c r="F6" s="73"/>
      <c r="G6" s="73"/>
      <c r="H6" s="73"/>
      <c r="I6" s="74"/>
      <c r="J6" s="73">
        <v>-59576.4</v>
      </c>
      <c r="K6" s="74"/>
      <c r="L6" s="73">
        <v>-2152193.2400000002</v>
      </c>
    </row>
    <row r="7" spans="1:12">
      <c r="A7" s="71" t="s">
        <v>108</v>
      </c>
      <c r="B7" s="74"/>
      <c r="C7" s="74"/>
      <c r="D7" s="74"/>
      <c r="E7" s="74"/>
      <c r="F7" s="73"/>
      <c r="G7" s="73"/>
      <c r="H7" s="73"/>
      <c r="I7" s="74"/>
      <c r="J7" s="74"/>
      <c r="K7" s="74"/>
      <c r="L7" s="73" t="s">
        <v>105</v>
      </c>
    </row>
    <row r="8" spans="1:12">
      <c r="A8" s="71" t="s">
        <v>109</v>
      </c>
      <c r="B8" s="74"/>
      <c r="C8" s="74"/>
      <c r="D8" s="74"/>
      <c r="E8" s="74"/>
      <c r="F8" s="73"/>
      <c r="G8" s="73"/>
      <c r="H8" s="73"/>
      <c r="I8" s="74"/>
      <c r="J8" s="74"/>
      <c r="K8" s="74"/>
      <c r="L8" s="73" t="s">
        <v>105</v>
      </c>
    </row>
    <row r="9" spans="1:12" ht="15.75">
      <c r="A9" s="75" t="s">
        <v>110</v>
      </c>
      <c r="B9" s="76">
        <v>4103265.63</v>
      </c>
      <c r="C9" s="76">
        <v>871732.98</v>
      </c>
      <c r="D9" s="76">
        <v>105703.21</v>
      </c>
      <c r="E9" s="76">
        <v>158839.93</v>
      </c>
      <c r="F9" s="76">
        <v>173601.16</v>
      </c>
      <c r="G9" s="76">
        <v>2350.0300000000002</v>
      </c>
      <c r="H9" s="76">
        <v>24569.040000000001</v>
      </c>
      <c r="I9" s="76">
        <v>651129.43999999994</v>
      </c>
      <c r="J9" s="76">
        <v>-21578.400000000001</v>
      </c>
      <c r="K9" s="76" t="s">
        <v>105</v>
      </c>
      <c r="L9" s="76">
        <v>6069613.0199999996</v>
      </c>
    </row>
    <row r="10" spans="1:12">
      <c r="A10" s="77"/>
      <c r="B10" s="74"/>
      <c r="C10" s="74"/>
      <c r="D10" s="74"/>
      <c r="E10" s="74"/>
      <c r="F10" s="74"/>
      <c r="G10" s="74"/>
      <c r="H10" s="1"/>
      <c r="I10" s="74"/>
      <c r="J10" s="74"/>
      <c r="K10" s="74"/>
      <c r="L10" s="74"/>
    </row>
    <row r="11" spans="1:12">
      <c r="A11" s="71" t="s">
        <v>111</v>
      </c>
      <c r="B11" s="74"/>
      <c r="C11" s="74"/>
      <c r="D11" s="74"/>
      <c r="E11" s="74"/>
      <c r="F11" s="73"/>
      <c r="G11" s="73"/>
      <c r="H11" s="73"/>
      <c r="I11" s="74"/>
      <c r="J11" s="74"/>
      <c r="K11" s="74"/>
      <c r="L11" s="73" t="s">
        <v>105</v>
      </c>
    </row>
    <row r="12" spans="1:12">
      <c r="A12" s="71" t="s">
        <v>112</v>
      </c>
      <c r="B12" s="73">
        <v>-136921.92000000001</v>
      </c>
      <c r="C12" s="73">
        <v>-283764.47999999998</v>
      </c>
      <c r="D12" s="73">
        <v>126355.01</v>
      </c>
      <c r="E12" s="73">
        <v>94086.49</v>
      </c>
      <c r="F12" s="73">
        <v>-0.02</v>
      </c>
      <c r="G12" s="73">
        <v>0</v>
      </c>
      <c r="H12" s="73">
        <v>-11172.09</v>
      </c>
      <c r="I12" s="73" t="s">
        <v>105</v>
      </c>
      <c r="J12" s="73">
        <v>-255159.04000000001</v>
      </c>
      <c r="K12" s="73" t="s">
        <v>105</v>
      </c>
      <c r="L12" s="73">
        <v>-463472.68</v>
      </c>
    </row>
    <row r="13" spans="1:12" ht="15.75">
      <c r="A13" s="75" t="s">
        <v>69</v>
      </c>
      <c r="B13" s="78"/>
      <c r="C13" s="78"/>
      <c r="D13" s="78"/>
      <c r="E13" s="78"/>
      <c r="F13" s="78"/>
      <c r="G13" s="78"/>
      <c r="H13" s="78"/>
      <c r="I13" s="78"/>
      <c r="J13" s="78"/>
      <c r="K13" s="78"/>
      <c r="L13" s="78"/>
    </row>
    <row r="14" spans="1:12">
      <c r="A14" s="71" t="s">
        <v>113</v>
      </c>
      <c r="B14" s="73">
        <v>-2493035.5</v>
      </c>
      <c r="C14" s="74"/>
      <c r="D14" s="73">
        <v>-47541.18</v>
      </c>
      <c r="E14" s="74"/>
      <c r="F14" s="73">
        <v>-173601.14</v>
      </c>
      <c r="G14" s="73">
        <v>-2021.9</v>
      </c>
      <c r="H14" s="73">
        <v>-1198.0899999999999</v>
      </c>
      <c r="I14" s="74"/>
      <c r="J14" s="73">
        <v>786463.13</v>
      </c>
      <c r="K14" s="74"/>
      <c r="L14" s="73">
        <v>-1930934.69</v>
      </c>
    </row>
    <row r="15" spans="1:12">
      <c r="A15" s="71" t="s">
        <v>114</v>
      </c>
      <c r="B15" s="73">
        <v>-2133</v>
      </c>
      <c r="C15" s="74"/>
      <c r="D15" s="74"/>
      <c r="E15" s="74"/>
      <c r="F15" s="74"/>
      <c r="G15" s="73">
        <v>-328.12</v>
      </c>
      <c r="H15" s="73">
        <v>-12198.87</v>
      </c>
      <c r="I15" s="73">
        <v>-4291.25</v>
      </c>
      <c r="J15" s="73">
        <v>120430.86</v>
      </c>
      <c r="K15" s="74"/>
      <c r="L15" s="73">
        <v>101479.62</v>
      </c>
    </row>
    <row r="16" spans="1:12">
      <c r="A16" s="71" t="s">
        <v>115</v>
      </c>
      <c r="B16" s="74"/>
      <c r="C16" s="74"/>
      <c r="D16" s="74"/>
      <c r="E16" s="74"/>
      <c r="F16" s="74"/>
      <c r="G16" s="74"/>
      <c r="H16" s="74"/>
      <c r="I16" s="74"/>
      <c r="J16" s="74"/>
      <c r="K16" s="74"/>
      <c r="L16" s="73" t="s">
        <v>105</v>
      </c>
    </row>
    <row r="17" spans="1:12">
      <c r="A17" s="71" t="s">
        <v>116</v>
      </c>
      <c r="B17" s="74"/>
      <c r="C17" s="74"/>
      <c r="D17" s="74"/>
      <c r="E17" s="74"/>
      <c r="F17" s="74"/>
      <c r="G17" s="74"/>
      <c r="H17" s="74"/>
      <c r="I17" s="74"/>
      <c r="J17" s="74"/>
      <c r="K17" s="74"/>
      <c r="L17" s="73" t="s">
        <v>105</v>
      </c>
    </row>
    <row r="18" spans="1:12">
      <c r="A18" s="71" t="s">
        <v>117</v>
      </c>
      <c r="B18" s="74"/>
      <c r="C18" s="74"/>
      <c r="D18" s="74"/>
      <c r="E18" s="74"/>
      <c r="F18" s="73"/>
      <c r="G18" s="73"/>
      <c r="H18" s="73"/>
      <c r="I18" s="74"/>
      <c r="J18" s="74"/>
      <c r="K18" s="74"/>
      <c r="L18" s="73" t="s">
        <v>105</v>
      </c>
    </row>
    <row r="19" spans="1:12">
      <c r="A19" s="71" t="s">
        <v>118</v>
      </c>
      <c r="B19" s="74"/>
      <c r="C19" s="74"/>
      <c r="D19" s="74"/>
      <c r="E19" s="74"/>
      <c r="F19" s="73"/>
      <c r="G19" s="73"/>
      <c r="H19" s="73"/>
      <c r="I19" s="74"/>
      <c r="J19" s="74"/>
      <c r="K19" s="74"/>
      <c r="L19" s="73" t="s">
        <v>105</v>
      </c>
    </row>
    <row r="20" spans="1:12">
      <c r="A20" s="71" t="s">
        <v>119</v>
      </c>
      <c r="B20" s="74"/>
      <c r="C20" s="74"/>
      <c r="D20" s="74"/>
      <c r="E20" s="74"/>
      <c r="F20" s="73"/>
      <c r="G20" s="73"/>
      <c r="H20" s="73"/>
      <c r="I20" s="74"/>
      <c r="J20" s="74"/>
      <c r="K20" s="74"/>
      <c r="L20" s="73" t="s">
        <v>105</v>
      </c>
    </row>
    <row r="21" spans="1:12">
      <c r="A21" s="71" t="s">
        <v>120</v>
      </c>
      <c r="B21" s="74"/>
      <c r="C21" s="74"/>
      <c r="D21" s="74"/>
      <c r="E21" s="74"/>
      <c r="F21" s="73"/>
      <c r="G21" s="73"/>
      <c r="H21" s="73"/>
      <c r="I21" s="74"/>
      <c r="J21" s="74"/>
      <c r="K21" s="74"/>
      <c r="L21" s="73" t="s">
        <v>105</v>
      </c>
    </row>
    <row r="22" spans="1:12">
      <c r="A22" s="71" t="s">
        <v>121</v>
      </c>
      <c r="B22" s="74"/>
      <c r="C22" s="74"/>
      <c r="D22" s="74"/>
      <c r="E22" s="73">
        <v>23378</v>
      </c>
      <c r="F22" s="73"/>
      <c r="G22" s="73"/>
      <c r="H22" s="73"/>
      <c r="I22" s="74"/>
      <c r="J22" s="74"/>
      <c r="K22" s="74"/>
      <c r="L22" s="73">
        <v>23378</v>
      </c>
    </row>
    <row r="23" spans="1:12">
      <c r="A23" s="71" t="s">
        <v>122</v>
      </c>
      <c r="B23" s="74"/>
      <c r="C23" s="73">
        <v>-871733.01</v>
      </c>
      <c r="D23" s="73">
        <v>915408.1</v>
      </c>
      <c r="E23" s="74"/>
      <c r="F23" s="73"/>
      <c r="G23" s="73"/>
      <c r="H23" s="73"/>
      <c r="I23" s="74"/>
      <c r="J23" s="73">
        <v>44655.41</v>
      </c>
      <c r="K23" s="74"/>
      <c r="L23" s="73">
        <v>88330.5</v>
      </c>
    </row>
    <row r="24" spans="1:12">
      <c r="A24" s="71" t="s">
        <v>123</v>
      </c>
      <c r="B24" s="74"/>
      <c r="C24" s="74"/>
      <c r="D24" s="74"/>
      <c r="E24" s="74"/>
      <c r="F24" s="73"/>
      <c r="G24" s="73"/>
      <c r="H24" s="73"/>
      <c r="I24" s="74"/>
      <c r="J24" s="74"/>
      <c r="K24" s="74"/>
      <c r="L24" s="73" t="s">
        <v>105</v>
      </c>
    </row>
    <row r="25" spans="1:12">
      <c r="A25" s="71" t="s">
        <v>124</v>
      </c>
      <c r="B25" s="73">
        <v>-875709.38</v>
      </c>
      <c r="C25" s="73">
        <v>283764.5</v>
      </c>
      <c r="D25" s="74"/>
      <c r="E25" s="73">
        <v>-124169.34</v>
      </c>
      <c r="F25" s="73"/>
      <c r="G25" s="73"/>
      <c r="H25" s="73"/>
      <c r="I25" s="74"/>
      <c r="J25" s="74"/>
      <c r="K25" s="74"/>
      <c r="L25" s="73">
        <v>-716114.22</v>
      </c>
    </row>
    <row r="26" spans="1:12">
      <c r="A26" s="71" t="s">
        <v>125</v>
      </c>
      <c r="B26" s="74"/>
      <c r="C26" s="74"/>
      <c r="D26" s="74"/>
      <c r="E26" s="74"/>
      <c r="F26" s="73"/>
      <c r="G26" s="73"/>
      <c r="H26" s="73"/>
      <c r="I26" s="73">
        <v>-221490</v>
      </c>
      <c r="J26" s="74"/>
      <c r="K26" s="74"/>
      <c r="L26" s="73">
        <v>-221490</v>
      </c>
    </row>
    <row r="27" spans="1:12">
      <c r="A27" s="71" t="s">
        <v>126</v>
      </c>
      <c r="B27" s="74"/>
      <c r="C27" s="74"/>
      <c r="D27" s="74"/>
      <c r="E27" s="74"/>
      <c r="F27" s="73"/>
      <c r="G27" s="73"/>
      <c r="H27" s="73"/>
      <c r="I27" s="74"/>
      <c r="J27" s="74"/>
      <c r="K27" s="74"/>
      <c r="L27" s="73" t="s">
        <v>105</v>
      </c>
    </row>
    <row r="28" spans="1:12">
      <c r="A28" s="77"/>
      <c r="B28" s="74"/>
      <c r="C28" s="74"/>
      <c r="D28" s="74"/>
      <c r="E28" s="74"/>
      <c r="F28" s="74"/>
      <c r="G28" s="74"/>
      <c r="H28" s="74"/>
      <c r="I28" s="74"/>
      <c r="J28" s="74"/>
      <c r="K28" s="74"/>
      <c r="L28" s="73" t="s">
        <v>105</v>
      </c>
    </row>
    <row r="29" spans="1:12">
      <c r="A29" s="71" t="s">
        <v>127</v>
      </c>
      <c r="B29" s="74"/>
      <c r="C29" s="74"/>
      <c r="D29" s="74"/>
      <c r="E29" s="74"/>
      <c r="F29" s="73"/>
      <c r="G29" s="73"/>
      <c r="H29" s="73"/>
      <c r="I29" s="74"/>
      <c r="J29" s="73">
        <v>58654.8</v>
      </c>
      <c r="K29" s="74"/>
      <c r="L29" s="73">
        <v>58654.8</v>
      </c>
    </row>
    <row r="30" spans="1:12">
      <c r="A30" s="77"/>
      <c r="B30" s="79"/>
      <c r="C30" s="74"/>
      <c r="D30" s="74"/>
      <c r="E30" s="74"/>
      <c r="F30" s="74"/>
      <c r="G30" s="74"/>
      <c r="H30" s="74"/>
      <c r="I30" s="74"/>
      <c r="J30" s="74"/>
      <c r="K30" s="74"/>
      <c r="L30" s="74"/>
    </row>
    <row r="31" spans="1:12" ht="15.75">
      <c r="A31" s="75" t="s">
        <v>128</v>
      </c>
      <c r="B31" s="76">
        <v>595465.84</v>
      </c>
      <c r="C31" s="76" t="s">
        <v>105</v>
      </c>
      <c r="D31" s="76">
        <v>1099925.1399999999</v>
      </c>
      <c r="E31" s="76">
        <v>152135.09</v>
      </c>
      <c r="F31" s="76" t="s">
        <v>105</v>
      </c>
      <c r="G31" s="76" t="s">
        <v>105</v>
      </c>
      <c r="H31" s="76">
        <v>3103.36</v>
      </c>
      <c r="I31" s="76">
        <v>425348.19</v>
      </c>
      <c r="J31" s="76">
        <v>733466.75</v>
      </c>
      <c r="K31" s="76" t="s">
        <v>105</v>
      </c>
      <c r="L31" s="76">
        <v>3009444.36</v>
      </c>
    </row>
    <row r="32" spans="1:12">
      <c r="A32" s="77"/>
      <c r="B32" s="74"/>
      <c r="C32" s="74"/>
      <c r="D32" s="74"/>
      <c r="E32" s="74"/>
      <c r="F32" s="74"/>
      <c r="G32" s="74"/>
      <c r="H32" s="74"/>
      <c r="I32" s="74"/>
      <c r="J32" s="74"/>
      <c r="K32" s="74"/>
      <c r="L32" s="74"/>
    </row>
    <row r="33" spans="1:12" ht="15.75">
      <c r="A33" s="80" t="s">
        <v>44</v>
      </c>
      <c r="B33" s="73">
        <v>548894.14</v>
      </c>
      <c r="C33" s="73" t="s">
        <v>105</v>
      </c>
      <c r="D33" s="73">
        <v>80967.95</v>
      </c>
      <c r="E33" s="73">
        <v>150713</v>
      </c>
      <c r="F33" s="73" t="s">
        <v>105</v>
      </c>
      <c r="G33" s="73" t="s">
        <v>105</v>
      </c>
      <c r="H33" s="73" t="s">
        <v>105</v>
      </c>
      <c r="I33" s="73">
        <v>379115.93</v>
      </c>
      <c r="J33" s="72">
        <v>390260.47</v>
      </c>
      <c r="K33" s="73" t="s">
        <v>105</v>
      </c>
      <c r="L33" s="73">
        <v>1549951.5</v>
      </c>
    </row>
    <row r="34" spans="1:12">
      <c r="A34" s="71" t="s">
        <v>129</v>
      </c>
      <c r="B34" s="73">
        <v>142344.94</v>
      </c>
      <c r="C34" s="74"/>
      <c r="D34" s="73">
        <v>499.41</v>
      </c>
      <c r="E34" s="73">
        <v>63216</v>
      </c>
      <c r="F34" s="73"/>
      <c r="G34" s="73"/>
      <c r="H34" s="73"/>
      <c r="I34" s="74"/>
      <c r="J34" s="73">
        <v>67347.31</v>
      </c>
      <c r="K34" s="74"/>
      <c r="L34" s="73">
        <v>273407.65999999997</v>
      </c>
    </row>
    <row r="35" spans="1:12">
      <c r="A35" s="71" t="s">
        <v>130</v>
      </c>
      <c r="B35" s="73">
        <v>128154.37</v>
      </c>
      <c r="C35" s="74"/>
      <c r="D35" s="73">
        <v>224.71</v>
      </c>
      <c r="E35" s="73">
        <v>52079</v>
      </c>
      <c r="F35" s="73"/>
      <c r="G35" s="73"/>
      <c r="H35" s="73"/>
      <c r="I35" s="74"/>
      <c r="J35" s="73">
        <v>36900.720000000001</v>
      </c>
      <c r="K35" s="74"/>
      <c r="L35" s="73">
        <v>217358.8</v>
      </c>
    </row>
    <row r="36" spans="1:12">
      <c r="A36" s="81" t="s">
        <v>131</v>
      </c>
      <c r="B36" s="82" t="s">
        <v>105</v>
      </c>
      <c r="C36" s="83"/>
      <c r="D36" s="83"/>
      <c r="E36" s="83"/>
      <c r="F36" s="82"/>
      <c r="G36" s="82"/>
      <c r="H36" s="82"/>
      <c r="I36" s="83"/>
      <c r="J36" s="83"/>
      <c r="K36" s="83"/>
      <c r="L36" s="82" t="s">
        <v>105</v>
      </c>
    </row>
    <row r="37" spans="1:12">
      <c r="A37" s="71" t="s">
        <v>132</v>
      </c>
      <c r="B37" s="73">
        <v>73367.05</v>
      </c>
      <c r="C37" s="74"/>
      <c r="D37" s="74"/>
      <c r="E37" s="73">
        <v>2174</v>
      </c>
      <c r="F37" s="73"/>
      <c r="G37" s="73"/>
      <c r="H37" s="73"/>
      <c r="I37" s="74"/>
      <c r="J37" s="73">
        <v>51342.77</v>
      </c>
      <c r="K37" s="74"/>
      <c r="L37" s="73">
        <v>126883.83</v>
      </c>
    </row>
    <row r="38" spans="1:12">
      <c r="A38" s="71" t="s">
        <v>133</v>
      </c>
      <c r="B38" s="73">
        <v>49307.62</v>
      </c>
      <c r="C38" s="74"/>
      <c r="D38" s="73">
        <v>300.36</v>
      </c>
      <c r="E38" s="73">
        <v>15312</v>
      </c>
      <c r="F38" s="73"/>
      <c r="G38" s="73"/>
      <c r="H38" s="73"/>
      <c r="I38" s="74"/>
      <c r="J38" s="73">
        <v>8075.19</v>
      </c>
      <c r="K38" s="74"/>
      <c r="L38" s="73">
        <v>72995.16</v>
      </c>
    </row>
    <row r="39" spans="1:12">
      <c r="A39" s="71" t="s">
        <v>134</v>
      </c>
      <c r="B39" s="73" t="s">
        <v>105</v>
      </c>
      <c r="C39" s="74"/>
      <c r="D39" s="73">
        <v>106.25</v>
      </c>
      <c r="E39" s="73">
        <v>610</v>
      </c>
      <c r="F39" s="73"/>
      <c r="G39" s="73"/>
      <c r="H39" s="73"/>
      <c r="I39" s="74"/>
      <c r="J39" s="73">
        <v>203.88</v>
      </c>
      <c r="K39" s="74"/>
      <c r="L39" s="73">
        <v>920.13</v>
      </c>
    </row>
    <row r="40" spans="1:12">
      <c r="A40" s="71" t="s">
        <v>135</v>
      </c>
      <c r="B40" s="74"/>
      <c r="C40" s="74"/>
      <c r="D40" s="73">
        <v>1541.45</v>
      </c>
      <c r="E40" s="73">
        <v>1334</v>
      </c>
      <c r="F40" s="73"/>
      <c r="G40" s="73"/>
      <c r="H40" s="73"/>
      <c r="I40" s="74"/>
      <c r="J40" s="73">
        <v>5091.21</v>
      </c>
      <c r="K40" s="74"/>
      <c r="L40" s="73">
        <v>7966.65</v>
      </c>
    </row>
    <row r="41" spans="1:12">
      <c r="A41" s="71" t="s">
        <v>136</v>
      </c>
      <c r="B41" s="73">
        <v>6225.15</v>
      </c>
      <c r="C41" s="74"/>
      <c r="D41" s="73">
        <v>40379.79</v>
      </c>
      <c r="E41" s="73">
        <v>275</v>
      </c>
      <c r="F41" s="73"/>
      <c r="G41" s="73"/>
      <c r="H41" s="73"/>
      <c r="I41" s="74"/>
      <c r="J41" s="73">
        <v>110071.95</v>
      </c>
      <c r="K41" s="74"/>
      <c r="L41" s="73">
        <v>156951.89000000001</v>
      </c>
    </row>
    <row r="42" spans="1:12">
      <c r="A42" s="71" t="s">
        <v>137</v>
      </c>
      <c r="B42" s="74"/>
      <c r="C42" s="74"/>
      <c r="D42" s="73">
        <v>1115.4100000000001</v>
      </c>
      <c r="E42" s="73">
        <v>4016</v>
      </c>
      <c r="F42" s="73"/>
      <c r="G42" s="73"/>
      <c r="H42" s="73"/>
      <c r="I42" s="74"/>
      <c r="J42" s="73">
        <v>2711.16</v>
      </c>
      <c r="K42" s="74"/>
      <c r="L42" s="73">
        <v>7842.56</v>
      </c>
    </row>
    <row r="43" spans="1:12">
      <c r="A43" s="71" t="s">
        <v>138</v>
      </c>
      <c r="B43" s="74"/>
      <c r="C43" s="74"/>
      <c r="D43" s="73">
        <v>77.88</v>
      </c>
      <c r="E43" s="73">
        <v>4471</v>
      </c>
      <c r="F43" s="73"/>
      <c r="G43" s="73"/>
      <c r="H43" s="73"/>
      <c r="I43" s="74"/>
      <c r="J43" s="73">
        <v>4794.71</v>
      </c>
      <c r="K43" s="74"/>
      <c r="L43" s="73">
        <v>9343.59</v>
      </c>
    </row>
    <row r="44" spans="1:12">
      <c r="A44" s="71" t="s">
        <v>139</v>
      </c>
      <c r="B44" s="74"/>
      <c r="C44" s="74"/>
      <c r="D44" s="73">
        <v>79.209999999999994</v>
      </c>
      <c r="E44" s="74"/>
      <c r="F44" s="73"/>
      <c r="G44" s="73"/>
      <c r="H44" s="73"/>
      <c r="I44" s="74"/>
      <c r="J44" s="73">
        <v>702.99</v>
      </c>
      <c r="K44" s="74"/>
      <c r="L44" s="73">
        <v>782.2</v>
      </c>
    </row>
    <row r="45" spans="1:12">
      <c r="A45" s="71" t="s">
        <v>140</v>
      </c>
      <c r="B45" s="74"/>
      <c r="C45" s="74"/>
      <c r="D45" s="73">
        <v>24356.5</v>
      </c>
      <c r="E45" s="74"/>
      <c r="F45" s="73"/>
      <c r="G45" s="73"/>
      <c r="H45" s="73"/>
      <c r="I45" s="74"/>
      <c r="J45" s="73">
        <v>564.51</v>
      </c>
      <c r="K45" s="74"/>
      <c r="L45" s="73">
        <v>24921.01</v>
      </c>
    </row>
    <row r="46" spans="1:12">
      <c r="A46" s="71" t="s">
        <v>141</v>
      </c>
      <c r="B46" s="74"/>
      <c r="C46" s="74"/>
      <c r="D46" s="73">
        <v>42.94</v>
      </c>
      <c r="E46" s="73">
        <v>15</v>
      </c>
      <c r="F46" s="73"/>
      <c r="G46" s="73"/>
      <c r="H46" s="73"/>
      <c r="I46" s="74"/>
      <c r="J46" s="73">
        <v>552.04</v>
      </c>
      <c r="K46" s="74"/>
      <c r="L46" s="73">
        <v>609.98</v>
      </c>
    </row>
    <row r="47" spans="1:12">
      <c r="A47" s="71" t="s">
        <v>142</v>
      </c>
      <c r="B47" s="73">
        <v>149495.01999999999</v>
      </c>
      <c r="C47" s="74"/>
      <c r="D47" s="73">
        <v>12244.05</v>
      </c>
      <c r="E47" s="73">
        <v>7211</v>
      </c>
      <c r="F47" s="73"/>
      <c r="G47" s="73"/>
      <c r="H47" s="73"/>
      <c r="I47" s="73">
        <v>379115.93</v>
      </c>
      <c r="J47" s="73">
        <v>101902.03</v>
      </c>
      <c r="K47" s="74"/>
      <c r="L47" s="73">
        <v>649968.02</v>
      </c>
    </row>
    <row r="48" spans="1:12">
      <c r="A48" s="77"/>
      <c r="B48" s="74"/>
      <c r="C48" s="74"/>
      <c r="D48" s="74"/>
      <c r="E48" s="74"/>
      <c r="F48" s="74"/>
      <c r="G48" s="74"/>
      <c r="H48" s="74"/>
      <c r="I48" s="74"/>
      <c r="J48" s="74"/>
      <c r="K48" s="74"/>
      <c r="L48" s="74"/>
    </row>
    <row r="49" spans="1:12" ht="15.75">
      <c r="A49" s="80" t="s">
        <v>143</v>
      </c>
      <c r="B49" s="73">
        <v>387.18</v>
      </c>
      <c r="C49" s="73" t="s">
        <v>105</v>
      </c>
      <c r="D49" s="73">
        <v>556623.81000000006</v>
      </c>
      <c r="E49" s="73" t="s">
        <v>105</v>
      </c>
      <c r="F49" s="73" t="s">
        <v>105</v>
      </c>
      <c r="G49" s="73" t="s">
        <v>105</v>
      </c>
      <c r="H49" s="73" t="s">
        <v>105</v>
      </c>
      <c r="I49" s="73" t="s">
        <v>105</v>
      </c>
      <c r="J49" s="73">
        <v>11153.08</v>
      </c>
      <c r="K49" s="73" t="s">
        <v>105</v>
      </c>
      <c r="L49" s="73">
        <v>568164.06999999995</v>
      </c>
    </row>
    <row r="50" spans="1:12">
      <c r="A50" s="71" t="s">
        <v>144</v>
      </c>
      <c r="B50" s="74"/>
      <c r="C50" s="74"/>
      <c r="D50" s="73">
        <v>73246.19</v>
      </c>
      <c r="E50" s="74"/>
      <c r="F50" s="73"/>
      <c r="G50" s="73"/>
      <c r="H50" s="73"/>
      <c r="I50" s="74"/>
      <c r="J50" s="74"/>
      <c r="K50" s="74"/>
      <c r="L50" s="73">
        <v>73246.19</v>
      </c>
    </row>
    <row r="51" spans="1:12">
      <c r="A51" s="71" t="s">
        <v>145</v>
      </c>
      <c r="B51" s="74"/>
      <c r="C51" s="74"/>
      <c r="D51" s="73">
        <v>18546.46</v>
      </c>
      <c r="E51" s="74"/>
      <c r="F51" s="73"/>
      <c r="G51" s="73"/>
      <c r="H51" s="73"/>
      <c r="I51" s="74"/>
      <c r="J51" s="73">
        <v>0.26</v>
      </c>
      <c r="K51" s="74"/>
      <c r="L51" s="73">
        <v>18546.72</v>
      </c>
    </row>
    <row r="52" spans="1:12">
      <c r="A52" s="71" t="s">
        <v>146</v>
      </c>
      <c r="B52" s="74"/>
      <c r="C52" s="74"/>
      <c r="D52" s="73">
        <v>436974.81</v>
      </c>
      <c r="E52" s="74"/>
      <c r="F52" s="73"/>
      <c r="G52" s="73"/>
      <c r="H52" s="73"/>
      <c r="I52" s="74"/>
      <c r="J52" s="73">
        <v>0.18</v>
      </c>
      <c r="K52" s="74"/>
      <c r="L52" s="73">
        <v>436974.99</v>
      </c>
    </row>
    <row r="53" spans="1:12">
      <c r="A53" s="71" t="s">
        <v>147</v>
      </c>
      <c r="B53" s="74"/>
      <c r="C53" s="74"/>
      <c r="D53" s="73">
        <v>8695.39</v>
      </c>
      <c r="E53" s="74"/>
      <c r="F53" s="73"/>
      <c r="G53" s="73"/>
      <c r="H53" s="73"/>
      <c r="I53" s="74"/>
      <c r="J53" s="73">
        <v>10283.33</v>
      </c>
      <c r="K53" s="74"/>
      <c r="L53" s="73">
        <v>18978.72</v>
      </c>
    </row>
    <row r="54" spans="1:12">
      <c r="A54" s="71" t="s">
        <v>148</v>
      </c>
      <c r="B54" s="74"/>
      <c r="C54" s="74"/>
      <c r="D54" s="73">
        <v>780.02</v>
      </c>
      <c r="E54" s="74"/>
      <c r="F54" s="73"/>
      <c r="G54" s="73"/>
      <c r="H54" s="73"/>
      <c r="I54" s="74"/>
      <c r="J54" s="73">
        <v>296.70999999999998</v>
      </c>
      <c r="K54" s="74"/>
      <c r="L54" s="73">
        <v>1076.73</v>
      </c>
    </row>
    <row r="55" spans="1:12">
      <c r="A55" s="71" t="s">
        <v>149</v>
      </c>
      <c r="B55" s="74"/>
      <c r="C55" s="74"/>
      <c r="D55" s="74"/>
      <c r="E55" s="74"/>
      <c r="F55" s="73"/>
      <c r="G55" s="73"/>
      <c r="H55" s="73"/>
      <c r="I55" s="74"/>
      <c r="J55" s="74"/>
      <c r="K55" s="74"/>
      <c r="L55" s="73" t="s">
        <v>105</v>
      </c>
    </row>
    <row r="56" spans="1:12">
      <c r="A56" s="71" t="s">
        <v>150</v>
      </c>
      <c r="B56" s="73">
        <v>387.18</v>
      </c>
      <c r="C56" s="74"/>
      <c r="D56" s="73">
        <v>18380.939999999999</v>
      </c>
      <c r="E56" s="74"/>
      <c r="F56" s="74"/>
      <c r="G56" s="74"/>
      <c r="H56" s="74"/>
      <c r="I56" s="74"/>
      <c r="J56" s="73">
        <v>572.6</v>
      </c>
      <c r="K56" s="74"/>
      <c r="L56" s="73">
        <v>19340.72</v>
      </c>
    </row>
    <row r="57" spans="1:12">
      <c r="A57" s="77"/>
      <c r="B57" s="74"/>
      <c r="C57" s="74"/>
      <c r="D57" s="74"/>
      <c r="E57" s="74"/>
      <c r="F57" s="74"/>
      <c r="G57" s="74"/>
      <c r="H57" s="74"/>
      <c r="I57" s="74"/>
      <c r="J57" s="74"/>
      <c r="K57" s="74"/>
      <c r="L57" s="74"/>
    </row>
    <row r="58" spans="1:12" ht="15.75">
      <c r="A58" s="80" t="s">
        <v>151</v>
      </c>
      <c r="B58" s="73">
        <v>46184.52</v>
      </c>
      <c r="C58" s="73" t="s">
        <v>105</v>
      </c>
      <c r="D58" s="73">
        <v>442815.49</v>
      </c>
      <c r="E58" s="73">
        <v>1422.08</v>
      </c>
      <c r="F58" s="73" t="s">
        <v>105</v>
      </c>
      <c r="G58" s="73" t="s">
        <v>105</v>
      </c>
      <c r="H58" s="73">
        <v>3103.36</v>
      </c>
      <c r="I58" s="73">
        <v>46232.25</v>
      </c>
      <c r="J58" s="73">
        <v>332053.2</v>
      </c>
      <c r="K58" s="73" t="s">
        <v>105</v>
      </c>
      <c r="L58" s="73">
        <v>871810.9</v>
      </c>
    </row>
    <row r="59" spans="1:12">
      <c r="A59" s="71" t="s">
        <v>41</v>
      </c>
      <c r="B59" s="73">
        <v>849.1</v>
      </c>
      <c r="C59" s="74"/>
      <c r="D59" s="73">
        <v>144909.57</v>
      </c>
      <c r="E59" s="74"/>
      <c r="F59" s="73"/>
      <c r="G59" s="73"/>
      <c r="H59" s="73"/>
      <c r="I59" s="74"/>
      <c r="J59" s="73">
        <v>21484.799999999999</v>
      </c>
      <c r="K59" s="74"/>
      <c r="L59" s="73">
        <v>167243.46</v>
      </c>
    </row>
    <row r="60" spans="1:12">
      <c r="A60" s="71" t="s">
        <v>152</v>
      </c>
      <c r="B60" s="73">
        <v>9413.3700000000008</v>
      </c>
      <c r="C60" s="74"/>
      <c r="D60" s="73">
        <v>284242.45</v>
      </c>
      <c r="E60" s="73">
        <v>1206.03</v>
      </c>
      <c r="F60" s="73"/>
      <c r="G60" s="73"/>
      <c r="H60" s="73"/>
      <c r="I60" s="74"/>
      <c r="J60" s="73">
        <v>133200</v>
      </c>
      <c r="K60" s="74"/>
      <c r="L60" s="73">
        <v>428061.84</v>
      </c>
    </row>
    <row r="61" spans="1:12">
      <c r="A61" s="71" t="s">
        <v>56</v>
      </c>
      <c r="B61" s="73">
        <v>9413.3700000000008</v>
      </c>
      <c r="C61" s="74"/>
      <c r="D61" s="73">
        <v>13585.69</v>
      </c>
      <c r="E61" s="73">
        <v>216.06</v>
      </c>
      <c r="F61" s="73"/>
      <c r="G61" s="73"/>
      <c r="H61" s="73"/>
      <c r="I61" s="73">
        <v>46232.25</v>
      </c>
      <c r="J61" s="73">
        <v>174682.8</v>
      </c>
      <c r="K61" s="74"/>
      <c r="L61" s="73">
        <v>244130.17</v>
      </c>
    </row>
    <row r="62" spans="1:12">
      <c r="A62" s="71" t="s">
        <v>58</v>
      </c>
      <c r="B62" s="73">
        <v>26508.68</v>
      </c>
      <c r="C62" s="74"/>
      <c r="D62" s="73">
        <v>77.790000000000006</v>
      </c>
      <c r="E62" s="74"/>
      <c r="F62" s="73"/>
      <c r="G62" s="73"/>
      <c r="H62" s="73">
        <v>3103.36</v>
      </c>
      <c r="I62" s="74"/>
      <c r="J62" s="73">
        <v>2685.6</v>
      </c>
      <c r="K62" s="74"/>
      <c r="L62" s="73">
        <v>32375.43</v>
      </c>
    </row>
    <row r="63" spans="1:12">
      <c r="A63" s="77"/>
      <c r="B63" s="74"/>
      <c r="C63" s="74"/>
      <c r="D63" s="74"/>
      <c r="E63" s="74"/>
      <c r="F63" s="73"/>
      <c r="G63" s="73"/>
      <c r="H63" s="73"/>
      <c r="I63" s="74"/>
      <c r="J63" s="74"/>
      <c r="K63" s="74"/>
      <c r="L63" s="73" t="s">
        <v>105</v>
      </c>
    </row>
    <row r="64" spans="1:12" ht="15.75">
      <c r="A64" s="80" t="s">
        <v>153</v>
      </c>
      <c r="B64" s="74"/>
      <c r="C64" s="74"/>
      <c r="D64" s="73">
        <v>19517.89</v>
      </c>
      <c r="E64" s="74"/>
      <c r="F64" s="73"/>
      <c r="G64" s="73"/>
      <c r="H64" s="73"/>
      <c r="I64" s="74"/>
      <c r="J64" s="74"/>
      <c r="K64" s="74"/>
      <c r="L64" s="73">
        <v>19517.89</v>
      </c>
    </row>
    <row r="65" spans="1:12">
      <c r="A65" s="71" t="s">
        <v>154</v>
      </c>
      <c r="B65" s="74"/>
      <c r="C65" s="74"/>
      <c r="D65" s="73">
        <v>18949.52</v>
      </c>
      <c r="E65" s="74"/>
      <c r="F65" s="73"/>
      <c r="G65" s="73"/>
      <c r="H65" s="73"/>
      <c r="I65" s="74"/>
      <c r="J65" s="74"/>
      <c r="K65" s="74"/>
      <c r="L65" s="73">
        <v>18949.52</v>
      </c>
    </row>
    <row r="66" spans="1:12">
      <c r="A66" s="71" t="s">
        <v>155</v>
      </c>
      <c r="B66" s="74"/>
      <c r="C66" s="74"/>
      <c r="D66" s="73">
        <v>568.37</v>
      </c>
      <c r="E66" s="74"/>
      <c r="F66" s="73"/>
      <c r="G66" s="73"/>
      <c r="H66" s="73"/>
      <c r="I66" s="74"/>
      <c r="J66" s="74"/>
      <c r="K66" s="74"/>
      <c r="L66" s="73">
        <v>568.37</v>
      </c>
    </row>
    <row r="67" spans="1:12">
      <c r="A67" s="71" t="s">
        <v>156</v>
      </c>
      <c r="B67" s="74"/>
      <c r="C67" s="74"/>
      <c r="D67" s="74"/>
      <c r="E67" s="74"/>
      <c r="F67" s="73"/>
      <c r="G67" s="73"/>
      <c r="H67" s="73"/>
      <c r="I67" s="74"/>
      <c r="J67" s="74"/>
      <c r="K67" s="74"/>
      <c r="L67" s="73" t="s">
        <v>105</v>
      </c>
    </row>
    <row r="68" spans="1:12">
      <c r="A68" s="77"/>
      <c r="B68" s="74"/>
      <c r="C68" s="74"/>
      <c r="D68" s="74"/>
      <c r="E68" s="74"/>
      <c r="F68" s="74"/>
      <c r="G68" s="74"/>
      <c r="H68" s="74"/>
      <c r="I68" s="74"/>
      <c r="J68" s="74"/>
      <c r="K68" s="74"/>
      <c r="L68" s="74"/>
    </row>
    <row r="69" spans="1:12">
      <c r="A69" s="77"/>
      <c r="B69" s="74"/>
      <c r="C69" s="74"/>
      <c r="D69" s="74"/>
      <c r="E69" s="74"/>
      <c r="F69" s="73"/>
      <c r="G69" s="73"/>
      <c r="H69" s="73"/>
      <c r="I69" s="74"/>
      <c r="J69" s="74"/>
      <c r="K69" s="74"/>
      <c r="L69" s="74"/>
    </row>
    <row r="70" spans="1:12" ht="15.75">
      <c r="A70" s="80" t="s">
        <v>157</v>
      </c>
      <c r="B70" s="73">
        <v>216872</v>
      </c>
      <c r="C70" s="73" t="s">
        <v>105</v>
      </c>
      <c r="D70" s="73" t="s">
        <v>105</v>
      </c>
      <c r="E70" s="73" t="s">
        <v>105</v>
      </c>
      <c r="F70" s="73">
        <v>15913</v>
      </c>
      <c r="G70" s="73">
        <v>653</v>
      </c>
      <c r="H70" s="73">
        <v>4583</v>
      </c>
      <c r="I70" s="73">
        <v>311</v>
      </c>
      <c r="J70" s="73">
        <v>251915</v>
      </c>
      <c r="K70" s="73" t="s">
        <v>105</v>
      </c>
      <c r="L70" s="73">
        <v>490248</v>
      </c>
    </row>
    <row r="71" spans="1:12">
      <c r="A71" s="71" t="s">
        <v>158</v>
      </c>
      <c r="B71" s="73">
        <v>216872</v>
      </c>
      <c r="C71" s="74"/>
      <c r="D71" s="74"/>
      <c r="E71" s="74"/>
      <c r="F71" s="73">
        <v>15913</v>
      </c>
      <c r="G71" s="73">
        <v>562</v>
      </c>
      <c r="H71" s="73">
        <v>333</v>
      </c>
      <c r="I71" s="74"/>
      <c r="J71" s="73">
        <v>218461.98</v>
      </c>
      <c r="K71" s="74"/>
      <c r="L71" s="73">
        <v>452142</v>
      </c>
    </row>
    <row r="72" spans="1:12">
      <c r="A72" s="71" t="s">
        <v>159</v>
      </c>
      <c r="B72" s="74"/>
      <c r="C72" s="74"/>
      <c r="D72" s="74"/>
      <c r="E72" s="74"/>
      <c r="F72" s="74"/>
      <c r="G72" s="73">
        <v>91</v>
      </c>
      <c r="H72" s="73">
        <v>4251</v>
      </c>
      <c r="I72" s="73">
        <v>311</v>
      </c>
      <c r="J72" s="73">
        <v>33453.019999999997</v>
      </c>
      <c r="K72" s="74"/>
      <c r="L72" s="73">
        <v>38106</v>
      </c>
    </row>
    <row r="73" spans="1:12">
      <c r="A73" s="71" t="s">
        <v>160</v>
      </c>
      <c r="B73" s="74"/>
      <c r="C73" s="74"/>
      <c r="D73" s="74"/>
      <c r="E73" s="74"/>
      <c r="F73" s="74"/>
      <c r="G73" s="74"/>
      <c r="H73" s="74"/>
      <c r="I73" s="74"/>
      <c r="J73" s="73"/>
      <c r="K73" s="73"/>
      <c r="L73" s="73" t="s">
        <v>105</v>
      </c>
    </row>
    <row r="74" spans="1:12">
      <c r="A74" s="71" t="s">
        <v>161</v>
      </c>
      <c r="B74" s="74"/>
      <c r="C74" s="74"/>
      <c r="D74" s="74"/>
      <c r="E74" s="74"/>
      <c r="F74" s="74"/>
      <c r="G74" s="74"/>
      <c r="H74" s="74"/>
      <c r="I74" s="74"/>
      <c r="J74" s="73"/>
      <c r="K74" s="74"/>
      <c r="L74" s="73" t="s">
        <v>105</v>
      </c>
    </row>
    <row r="75" spans="1:12">
      <c r="A75" s="77"/>
      <c r="B75" s="74"/>
      <c r="C75" s="74"/>
      <c r="D75" s="74"/>
      <c r="E75" s="74"/>
      <c r="F75" s="74"/>
      <c r="G75" s="74"/>
      <c r="H75" s="74"/>
      <c r="I75" s="74"/>
      <c r="J75" s="74"/>
      <c r="K75" s="74"/>
      <c r="L75" s="74"/>
    </row>
    <row r="76" spans="1:12" ht="15.75">
      <c r="A76" s="80" t="s">
        <v>162</v>
      </c>
      <c r="B76" s="74"/>
      <c r="C76" s="74"/>
      <c r="D76" s="74"/>
      <c r="E76" s="74"/>
      <c r="F76" s="74"/>
      <c r="G76" s="74"/>
      <c r="H76" s="74"/>
      <c r="I76" s="74"/>
      <c r="J76" s="74"/>
      <c r="K76" s="73"/>
      <c r="L76" s="74"/>
    </row>
    <row r="77" spans="1:12">
      <c r="A77" s="71" t="s">
        <v>163</v>
      </c>
      <c r="B77" s="74"/>
      <c r="C77" s="74"/>
      <c r="D77" s="74"/>
      <c r="E77" s="74"/>
      <c r="F77" s="74"/>
      <c r="G77" s="74"/>
      <c r="H77" s="74"/>
      <c r="I77" s="74"/>
      <c r="J77" s="74"/>
      <c r="K77" s="73"/>
      <c r="L77" s="74"/>
    </row>
    <row r="78" spans="1:12">
      <c r="A78" s="71" t="s">
        <v>164</v>
      </c>
      <c r="B78" s="74"/>
      <c r="C78" s="74"/>
      <c r="D78" s="74"/>
      <c r="E78" s="74"/>
      <c r="F78" s="74"/>
      <c r="G78" s="74"/>
      <c r="H78" s="74"/>
      <c r="I78" s="74"/>
      <c r="J78" s="74"/>
      <c r="K78" s="73"/>
      <c r="L78" s="74"/>
    </row>
    <row r="79" spans="1:12">
      <c r="A79" s="71" t="s">
        <v>165</v>
      </c>
      <c r="B79" s="74"/>
      <c r="C79" s="74"/>
      <c r="D79" s="74"/>
      <c r="E79" s="74"/>
      <c r="F79" s="74"/>
      <c r="G79" s="74"/>
      <c r="H79" s="74"/>
      <c r="I79" s="74"/>
      <c r="J79" s="74"/>
      <c r="K79" s="73"/>
      <c r="L79" s="74"/>
    </row>
    <row r="80" spans="1:12">
      <c r="A80" s="71" t="s">
        <v>166</v>
      </c>
      <c r="B80" s="73" t="s">
        <v>105</v>
      </c>
      <c r="C80" s="73" t="s">
        <v>105</v>
      </c>
      <c r="D80" s="73" t="s">
        <v>105</v>
      </c>
      <c r="E80" s="73" t="s">
        <v>105</v>
      </c>
      <c r="F80" s="73" t="s">
        <v>105</v>
      </c>
      <c r="G80" s="73" t="s">
        <v>105</v>
      </c>
      <c r="H80" s="73" t="s">
        <v>105</v>
      </c>
      <c r="I80" s="73" t="s">
        <v>105</v>
      </c>
      <c r="J80" s="73" t="s">
        <v>105</v>
      </c>
      <c r="K80" s="73" t="s">
        <v>105</v>
      </c>
      <c r="L80" s="73" t="s">
        <v>105</v>
      </c>
    </row>
    <row r="81" spans="1:12">
      <c r="A81" s="74"/>
      <c r="B81" s="74"/>
      <c r="C81" s="74"/>
      <c r="D81" s="74"/>
      <c r="E81" s="74"/>
      <c r="F81" s="74"/>
      <c r="G81" s="74"/>
      <c r="H81" s="74"/>
      <c r="I81" s="74"/>
      <c r="J81" s="74"/>
      <c r="K81" s="74"/>
      <c r="L81" s="74"/>
    </row>
    <row r="82" spans="1:12">
      <c r="A82" s="74"/>
      <c r="B82" s="74"/>
      <c r="C82" s="74"/>
      <c r="D82" s="74"/>
      <c r="E82" s="74"/>
      <c r="F82" s="74"/>
      <c r="G82" s="74"/>
      <c r="H82" s="74"/>
      <c r="I82" s="74"/>
      <c r="J82" s="74"/>
      <c r="K82" s="74"/>
      <c r="L82" s="74"/>
    </row>
    <row r="83" spans="1:12">
      <c r="A83" s="74"/>
      <c r="B83" s="74"/>
      <c r="C83" s="74"/>
      <c r="D83" s="74"/>
      <c r="E83" s="74"/>
      <c r="F83" s="74"/>
      <c r="G83" s="74"/>
      <c r="H83" s="74"/>
      <c r="I83" s="74"/>
      <c r="J83" s="74"/>
      <c r="K83" s="74"/>
      <c r="L83" s="74"/>
    </row>
    <row r="84" spans="1:12">
      <c r="A84" s="74"/>
      <c r="B84" s="74"/>
      <c r="C84" s="74"/>
      <c r="D84" s="74"/>
      <c r="E84" s="74"/>
      <c r="F84" s="74"/>
      <c r="G84" s="74"/>
      <c r="H84" s="74"/>
      <c r="I84" s="74"/>
      <c r="J84" s="74"/>
      <c r="K84" s="74"/>
      <c r="L84" s="74"/>
    </row>
    <row r="85" spans="1:12">
      <c r="A85" s="74"/>
      <c r="B85" s="74"/>
      <c r="C85" s="74"/>
      <c r="D85" s="74"/>
      <c r="E85" s="74"/>
      <c r="F85" s="74"/>
      <c r="G85" s="74"/>
      <c r="H85" s="74"/>
      <c r="I85" s="74"/>
      <c r="J85" s="74"/>
      <c r="K85" s="74"/>
      <c r="L85" s="74"/>
    </row>
  </sheetData>
  <mergeCells count="1">
    <mergeCell ref="A1:L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outlinePr summaryBelow="0" summaryRight="0"/>
  </sheetPr>
  <dimension ref="A1:BS100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11.21875" defaultRowHeight="15" customHeight="1"/>
  <cols>
    <col min="1" max="1" width="20.88671875" customWidth="1"/>
    <col min="2" max="2" width="11.5546875" customWidth="1"/>
    <col min="3" max="3" width="16.77734375" customWidth="1"/>
    <col min="4" max="4" width="7.77734375" customWidth="1"/>
    <col min="5" max="5" width="8.109375" customWidth="1"/>
    <col min="6" max="6" width="6.5546875" customWidth="1"/>
    <col min="7" max="13" width="5" customWidth="1"/>
    <col min="14" max="14" width="19.5546875" customWidth="1"/>
    <col min="15" max="15" width="5" customWidth="1"/>
    <col min="16" max="16" width="16.5546875" customWidth="1"/>
    <col min="17" max="19" width="11.33203125" customWidth="1"/>
    <col min="20" max="20" width="17" customWidth="1"/>
    <col min="21" max="31" width="11.33203125" customWidth="1"/>
    <col min="32" max="32" width="17.44140625" customWidth="1"/>
    <col min="33" max="36" width="11.33203125" customWidth="1"/>
    <col min="37" max="37" width="16.88671875" customWidth="1"/>
    <col min="38" max="71" width="11.33203125" customWidth="1"/>
  </cols>
  <sheetData>
    <row r="1" spans="1:71" ht="45.75" customHeight="1">
      <c r="A1" s="84" t="s">
        <v>167</v>
      </c>
      <c r="B1" s="85"/>
      <c r="C1" s="85"/>
      <c r="D1" s="85"/>
      <c r="E1" s="85"/>
      <c r="F1" s="85"/>
      <c r="G1" s="85"/>
      <c r="H1" s="85"/>
      <c r="I1" s="85"/>
      <c r="J1" s="85"/>
      <c r="K1" s="85"/>
      <c r="L1" s="86"/>
      <c r="M1" s="25"/>
      <c r="N1" s="87"/>
      <c r="O1" s="87"/>
      <c r="P1" s="88" t="str">
        <f t="shared" ref="P1:Z1" si="0">P2</f>
        <v xml:space="preserve"> Brown Coal</v>
      </c>
      <c r="Q1" s="88" t="str">
        <f t="shared" si="0"/>
        <v>Anthracite</v>
      </c>
      <c r="R1" s="88" t="str">
        <f t="shared" si="0"/>
        <v>Coking coal</v>
      </c>
      <c r="S1" s="88" t="str">
        <f t="shared" si="0"/>
        <v>Bituminous coal</v>
      </c>
      <c r="T1" s="88" t="str">
        <f t="shared" si="0"/>
        <v>Sub- Bituminous coal</v>
      </c>
      <c r="U1" s="88" t="str">
        <f t="shared" si="0"/>
        <v>Lignite</v>
      </c>
      <c r="V1" s="88" t="str">
        <f t="shared" si="0"/>
        <v>Peat</v>
      </c>
      <c r="W1" s="88" t="str">
        <f t="shared" si="0"/>
        <v>PatentFuel</v>
      </c>
      <c r="X1" s="88" t="str">
        <f t="shared" si="0"/>
        <v>Coke oven coke</v>
      </c>
      <c r="Y1" s="88" t="str">
        <f t="shared" si="0"/>
        <v>Gas Coke</v>
      </c>
      <c r="Z1" s="88" t="str">
        <f t="shared" si="0"/>
        <v xml:space="preserve">     BKB</v>
      </c>
      <c r="AA1" s="89" t="s">
        <v>9</v>
      </c>
      <c r="AB1" s="89" t="s">
        <v>9</v>
      </c>
      <c r="AC1" s="89" t="s">
        <v>9</v>
      </c>
      <c r="AD1" s="89" t="s">
        <v>9</v>
      </c>
      <c r="AE1" s="89"/>
      <c r="AF1" s="89" t="s">
        <v>1</v>
      </c>
      <c r="AG1" s="89" t="s">
        <v>9</v>
      </c>
      <c r="AH1" s="89" t="s">
        <v>9</v>
      </c>
      <c r="AI1" s="89" t="s">
        <v>9</v>
      </c>
      <c r="AJ1" s="89" t="s">
        <v>9</v>
      </c>
      <c r="AK1" s="90" t="str">
        <f>AL2</f>
        <v>Crude Oil</v>
      </c>
      <c r="AM1" s="89"/>
      <c r="AN1" s="89"/>
      <c r="AO1" s="89"/>
      <c r="AP1" s="89"/>
      <c r="AQ1" s="89"/>
      <c r="AR1" s="89"/>
      <c r="AS1" s="90" t="str">
        <f>AS2</f>
        <v xml:space="preserve">     LPG</v>
      </c>
      <c r="AT1" s="91" t="s">
        <v>168</v>
      </c>
      <c r="AU1" s="92" t="s">
        <v>169</v>
      </c>
      <c r="AV1" s="89"/>
      <c r="AW1" s="89"/>
      <c r="AX1" s="89"/>
      <c r="AY1" s="91" t="s">
        <v>170</v>
      </c>
      <c r="AZ1" s="89"/>
      <c r="BA1" s="89"/>
      <c r="BB1" s="89"/>
      <c r="BC1" s="89"/>
      <c r="BD1" s="89"/>
      <c r="BE1" s="93" t="s">
        <v>171</v>
      </c>
      <c r="BF1" s="89"/>
      <c r="BG1" s="89"/>
      <c r="BH1" s="89"/>
      <c r="BI1" s="89"/>
      <c r="BJ1" s="89"/>
      <c r="BK1" s="89"/>
      <c r="BL1" s="89"/>
      <c r="BM1" s="89"/>
      <c r="BN1" s="89"/>
      <c r="BO1" s="89"/>
      <c r="BP1" s="89"/>
      <c r="BQ1" s="89"/>
      <c r="BR1" s="90" t="str">
        <f>BR2</f>
        <v>Electricity</v>
      </c>
      <c r="BS1" s="94"/>
    </row>
    <row r="2" spans="1:71" ht="15.75">
      <c r="A2" s="95" t="s">
        <v>93</v>
      </c>
      <c r="B2" s="96" t="s">
        <v>4</v>
      </c>
      <c r="C2" s="97" t="s">
        <v>39</v>
      </c>
      <c r="D2" s="98" t="s">
        <v>172</v>
      </c>
      <c r="E2" s="99" t="s">
        <v>9</v>
      </c>
      <c r="F2" s="100" t="s">
        <v>95</v>
      </c>
      <c r="G2" s="100" t="s">
        <v>96</v>
      </c>
      <c r="H2" s="100" t="s">
        <v>173</v>
      </c>
      <c r="I2" s="101" t="s">
        <v>174</v>
      </c>
      <c r="J2" s="100" t="s">
        <v>8</v>
      </c>
      <c r="K2" s="102" t="s">
        <v>99</v>
      </c>
      <c r="L2" s="103" t="s">
        <v>24</v>
      </c>
      <c r="M2" s="25"/>
      <c r="N2" s="104" t="s">
        <v>93</v>
      </c>
      <c r="O2" s="105" t="s">
        <v>175</v>
      </c>
      <c r="P2" s="106" t="s">
        <v>176</v>
      </c>
      <c r="Q2" s="106" t="s">
        <v>177</v>
      </c>
      <c r="R2" s="106" t="s">
        <v>178</v>
      </c>
      <c r="S2" s="106" t="s">
        <v>179</v>
      </c>
      <c r="T2" s="106" t="s">
        <v>180</v>
      </c>
      <c r="U2" s="107" t="s">
        <v>181</v>
      </c>
      <c r="V2" s="106" t="s">
        <v>182</v>
      </c>
      <c r="W2" s="108" t="s">
        <v>183</v>
      </c>
      <c r="X2" s="108" t="s">
        <v>184</v>
      </c>
      <c r="Y2" s="109" t="s">
        <v>185</v>
      </c>
      <c r="Z2" s="108" t="s">
        <v>186</v>
      </c>
      <c r="AA2" s="110" t="s">
        <v>187</v>
      </c>
      <c r="AB2" s="92" t="s">
        <v>188</v>
      </c>
      <c r="AC2" s="92" t="s">
        <v>189</v>
      </c>
      <c r="AD2" s="92" t="s">
        <v>190</v>
      </c>
      <c r="AE2" s="111" t="s">
        <v>174</v>
      </c>
      <c r="AF2" s="111" t="s">
        <v>191</v>
      </c>
      <c r="AG2" s="111" t="s">
        <v>192</v>
      </c>
      <c r="AH2" s="111" t="s">
        <v>193</v>
      </c>
      <c r="AI2" s="111" t="s">
        <v>194</v>
      </c>
      <c r="AJ2" s="110" t="s">
        <v>195</v>
      </c>
      <c r="AK2" s="112" t="s">
        <v>196</v>
      </c>
      <c r="AL2" s="112" t="s">
        <v>39</v>
      </c>
      <c r="AM2" s="112" t="s">
        <v>197</v>
      </c>
      <c r="AN2" s="112" t="s">
        <v>198</v>
      </c>
      <c r="AO2" s="112" t="s">
        <v>199</v>
      </c>
      <c r="AP2" s="112" t="s">
        <v>200</v>
      </c>
      <c r="AQ2" s="92" t="s">
        <v>201</v>
      </c>
      <c r="AR2" s="92" t="s">
        <v>202</v>
      </c>
      <c r="AS2" s="92" t="s">
        <v>203</v>
      </c>
      <c r="AT2" s="91" t="s">
        <v>168</v>
      </c>
      <c r="AU2" s="92" t="s">
        <v>169</v>
      </c>
      <c r="AV2" s="92" t="s">
        <v>204</v>
      </c>
      <c r="AW2" s="92" t="s">
        <v>205</v>
      </c>
      <c r="AX2" s="92" t="s">
        <v>206</v>
      </c>
      <c r="AY2" s="91" t="s">
        <v>170</v>
      </c>
      <c r="AZ2" s="92" t="s">
        <v>207</v>
      </c>
      <c r="BA2" s="92" t="s">
        <v>208</v>
      </c>
      <c r="BB2" s="92" t="s">
        <v>209</v>
      </c>
      <c r="BC2" s="92" t="s">
        <v>210</v>
      </c>
      <c r="BD2" s="92" t="s">
        <v>211</v>
      </c>
      <c r="BE2" s="93" t="s">
        <v>171</v>
      </c>
      <c r="BF2" s="92" t="s">
        <v>212</v>
      </c>
      <c r="BG2" s="92" t="s">
        <v>213</v>
      </c>
      <c r="BH2" s="92" t="s">
        <v>214</v>
      </c>
      <c r="BI2" s="113" t="s">
        <v>95</v>
      </c>
      <c r="BJ2" s="113" t="s">
        <v>96</v>
      </c>
      <c r="BK2" s="113" t="s">
        <v>97</v>
      </c>
      <c r="BL2" s="113" t="s">
        <v>215</v>
      </c>
      <c r="BM2" s="113" t="s">
        <v>216</v>
      </c>
      <c r="BN2" s="113" t="s">
        <v>217</v>
      </c>
      <c r="BO2" s="92" t="s">
        <v>218</v>
      </c>
      <c r="BP2" s="92" t="s">
        <v>219</v>
      </c>
      <c r="BQ2" s="92" t="s">
        <v>220</v>
      </c>
      <c r="BR2" s="113" t="s">
        <v>8</v>
      </c>
      <c r="BS2" s="114" t="s">
        <v>99</v>
      </c>
    </row>
    <row r="3" spans="1:71" ht="15.75">
      <c r="A3" s="95" t="s">
        <v>100</v>
      </c>
      <c r="B3" s="115"/>
      <c r="C3" s="116"/>
      <c r="D3" s="98" t="s">
        <v>101</v>
      </c>
      <c r="E3" s="117"/>
      <c r="F3" s="118"/>
      <c r="G3" s="118"/>
      <c r="H3" s="100" t="s">
        <v>102</v>
      </c>
      <c r="I3" s="101" t="s">
        <v>103</v>
      </c>
      <c r="J3" s="118"/>
      <c r="K3" s="119"/>
      <c r="L3" s="120"/>
      <c r="M3" s="25"/>
      <c r="N3" s="104" t="s">
        <v>100</v>
      </c>
      <c r="O3" s="121" t="s">
        <v>221</v>
      </c>
      <c r="P3" s="121" t="s">
        <v>4</v>
      </c>
      <c r="Q3" s="121" t="s">
        <v>4</v>
      </c>
      <c r="R3" s="121" t="s">
        <v>4</v>
      </c>
      <c r="S3" s="121" t="s">
        <v>4</v>
      </c>
      <c r="T3" s="121" t="s">
        <v>4</v>
      </c>
      <c r="U3" s="121" t="s">
        <v>4</v>
      </c>
      <c r="V3" s="121" t="s">
        <v>4</v>
      </c>
      <c r="W3" s="108" t="s">
        <v>222</v>
      </c>
      <c r="X3" s="108" t="s">
        <v>223</v>
      </c>
      <c r="Y3" s="108"/>
      <c r="Z3" s="108"/>
      <c r="AA3" s="110" t="s">
        <v>9</v>
      </c>
      <c r="AB3" s="92" t="s">
        <v>9</v>
      </c>
      <c r="AC3" s="92" t="s">
        <v>224</v>
      </c>
      <c r="AD3" s="92" t="s">
        <v>224</v>
      </c>
      <c r="AE3" s="111" t="s">
        <v>103</v>
      </c>
      <c r="AF3" s="111"/>
      <c r="AG3" s="111" t="s">
        <v>225</v>
      </c>
      <c r="AH3" s="111" t="s">
        <v>225</v>
      </c>
      <c r="AI3" s="111"/>
      <c r="AJ3" s="110" t="s">
        <v>9</v>
      </c>
      <c r="AK3" s="122" t="s">
        <v>226</v>
      </c>
      <c r="AL3" s="112"/>
      <c r="AM3" s="112"/>
      <c r="AN3" s="112" t="s">
        <v>227</v>
      </c>
      <c r="AO3" s="112"/>
      <c r="AP3" s="112" t="s">
        <v>228</v>
      </c>
      <c r="AQ3" s="92" t="s">
        <v>9</v>
      </c>
      <c r="AR3" s="92"/>
      <c r="AS3" s="92"/>
      <c r="AT3" s="91" t="s">
        <v>229</v>
      </c>
      <c r="AU3" s="92" t="s">
        <v>229</v>
      </c>
      <c r="AV3" s="92" t="s">
        <v>229</v>
      </c>
      <c r="AW3" s="92" t="s">
        <v>230</v>
      </c>
      <c r="AX3" s="92" t="s">
        <v>230</v>
      </c>
      <c r="AY3" s="91"/>
      <c r="AZ3" s="92" t="s">
        <v>222</v>
      </c>
      <c r="BA3" s="92"/>
      <c r="BB3" s="92" t="s">
        <v>231</v>
      </c>
      <c r="BC3" s="92"/>
      <c r="BD3" s="92"/>
      <c r="BE3" s="92" t="s">
        <v>232</v>
      </c>
      <c r="BF3" s="92" t="s">
        <v>35</v>
      </c>
      <c r="BG3" s="92" t="s">
        <v>233</v>
      </c>
      <c r="BH3" s="92"/>
      <c r="BI3" s="113"/>
      <c r="BJ3" s="113"/>
      <c r="BK3" s="113"/>
      <c r="BL3" s="113"/>
      <c r="BM3" s="113"/>
      <c r="BN3" s="113"/>
      <c r="BO3" s="92"/>
      <c r="BP3" s="92"/>
      <c r="BQ3" s="92"/>
      <c r="BR3" s="113"/>
      <c r="BS3" s="123"/>
    </row>
    <row r="4" spans="1:71" ht="15.75">
      <c r="A4" s="124" t="s">
        <v>104</v>
      </c>
      <c r="B4" s="125">
        <v>5972638.5899999999</v>
      </c>
      <c r="C4" s="125">
        <v>4210.79</v>
      </c>
      <c r="D4" s="125">
        <v>63403.7</v>
      </c>
      <c r="E4" s="126">
        <v>25570.81</v>
      </c>
      <c r="F4" s="125">
        <v>171743.84</v>
      </c>
      <c r="G4" s="125">
        <v>3040.6</v>
      </c>
      <c r="H4" s="125">
        <v>32407.7</v>
      </c>
      <c r="I4" s="125">
        <v>1309401.75</v>
      </c>
      <c r="J4" s="125" t="s">
        <v>105</v>
      </c>
      <c r="K4" s="125"/>
      <c r="L4" s="125">
        <v>7582417.7699999996</v>
      </c>
      <c r="M4" s="25"/>
      <c r="N4" s="127" t="s">
        <v>104</v>
      </c>
      <c r="O4" s="128">
        <v>5972638.5859375</v>
      </c>
      <c r="P4" s="128"/>
      <c r="Q4" s="128">
        <v>68111.4453125</v>
      </c>
      <c r="R4" s="128">
        <v>72654.640625</v>
      </c>
      <c r="S4" s="128">
        <v>5831872.5</v>
      </c>
      <c r="T4" s="128"/>
      <c r="U4" s="128"/>
      <c r="V4" s="128"/>
      <c r="W4" s="129"/>
      <c r="X4" s="128"/>
      <c r="Y4" s="128"/>
      <c r="Z4" s="128"/>
      <c r="AA4" s="128"/>
      <c r="AB4" s="128"/>
      <c r="AC4" s="128"/>
      <c r="AD4" s="128"/>
      <c r="AE4" s="128">
        <v>654700.875</v>
      </c>
      <c r="AF4" s="128">
        <v>654700.875</v>
      </c>
      <c r="AG4" s="128"/>
      <c r="AH4" s="128"/>
      <c r="AI4" s="128"/>
      <c r="AJ4" s="128">
        <v>25570.8125</v>
      </c>
      <c r="AK4" s="128">
        <v>4210.7850341796875</v>
      </c>
      <c r="AL4" s="128">
        <v>1375.7850341796875</v>
      </c>
      <c r="AM4" s="128">
        <v>2835</v>
      </c>
      <c r="AN4" s="128"/>
      <c r="AO4" s="128"/>
      <c r="AP4" s="128"/>
      <c r="AQ4" s="129"/>
      <c r="AR4" s="128"/>
      <c r="AS4" s="128"/>
      <c r="AT4" s="128"/>
      <c r="AU4" s="128"/>
      <c r="AV4" s="128">
        <v>44716.921875</v>
      </c>
      <c r="AW4" s="128"/>
      <c r="AX4" s="128"/>
      <c r="AY4" s="128"/>
      <c r="AZ4" s="128"/>
      <c r="BA4" s="128">
        <v>18686.7734375</v>
      </c>
      <c r="BB4" s="128"/>
      <c r="BC4" s="128"/>
      <c r="BD4" s="128"/>
      <c r="BE4" s="128"/>
      <c r="BF4" s="128"/>
      <c r="BG4" s="128"/>
      <c r="BH4" s="128"/>
      <c r="BI4" s="128">
        <v>171743.84375</v>
      </c>
      <c r="BJ4" s="128">
        <v>3040.595703125</v>
      </c>
      <c r="BK4" s="128">
        <v>0</v>
      </c>
      <c r="BL4" s="128">
        <v>13931.927734375</v>
      </c>
      <c r="BM4" s="128">
        <v>0</v>
      </c>
      <c r="BN4" s="128">
        <v>18475.775390625</v>
      </c>
      <c r="BO4" s="128"/>
      <c r="BP4" s="128"/>
      <c r="BQ4" s="128"/>
      <c r="BR4" s="128">
        <v>0</v>
      </c>
      <c r="BS4" s="130"/>
    </row>
    <row r="5" spans="1:71" ht="15.75">
      <c r="A5" s="124" t="s">
        <v>106</v>
      </c>
      <c r="B5" s="125">
        <v>33112.879999999997</v>
      </c>
      <c r="C5" s="125">
        <v>729621.25</v>
      </c>
      <c r="D5" s="125">
        <v>325091.34999999998</v>
      </c>
      <c r="E5" s="125">
        <v>124124.44</v>
      </c>
      <c r="F5" s="125"/>
      <c r="G5" s="125"/>
      <c r="H5" s="125"/>
      <c r="I5" s="131"/>
      <c r="J5" s="125">
        <v>37998</v>
      </c>
      <c r="K5" s="131"/>
      <c r="L5" s="125">
        <v>1249947.92</v>
      </c>
      <c r="M5" s="25"/>
      <c r="N5" s="127" t="s">
        <v>106</v>
      </c>
      <c r="O5" s="128">
        <v>33112.8818359375</v>
      </c>
      <c r="P5" s="128"/>
      <c r="Q5" s="128">
        <v>5356.0439453125</v>
      </c>
      <c r="R5" s="128"/>
      <c r="S5" s="128">
        <v>27756.837890625</v>
      </c>
      <c r="T5" s="128"/>
      <c r="U5" s="128"/>
      <c r="V5" s="128"/>
      <c r="W5" s="128"/>
      <c r="X5" s="128"/>
      <c r="Y5" s="128"/>
      <c r="Z5" s="128"/>
      <c r="AA5" s="128"/>
      <c r="AB5" s="128"/>
      <c r="AC5" s="128"/>
      <c r="AD5" s="128"/>
      <c r="AE5" s="128">
        <v>0</v>
      </c>
      <c r="AF5" s="128"/>
      <c r="AG5" s="128"/>
      <c r="AH5" s="128"/>
      <c r="AI5" s="128"/>
      <c r="AJ5" s="128">
        <v>124124.4375</v>
      </c>
      <c r="AK5" s="128">
        <v>729621.25</v>
      </c>
      <c r="AL5" s="128">
        <v>729621.25</v>
      </c>
      <c r="AM5" s="128"/>
      <c r="AN5" s="128"/>
      <c r="AO5" s="128"/>
      <c r="AP5" s="128"/>
      <c r="AQ5" s="128"/>
      <c r="AR5" s="128"/>
      <c r="AS5" s="128">
        <v>4957.47998046875</v>
      </c>
      <c r="AT5" s="128">
        <v>72304.9609375</v>
      </c>
      <c r="AU5" s="128">
        <v>631.49493408203125</v>
      </c>
      <c r="AV5" s="128">
        <v>1399.2503662109375</v>
      </c>
      <c r="AW5" s="128">
        <v>14358.1083984375</v>
      </c>
      <c r="AX5" s="128">
        <v>91.594612121582031</v>
      </c>
      <c r="AY5" s="128">
        <v>229973.09375</v>
      </c>
      <c r="AZ5" s="128">
        <v>1373.5341796875</v>
      </c>
      <c r="BA5" s="128"/>
      <c r="BB5" s="128"/>
      <c r="BC5" s="128">
        <v>0.26371198892593384</v>
      </c>
      <c r="BD5" s="128">
        <v>0.72762000560760498</v>
      </c>
      <c r="BE5" s="128">
        <v>0.83736598491668701</v>
      </c>
      <c r="BF5" s="128"/>
      <c r="BG5" s="128"/>
      <c r="BH5" s="128"/>
      <c r="BI5" s="128"/>
      <c r="BJ5" s="128"/>
      <c r="BK5" s="128"/>
      <c r="BL5" s="128"/>
      <c r="BM5" s="128"/>
      <c r="BN5" s="128"/>
      <c r="BO5" s="128"/>
      <c r="BP5" s="128"/>
      <c r="BQ5" s="128"/>
      <c r="BR5" s="128">
        <v>37998</v>
      </c>
      <c r="BS5" s="130"/>
    </row>
    <row r="6" spans="1:71" ht="15.75">
      <c r="A6" s="124" t="s">
        <v>107</v>
      </c>
      <c r="B6" s="125">
        <v>-1964835.07</v>
      </c>
      <c r="C6" s="131"/>
      <c r="D6" s="125">
        <v>-149086.62</v>
      </c>
      <c r="E6" s="125">
        <v>-498.75</v>
      </c>
      <c r="F6" s="125"/>
      <c r="G6" s="125"/>
      <c r="H6" s="125"/>
      <c r="I6" s="131"/>
      <c r="J6" s="125">
        <v>-59576.4</v>
      </c>
      <c r="K6" s="131"/>
      <c r="L6" s="125">
        <v>-2173996.84</v>
      </c>
      <c r="M6" s="25"/>
      <c r="N6" s="127" t="s">
        <v>107</v>
      </c>
      <c r="O6" s="128">
        <v>-1964835.0703125</v>
      </c>
      <c r="P6" s="128"/>
      <c r="Q6" s="128">
        <v>-49461.359375</v>
      </c>
      <c r="R6" s="128">
        <v>-35743.7109375</v>
      </c>
      <c r="S6" s="128">
        <v>-1879630</v>
      </c>
      <c r="T6" s="128"/>
      <c r="U6" s="128"/>
      <c r="V6" s="128"/>
      <c r="W6" s="128"/>
      <c r="X6" s="128"/>
      <c r="Y6" s="128"/>
      <c r="Z6" s="128"/>
      <c r="AA6" s="128"/>
      <c r="AB6" s="128"/>
      <c r="AC6" s="128"/>
      <c r="AD6" s="128"/>
      <c r="AE6" s="128">
        <v>0</v>
      </c>
      <c r="AF6" s="128"/>
      <c r="AG6" s="128"/>
      <c r="AH6" s="128"/>
      <c r="AI6" s="128"/>
      <c r="AJ6" s="128">
        <v>-498.75</v>
      </c>
      <c r="AK6" s="128">
        <v>0</v>
      </c>
      <c r="AL6" s="128"/>
      <c r="AM6" s="128"/>
      <c r="AN6" s="128"/>
      <c r="AO6" s="128"/>
      <c r="AP6" s="128"/>
      <c r="AQ6" s="128"/>
      <c r="AR6" s="128"/>
      <c r="AS6" s="128">
        <v>-2829.345458984375</v>
      </c>
      <c r="AT6" s="128">
        <v>-37005.83984375</v>
      </c>
      <c r="AU6" s="128">
        <v>-175.51521301269531</v>
      </c>
      <c r="AV6" s="128">
        <v>-1057.2640380859375</v>
      </c>
      <c r="AW6" s="128">
        <v>-11962.654296875</v>
      </c>
      <c r="AX6" s="128">
        <v>-1760.0023193359375</v>
      </c>
      <c r="AY6" s="128">
        <v>-67970.5078125</v>
      </c>
      <c r="AZ6" s="128">
        <v>-17661.48828125</v>
      </c>
      <c r="BA6" s="128">
        <v>-8320.025390625</v>
      </c>
      <c r="BB6" s="128">
        <v>-347.24758911132813</v>
      </c>
      <c r="BC6" s="128">
        <v>-0.33526799082756042</v>
      </c>
      <c r="BD6" s="128">
        <v>2.8791239261627197</v>
      </c>
      <c r="BE6" s="128">
        <v>0.73043400049209595</v>
      </c>
      <c r="BF6" s="128"/>
      <c r="BG6" s="128"/>
      <c r="BH6" s="128"/>
      <c r="BI6" s="128"/>
      <c r="BJ6" s="128"/>
      <c r="BK6" s="128"/>
      <c r="BL6" s="128"/>
      <c r="BM6" s="128"/>
      <c r="BN6" s="128"/>
      <c r="BO6" s="128"/>
      <c r="BP6" s="128"/>
      <c r="BQ6" s="128"/>
      <c r="BR6" s="128">
        <v>-59576.40234375</v>
      </c>
      <c r="BS6" s="130"/>
    </row>
    <row r="7" spans="1:71" ht="15.75">
      <c r="A7" s="124" t="s">
        <v>108</v>
      </c>
      <c r="B7" s="131"/>
      <c r="C7" s="131"/>
      <c r="D7" s="131"/>
      <c r="E7" s="131"/>
      <c r="F7" s="125"/>
      <c r="G7" s="125"/>
      <c r="H7" s="125"/>
      <c r="I7" s="131"/>
      <c r="J7" s="131"/>
      <c r="K7" s="131"/>
      <c r="L7" s="125" t="s">
        <v>105</v>
      </c>
      <c r="M7" s="25"/>
      <c r="N7" s="127" t="s">
        <v>108</v>
      </c>
      <c r="O7" s="128">
        <v>0</v>
      </c>
      <c r="P7" s="128"/>
      <c r="Q7" s="128"/>
      <c r="R7" s="128"/>
      <c r="S7" s="128"/>
      <c r="T7" s="128"/>
      <c r="U7" s="128"/>
      <c r="V7" s="128"/>
      <c r="W7" s="128"/>
      <c r="X7" s="128"/>
      <c r="Y7" s="128"/>
      <c r="Z7" s="128"/>
      <c r="AA7" s="128"/>
      <c r="AB7" s="128"/>
      <c r="AC7" s="128"/>
      <c r="AD7" s="128"/>
      <c r="AE7" s="128">
        <v>0</v>
      </c>
      <c r="AF7" s="128"/>
      <c r="AG7" s="128"/>
      <c r="AH7" s="128"/>
      <c r="AI7" s="128"/>
      <c r="AJ7" s="128"/>
      <c r="AK7" s="128">
        <v>0</v>
      </c>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30"/>
    </row>
    <row r="8" spans="1:71" ht="15.75">
      <c r="A8" s="124" t="s">
        <v>109</v>
      </c>
      <c r="B8" s="131"/>
      <c r="C8" s="131"/>
      <c r="D8" s="131"/>
      <c r="E8" s="131"/>
      <c r="F8" s="125"/>
      <c r="G8" s="125"/>
      <c r="H8" s="125"/>
      <c r="I8" s="131"/>
      <c r="J8" s="131"/>
      <c r="K8" s="131"/>
      <c r="L8" s="125" t="s">
        <v>105</v>
      </c>
      <c r="M8" s="25"/>
      <c r="N8" s="127" t="s">
        <v>109</v>
      </c>
      <c r="O8" s="128">
        <v>0</v>
      </c>
      <c r="P8" s="128"/>
      <c r="Q8" s="128"/>
      <c r="R8" s="128"/>
      <c r="S8" s="128"/>
      <c r="T8" s="128"/>
      <c r="U8" s="128"/>
      <c r="V8" s="128"/>
      <c r="W8" s="128"/>
      <c r="X8" s="128"/>
      <c r="Y8" s="128"/>
      <c r="Z8" s="128"/>
      <c r="AA8" s="128"/>
      <c r="AB8" s="128"/>
      <c r="AC8" s="128"/>
      <c r="AD8" s="128"/>
      <c r="AE8" s="128">
        <v>0</v>
      </c>
      <c r="AF8" s="128"/>
      <c r="AG8" s="128"/>
      <c r="AH8" s="128"/>
      <c r="AI8" s="128"/>
      <c r="AJ8" s="128"/>
      <c r="AK8" s="128">
        <v>0</v>
      </c>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30"/>
    </row>
    <row r="9" spans="1:71" ht="15.75">
      <c r="A9" s="132" t="s">
        <v>110</v>
      </c>
      <c r="B9" s="133">
        <v>4040916.4</v>
      </c>
      <c r="C9" s="133">
        <v>733832.04</v>
      </c>
      <c r="D9" s="133">
        <v>239408.43</v>
      </c>
      <c r="E9" s="133">
        <v>149196.5</v>
      </c>
      <c r="F9" s="133">
        <v>171743.84</v>
      </c>
      <c r="G9" s="133">
        <v>3040.6</v>
      </c>
      <c r="H9" s="133">
        <v>32407.7</v>
      </c>
      <c r="I9" s="133">
        <v>1309401.75</v>
      </c>
      <c r="J9" s="133">
        <v>-21578.400000000001</v>
      </c>
      <c r="K9" s="133" t="s">
        <v>105</v>
      </c>
      <c r="L9" s="133">
        <v>6658368.8499999996</v>
      </c>
      <c r="M9" s="25"/>
      <c r="N9" s="134" t="s">
        <v>234</v>
      </c>
      <c r="O9" s="135">
        <v>4040916.3974609375</v>
      </c>
      <c r="P9" s="135">
        <v>0</v>
      </c>
      <c r="Q9" s="135"/>
      <c r="R9" s="135">
        <v>36910.9296875</v>
      </c>
      <c r="S9" s="135">
        <v>3979999.337890625</v>
      </c>
      <c r="T9" s="135">
        <v>0</v>
      </c>
      <c r="U9" s="135">
        <v>0</v>
      </c>
      <c r="V9" s="135">
        <v>0</v>
      </c>
      <c r="W9" s="135">
        <v>0</v>
      </c>
      <c r="X9" s="135">
        <v>0</v>
      </c>
      <c r="Y9" s="135">
        <v>0</v>
      </c>
      <c r="Z9" s="135">
        <v>0</v>
      </c>
      <c r="AA9" s="135">
        <v>0</v>
      </c>
      <c r="AB9" s="135">
        <v>0</v>
      </c>
      <c r="AC9" s="135">
        <v>0</v>
      </c>
      <c r="AD9" s="135">
        <v>0</v>
      </c>
      <c r="AE9" s="135">
        <v>654700.875</v>
      </c>
      <c r="AF9" s="135">
        <v>654700.875</v>
      </c>
      <c r="AG9" s="135">
        <v>0</v>
      </c>
      <c r="AH9" s="135">
        <v>0</v>
      </c>
      <c r="AI9" s="135">
        <v>0</v>
      </c>
      <c r="AJ9" s="135">
        <v>149196.5</v>
      </c>
      <c r="AK9" s="135">
        <v>733832.03503417969</v>
      </c>
      <c r="AL9" s="135">
        <v>730997.03503417969</v>
      </c>
      <c r="AM9" s="135">
        <v>2835</v>
      </c>
      <c r="AN9" s="135">
        <v>0</v>
      </c>
      <c r="AO9" s="135">
        <v>0</v>
      </c>
      <c r="AP9" s="135">
        <v>0</v>
      </c>
      <c r="AQ9" s="135">
        <v>0</v>
      </c>
      <c r="AR9" s="135">
        <v>0</v>
      </c>
      <c r="AS9" s="135">
        <v>2128.134521484375</v>
      </c>
      <c r="AT9" s="135">
        <v>35299.12109375</v>
      </c>
      <c r="AU9" s="135">
        <v>455.97972106933594</v>
      </c>
      <c r="AV9" s="135">
        <v>45058.908203125</v>
      </c>
      <c r="AW9" s="135">
        <v>2395.4541015625</v>
      </c>
      <c r="AX9" s="135">
        <v>-1668.4077072143555</v>
      </c>
      <c r="AY9" s="135">
        <v>162002.5859375</v>
      </c>
      <c r="AZ9" s="135">
        <v>-16287.9541015625</v>
      </c>
      <c r="BA9" s="135">
        <v>10366.748046875</v>
      </c>
      <c r="BB9" s="135">
        <v>-347.24758911132813</v>
      </c>
      <c r="BC9" s="135">
        <v>-7.1556001901626587E-2</v>
      </c>
      <c r="BD9" s="135">
        <v>3.6067439317703247</v>
      </c>
      <c r="BE9" s="135">
        <v>1.567799985408783</v>
      </c>
      <c r="BF9" s="135">
        <v>0</v>
      </c>
      <c r="BG9" s="135">
        <v>0</v>
      </c>
      <c r="BH9" s="135">
        <v>0</v>
      </c>
      <c r="BI9" s="135">
        <v>171743.84375</v>
      </c>
      <c r="BJ9" s="135">
        <v>3040.595703125</v>
      </c>
      <c r="BK9" s="135">
        <v>0</v>
      </c>
      <c r="BL9" s="135">
        <v>13931.927734375</v>
      </c>
      <c r="BM9" s="135">
        <v>0</v>
      </c>
      <c r="BN9" s="135">
        <v>18475.775390625</v>
      </c>
      <c r="BO9" s="135">
        <v>0</v>
      </c>
      <c r="BP9" s="135">
        <v>0</v>
      </c>
      <c r="BQ9" s="135">
        <v>0</v>
      </c>
      <c r="BR9" s="135">
        <v>-21578.40234375</v>
      </c>
      <c r="BS9" s="136">
        <v>0</v>
      </c>
    </row>
    <row r="10" spans="1:71" ht="15.75">
      <c r="A10" s="124"/>
      <c r="B10" s="131"/>
      <c r="C10" s="131"/>
      <c r="D10" s="131"/>
      <c r="E10" s="131"/>
      <c r="F10" s="131"/>
      <c r="G10" s="131"/>
      <c r="H10" s="2"/>
      <c r="I10" s="131"/>
      <c r="J10" s="131"/>
      <c r="K10" s="131"/>
      <c r="L10" s="131"/>
      <c r="M10" s="25"/>
      <c r="N10" s="127" t="s">
        <v>235</v>
      </c>
      <c r="O10" s="128"/>
      <c r="P10" s="128"/>
      <c r="Q10" s="128"/>
      <c r="R10" s="128"/>
      <c r="S10" s="128"/>
      <c r="T10" s="128"/>
      <c r="U10" s="128"/>
      <c r="V10" s="128"/>
      <c r="W10" s="128"/>
      <c r="X10" s="128"/>
      <c r="Y10" s="128"/>
      <c r="Z10" s="128"/>
      <c r="AA10" s="128"/>
      <c r="AB10" s="128"/>
      <c r="AC10" s="128"/>
      <c r="AD10" s="128"/>
      <c r="AE10" s="128"/>
      <c r="AF10" s="128"/>
      <c r="AG10" s="128"/>
      <c r="AH10" s="128"/>
      <c r="AI10" s="128"/>
      <c r="AJ10" s="128"/>
      <c r="AK10" s="128"/>
      <c r="AL10" s="128"/>
      <c r="AM10" s="128"/>
      <c r="AN10" s="128"/>
      <c r="AO10" s="128"/>
      <c r="AP10" s="128"/>
      <c r="AQ10" s="128"/>
      <c r="AR10" s="128"/>
      <c r="AS10" s="128"/>
      <c r="AT10" s="128"/>
      <c r="AU10" s="128"/>
      <c r="AV10" s="128"/>
      <c r="AW10" s="128"/>
      <c r="AX10" s="128"/>
      <c r="AY10" s="128"/>
      <c r="AZ10" s="128"/>
      <c r="BA10" s="128"/>
      <c r="BB10" s="128"/>
      <c r="BC10" s="128"/>
      <c r="BD10" s="128"/>
      <c r="BE10" s="128"/>
      <c r="BF10" s="128"/>
      <c r="BG10" s="128"/>
      <c r="BH10" s="128"/>
      <c r="BI10" s="128"/>
      <c r="BJ10" s="128"/>
      <c r="BK10" s="128"/>
      <c r="BL10" s="128"/>
      <c r="BM10" s="128"/>
      <c r="BN10" s="128"/>
      <c r="BO10" s="128"/>
      <c r="BP10" s="128"/>
      <c r="BQ10" s="128"/>
      <c r="BR10" s="128"/>
      <c r="BS10" s="130"/>
    </row>
    <row r="11" spans="1:71" ht="15.75">
      <c r="A11" s="124" t="s">
        <v>111</v>
      </c>
      <c r="B11" s="131"/>
      <c r="C11" s="131"/>
      <c r="D11" s="131"/>
      <c r="E11" s="131"/>
      <c r="F11" s="125"/>
      <c r="G11" s="125"/>
      <c r="H11" s="125"/>
      <c r="I11" s="131"/>
      <c r="J11" s="131"/>
      <c r="K11" s="131"/>
      <c r="L11" s="125" t="s">
        <v>105</v>
      </c>
      <c r="M11" s="25"/>
      <c r="N11" s="127" t="s">
        <v>111</v>
      </c>
      <c r="O11" s="128">
        <v>0</v>
      </c>
      <c r="P11" s="128"/>
      <c r="Q11" s="128"/>
      <c r="R11" s="128"/>
      <c r="S11" s="128"/>
      <c r="T11" s="128"/>
      <c r="U11" s="128"/>
      <c r="V11" s="128"/>
      <c r="W11" s="128"/>
      <c r="X11" s="128"/>
      <c r="Y11" s="128"/>
      <c r="Z11" s="128"/>
      <c r="AA11" s="128"/>
      <c r="AB11" s="128"/>
      <c r="AC11" s="128"/>
      <c r="AD11" s="128"/>
      <c r="AE11" s="128">
        <v>0</v>
      </c>
      <c r="AF11" s="128"/>
      <c r="AG11" s="128"/>
      <c r="AH11" s="128"/>
      <c r="AI11" s="128"/>
      <c r="AJ11" s="128"/>
      <c r="AK11" s="128">
        <v>0</v>
      </c>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30"/>
    </row>
    <row r="12" spans="1:71" ht="15.75">
      <c r="A12" s="124" t="s">
        <v>112</v>
      </c>
      <c r="B12" s="125">
        <v>-266372.31</v>
      </c>
      <c r="C12" s="125">
        <v>-298858.57</v>
      </c>
      <c r="D12" s="125">
        <v>76022.87</v>
      </c>
      <c r="E12" s="125">
        <v>73391.42</v>
      </c>
      <c r="F12" s="125" t="s">
        <v>105</v>
      </c>
      <c r="G12" s="125">
        <v>-0.01</v>
      </c>
      <c r="H12" s="125">
        <v>-6191.97</v>
      </c>
      <c r="I12" s="125">
        <v>-431750.65</v>
      </c>
      <c r="J12" s="125">
        <v>-280967.96999999997</v>
      </c>
      <c r="K12" s="125" t="s">
        <v>105</v>
      </c>
      <c r="L12" s="125">
        <v>-1134727.19</v>
      </c>
      <c r="M12" s="25"/>
      <c r="N12" s="127" t="s">
        <v>112</v>
      </c>
      <c r="O12" s="128">
        <v>-228144.08809661865</v>
      </c>
      <c r="P12" s="128">
        <v>0</v>
      </c>
      <c r="Q12" s="128"/>
      <c r="R12" s="128">
        <v>-3.90625E-3</v>
      </c>
      <c r="S12" s="128">
        <v>-163007.41912078857</v>
      </c>
      <c r="T12" s="128">
        <v>0</v>
      </c>
      <c r="U12" s="128">
        <v>0</v>
      </c>
      <c r="V12" s="128">
        <v>0</v>
      </c>
      <c r="W12" s="128">
        <v>0</v>
      </c>
      <c r="X12" s="128">
        <v>-33345.62255859375</v>
      </c>
      <c r="Y12" s="128">
        <v>0</v>
      </c>
      <c r="Z12" s="128">
        <v>0</v>
      </c>
      <c r="AA12" s="128">
        <v>1174.3655652999878</v>
      </c>
      <c r="AB12" s="128">
        <v>0</v>
      </c>
      <c r="AC12" s="128">
        <v>0</v>
      </c>
      <c r="AD12" s="128">
        <v>0</v>
      </c>
      <c r="AE12" s="128">
        <v>-2924.7734375</v>
      </c>
      <c r="AF12" s="128">
        <v>-2924.7734375</v>
      </c>
      <c r="AG12" s="128">
        <v>0</v>
      </c>
      <c r="AH12" s="128">
        <v>0</v>
      </c>
      <c r="AI12" s="128">
        <v>0</v>
      </c>
      <c r="AJ12" s="128">
        <v>13379.132661819458</v>
      </c>
      <c r="AK12" s="128">
        <v>-298858.56628417969</v>
      </c>
      <c r="AL12" s="128">
        <v>2.74658203125E-2</v>
      </c>
      <c r="AM12" s="128">
        <v>0</v>
      </c>
      <c r="AN12" s="128">
        <v>0</v>
      </c>
      <c r="AO12" s="128">
        <v>0</v>
      </c>
      <c r="AP12" s="128">
        <v>-298858.59375</v>
      </c>
      <c r="AQ12" s="128">
        <v>-35803.75</v>
      </c>
      <c r="AR12" s="128">
        <v>0</v>
      </c>
      <c r="AS12" s="128">
        <v>-6182.7439339160919</v>
      </c>
      <c r="AT12" s="128">
        <v>46015.742631986737</v>
      </c>
      <c r="AU12" s="128">
        <v>7.476806640625E-4</v>
      </c>
      <c r="AV12" s="128">
        <v>1057.2509765625</v>
      </c>
      <c r="AW12" s="128">
        <v>-9.765625E-4</v>
      </c>
      <c r="AX12" s="128">
        <v>-1.622319221496582E-3</v>
      </c>
      <c r="AY12" s="128">
        <v>41707.928267478943</v>
      </c>
      <c r="AZ12" s="128">
        <v>-6.40869140625E-4</v>
      </c>
      <c r="BA12" s="128">
        <v>-9.765625E-4</v>
      </c>
      <c r="BB12" s="128">
        <v>-3.0517578125E-4</v>
      </c>
      <c r="BC12" s="128">
        <v>2.2798776626586914E-5</v>
      </c>
      <c r="BD12" s="128">
        <v>-6.6483020782470703E-4</v>
      </c>
      <c r="BE12" s="128">
        <v>-2.3245811462402344E-6</v>
      </c>
      <c r="BF12" s="128">
        <v>0</v>
      </c>
      <c r="BG12" s="128">
        <v>0</v>
      </c>
      <c r="BH12" s="128">
        <v>0</v>
      </c>
      <c r="BI12" s="128">
        <v>0</v>
      </c>
      <c r="BJ12" s="128">
        <v>-6.866455078125E-3</v>
      </c>
      <c r="BK12" s="128">
        <v>0</v>
      </c>
      <c r="BL12" s="128">
        <v>-10061.94775390625</v>
      </c>
      <c r="BM12" s="128">
        <v>0</v>
      </c>
      <c r="BN12" s="128">
        <v>3.662109375E-4</v>
      </c>
      <c r="BO12" s="128">
        <v>0</v>
      </c>
      <c r="BP12" s="128">
        <v>0</v>
      </c>
      <c r="BQ12" s="128">
        <v>0</v>
      </c>
      <c r="BR12" s="128">
        <v>537472.2000579834</v>
      </c>
      <c r="BS12" s="130">
        <v>0</v>
      </c>
    </row>
    <row r="13" spans="1:71" ht="15.75">
      <c r="A13" s="132" t="s">
        <v>69</v>
      </c>
      <c r="B13" s="137"/>
      <c r="C13" s="137"/>
      <c r="D13" s="137"/>
      <c r="E13" s="137"/>
      <c r="F13" s="137"/>
      <c r="G13" s="137"/>
      <c r="H13" s="137"/>
      <c r="I13" s="137"/>
      <c r="J13" s="137"/>
      <c r="K13" s="137"/>
      <c r="L13" s="137"/>
      <c r="M13" s="25"/>
      <c r="N13" s="134" t="s">
        <v>236</v>
      </c>
      <c r="O13" s="135">
        <v>-3371723.576171875</v>
      </c>
      <c r="P13" s="135"/>
      <c r="Q13" s="135"/>
      <c r="R13" s="135">
        <v>-36910.92578125</v>
      </c>
      <c r="S13" s="135">
        <v>-3334812.650390625</v>
      </c>
      <c r="T13" s="135">
        <v>0</v>
      </c>
      <c r="U13" s="135">
        <v>0</v>
      </c>
      <c r="V13" s="135">
        <v>0</v>
      </c>
      <c r="W13" s="135">
        <v>0</v>
      </c>
      <c r="X13" s="135">
        <v>38773.98046875</v>
      </c>
      <c r="Y13" s="135">
        <v>0</v>
      </c>
      <c r="Z13" s="135">
        <v>0</v>
      </c>
      <c r="AA13" s="135">
        <v>21556.609375</v>
      </c>
      <c r="AB13" s="135">
        <v>23257.001953125</v>
      </c>
      <c r="AC13" s="135">
        <v>22961</v>
      </c>
      <c r="AD13" s="135">
        <v>0</v>
      </c>
      <c r="AE13" s="135">
        <v>-225875</v>
      </c>
      <c r="AF13" s="135">
        <v>-225875</v>
      </c>
      <c r="AG13" s="135">
        <v>0</v>
      </c>
      <c r="AH13" s="135">
        <v>0</v>
      </c>
      <c r="AI13" s="135">
        <v>0</v>
      </c>
      <c r="AJ13" s="135">
        <v>-88318.546875</v>
      </c>
      <c r="AK13" s="135">
        <v>-434973.46875</v>
      </c>
      <c r="AL13" s="135">
        <v>-730997.0625</v>
      </c>
      <c r="AM13" s="135">
        <v>-2835</v>
      </c>
      <c r="AN13" s="135">
        <v>0</v>
      </c>
      <c r="AO13" s="135">
        <v>0</v>
      </c>
      <c r="AP13" s="135">
        <v>298858.59375</v>
      </c>
      <c r="AQ13" s="135">
        <v>35803.75</v>
      </c>
      <c r="AR13" s="135">
        <v>0</v>
      </c>
      <c r="AS13" s="135">
        <v>19175.529296875</v>
      </c>
      <c r="AT13" s="135">
        <v>322657.875</v>
      </c>
      <c r="AU13" s="135">
        <v>14043.8037109375</v>
      </c>
      <c r="AV13" s="135">
        <v>0</v>
      </c>
      <c r="AW13" s="135">
        <v>52100.50390625</v>
      </c>
      <c r="AX13" s="135">
        <v>27098.61328125</v>
      </c>
      <c r="AY13" s="135">
        <v>301436.75</v>
      </c>
      <c r="AZ13" s="135">
        <v>36176.99609375</v>
      </c>
      <c r="BA13" s="135">
        <v>0</v>
      </c>
      <c r="BB13" s="135">
        <v>4186.205078125</v>
      </c>
      <c r="BC13" s="135">
        <v>5358.7314453125</v>
      </c>
      <c r="BD13" s="135">
        <v>14418.142578125</v>
      </c>
      <c r="BE13" s="135">
        <v>398.02020263671875</v>
      </c>
      <c r="BF13" s="135">
        <v>0</v>
      </c>
      <c r="BG13" s="135">
        <v>0</v>
      </c>
      <c r="BH13" s="135">
        <v>0</v>
      </c>
      <c r="BI13" s="135">
        <v>-171743.84375</v>
      </c>
      <c r="BJ13" s="135">
        <v>-3040.5888366699219</v>
      </c>
      <c r="BK13" s="135">
        <v>0</v>
      </c>
      <c r="BL13" s="135">
        <v>-3869.97998046875</v>
      </c>
      <c r="BM13" s="135">
        <v>0</v>
      </c>
      <c r="BN13" s="135">
        <v>-18475.775756835938</v>
      </c>
      <c r="BO13" s="135">
        <v>0</v>
      </c>
      <c r="BP13" s="135">
        <v>0</v>
      </c>
      <c r="BQ13" s="135">
        <v>0</v>
      </c>
      <c r="BR13" s="135">
        <v>911611.625</v>
      </c>
      <c r="BS13" s="136">
        <v>0</v>
      </c>
    </row>
    <row r="14" spans="1:71" ht="15.75">
      <c r="A14" s="124" t="s">
        <v>113</v>
      </c>
      <c r="B14" s="125">
        <v>-2466073.75</v>
      </c>
      <c r="C14" s="131"/>
      <c r="D14" s="125">
        <v>-381</v>
      </c>
      <c r="E14" s="131"/>
      <c r="F14" s="125">
        <v>-171743.84</v>
      </c>
      <c r="G14" s="125">
        <v>-2535.34</v>
      </c>
      <c r="H14" s="125">
        <v>-1233.68</v>
      </c>
      <c r="I14" s="131"/>
      <c r="J14" s="125">
        <v>839410.31</v>
      </c>
      <c r="K14" s="131"/>
      <c r="L14" s="125">
        <v>-1802557.31</v>
      </c>
      <c r="M14" s="25"/>
      <c r="N14" s="127" t="s">
        <v>113</v>
      </c>
      <c r="O14" s="128">
        <v>-2466073.75</v>
      </c>
      <c r="P14" s="128"/>
      <c r="Q14" s="128"/>
      <c r="R14" s="128"/>
      <c r="S14" s="128">
        <v>-2466073.75</v>
      </c>
      <c r="T14" s="128"/>
      <c r="U14" s="128"/>
      <c r="V14" s="128"/>
      <c r="W14" s="128"/>
      <c r="X14" s="128"/>
      <c r="Y14" s="128"/>
      <c r="Z14" s="128"/>
      <c r="AA14" s="128"/>
      <c r="AB14" s="128"/>
      <c r="AC14" s="128"/>
      <c r="AD14" s="128"/>
      <c r="AE14" s="128">
        <v>0</v>
      </c>
      <c r="AF14" s="128"/>
      <c r="AG14" s="128"/>
      <c r="AH14" s="128"/>
      <c r="AI14" s="128"/>
      <c r="AJ14" s="128"/>
      <c r="AK14" s="128">
        <v>0</v>
      </c>
      <c r="AL14" s="128"/>
      <c r="AM14" s="128"/>
      <c r="AN14" s="128"/>
      <c r="AO14" s="128"/>
      <c r="AP14" s="128"/>
      <c r="AQ14" s="128"/>
      <c r="AR14" s="128"/>
      <c r="AS14" s="128"/>
      <c r="AT14" s="128"/>
      <c r="AU14" s="128"/>
      <c r="AV14" s="128"/>
      <c r="AW14" s="128"/>
      <c r="AX14" s="128"/>
      <c r="AY14" s="128">
        <v>-381</v>
      </c>
      <c r="AZ14" s="128"/>
      <c r="BA14" s="128"/>
      <c r="BB14" s="128"/>
      <c r="BC14" s="128"/>
      <c r="BD14" s="128"/>
      <c r="BE14" s="128"/>
      <c r="BF14" s="128"/>
      <c r="BG14" s="128"/>
      <c r="BH14" s="128"/>
      <c r="BI14" s="128">
        <v>-171743.84375</v>
      </c>
      <c r="BJ14" s="128">
        <v>-2535.34326171875</v>
      </c>
      <c r="BK14" s="128">
        <v>0</v>
      </c>
      <c r="BL14" s="128">
        <v>0</v>
      </c>
      <c r="BM14" s="128">
        <v>0</v>
      </c>
      <c r="BN14" s="128">
        <v>-1233.6839599609375</v>
      </c>
      <c r="BO14" s="128"/>
      <c r="BP14" s="128"/>
      <c r="BQ14" s="128"/>
      <c r="BR14" s="128">
        <v>839410.3125</v>
      </c>
      <c r="BS14" s="130"/>
    </row>
    <row r="15" spans="1:71" ht="15.75">
      <c r="A15" s="124" t="s">
        <v>114</v>
      </c>
      <c r="B15" s="125">
        <v>-7562.03</v>
      </c>
      <c r="C15" s="131"/>
      <c r="D15" s="131"/>
      <c r="E15" s="131"/>
      <c r="F15" s="131"/>
      <c r="G15" s="125">
        <v>-505.25</v>
      </c>
      <c r="H15" s="125">
        <v>-21112.07</v>
      </c>
      <c r="I15" s="125">
        <v>-8630</v>
      </c>
      <c r="J15" s="125">
        <v>72201.31</v>
      </c>
      <c r="K15" s="131"/>
      <c r="L15" s="125">
        <v>34391.97</v>
      </c>
      <c r="M15" s="25"/>
      <c r="N15" s="127" t="s">
        <v>114</v>
      </c>
      <c r="O15" s="128">
        <v>-7562.025390625</v>
      </c>
      <c r="P15" s="128"/>
      <c r="Q15" s="128"/>
      <c r="R15" s="128"/>
      <c r="S15" s="128">
        <v>-7562.025390625</v>
      </c>
      <c r="T15" s="128"/>
      <c r="U15" s="128"/>
      <c r="V15" s="128"/>
      <c r="W15" s="128"/>
      <c r="X15" s="128"/>
      <c r="Y15" s="128"/>
      <c r="Z15" s="128"/>
      <c r="AA15" s="128"/>
      <c r="AB15" s="128"/>
      <c r="AC15" s="128"/>
      <c r="AD15" s="128"/>
      <c r="AE15" s="128">
        <v>-4315</v>
      </c>
      <c r="AF15" s="128">
        <v>-4315</v>
      </c>
      <c r="AG15" s="128"/>
      <c r="AH15" s="128"/>
      <c r="AI15" s="128"/>
      <c r="AJ15" s="128"/>
      <c r="AK15" s="128">
        <v>0</v>
      </c>
      <c r="AL15" s="128"/>
      <c r="AM15" s="128"/>
      <c r="AN15" s="128"/>
      <c r="AO15" s="128"/>
      <c r="AP15" s="128"/>
      <c r="AQ15" s="128"/>
      <c r="AR15" s="128"/>
      <c r="AS15" s="128"/>
      <c r="AT15" s="128"/>
      <c r="AU15" s="128"/>
      <c r="AV15" s="128"/>
      <c r="AW15" s="128"/>
      <c r="AX15" s="128"/>
      <c r="AY15" s="128"/>
      <c r="AZ15" s="128"/>
      <c r="BA15" s="128"/>
      <c r="BB15" s="128"/>
      <c r="BC15" s="128"/>
      <c r="BD15" s="128"/>
      <c r="BE15" s="128"/>
      <c r="BF15" s="128"/>
      <c r="BG15" s="128"/>
      <c r="BH15" s="128"/>
      <c r="BI15" s="128">
        <v>0</v>
      </c>
      <c r="BJ15" s="128">
        <v>-505.24557495117188</v>
      </c>
      <c r="BK15" s="128">
        <v>0</v>
      </c>
      <c r="BL15" s="128">
        <v>-3869.97998046875</v>
      </c>
      <c r="BM15" s="128">
        <v>0</v>
      </c>
      <c r="BN15" s="128">
        <v>-17242.091796875</v>
      </c>
      <c r="BO15" s="128"/>
      <c r="BP15" s="128"/>
      <c r="BQ15" s="128"/>
      <c r="BR15" s="128">
        <v>72201.3125</v>
      </c>
      <c r="BS15" s="130"/>
    </row>
    <row r="16" spans="1:71" ht="15.75">
      <c r="A16" s="124" t="s">
        <v>115</v>
      </c>
      <c r="B16" s="131"/>
      <c r="C16" s="131"/>
      <c r="D16" s="131"/>
      <c r="E16" s="131"/>
      <c r="F16" s="131"/>
      <c r="G16" s="131"/>
      <c r="H16" s="131"/>
      <c r="I16" s="131"/>
      <c r="J16" s="131"/>
      <c r="K16" s="131"/>
      <c r="L16" s="125" t="s">
        <v>105</v>
      </c>
      <c r="M16" s="25"/>
      <c r="N16" s="127" t="s">
        <v>115</v>
      </c>
      <c r="O16" s="128">
        <v>0</v>
      </c>
      <c r="P16" s="128"/>
      <c r="Q16" s="128"/>
      <c r="R16" s="128"/>
      <c r="S16" s="128"/>
      <c r="T16" s="128"/>
      <c r="U16" s="128"/>
      <c r="V16" s="128"/>
      <c r="W16" s="128"/>
      <c r="X16" s="128"/>
      <c r="Y16" s="128"/>
      <c r="Z16" s="128"/>
      <c r="AA16" s="128"/>
      <c r="AB16" s="128"/>
      <c r="AC16" s="128"/>
      <c r="AD16" s="128"/>
      <c r="AE16" s="128">
        <v>0</v>
      </c>
      <c r="AF16" s="128"/>
      <c r="AG16" s="128"/>
      <c r="AH16" s="128"/>
      <c r="AI16" s="128"/>
      <c r="AJ16" s="128"/>
      <c r="AK16" s="128">
        <v>0</v>
      </c>
      <c r="AL16" s="128"/>
      <c r="AM16" s="128"/>
      <c r="AN16" s="128"/>
      <c r="AO16" s="128"/>
      <c r="AP16" s="128"/>
      <c r="AQ16" s="128"/>
      <c r="AR16" s="128"/>
      <c r="AS16" s="128"/>
      <c r="AT16" s="128"/>
      <c r="AU16" s="128"/>
      <c r="AV16" s="128"/>
      <c r="AW16" s="128"/>
      <c r="AX16" s="128"/>
      <c r="AY16" s="128"/>
      <c r="AZ16" s="128"/>
      <c r="BA16" s="128"/>
      <c r="BB16" s="128"/>
      <c r="BC16" s="128"/>
      <c r="BD16" s="128"/>
      <c r="BE16" s="128"/>
      <c r="BF16" s="128"/>
      <c r="BG16" s="128"/>
      <c r="BH16" s="128"/>
      <c r="BI16" s="128">
        <v>0</v>
      </c>
      <c r="BJ16" s="128">
        <v>0</v>
      </c>
      <c r="BK16" s="128">
        <v>0</v>
      </c>
      <c r="BL16" s="128">
        <v>0</v>
      </c>
      <c r="BM16" s="128">
        <v>0</v>
      </c>
      <c r="BN16" s="128">
        <v>0</v>
      </c>
      <c r="BO16" s="128"/>
      <c r="BP16" s="128"/>
      <c r="BQ16" s="128"/>
      <c r="BR16" s="128">
        <v>0</v>
      </c>
      <c r="BS16" s="130">
        <v>0</v>
      </c>
    </row>
    <row r="17" spans="1:71" ht="15.75">
      <c r="A17" s="124" t="s">
        <v>116</v>
      </c>
      <c r="B17" s="131"/>
      <c r="C17" s="131"/>
      <c r="D17" s="131"/>
      <c r="E17" s="131"/>
      <c r="F17" s="131"/>
      <c r="G17" s="131"/>
      <c r="H17" s="131"/>
      <c r="I17" s="131"/>
      <c r="J17" s="131"/>
      <c r="K17" s="131"/>
      <c r="L17" s="125" t="s">
        <v>105</v>
      </c>
      <c r="M17" s="25"/>
      <c r="N17" s="127" t="s">
        <v>116</v>
      </c>
      <c r="O17" s="128">
        <v>0</v>
      </c>
      <c r="P17" s="128"/>
      <c r="Q17" s="128"/>
      <c r="R17" s="128"/>
      <c r="S17" s="128"/>
      <c r="T17" s="128"/>
      <c r="U17" s="128"/>
      <c r="V17" s="128"/>
      <c r="W17" s="128"/>
      <c r="X17" s="128"/>
      <c r="Y17" s="128"/>
      <c r="Z17" s="128"/>
      <c r="AA17" s="128"/>
      <c r="AB17" s="128"/>
      <c r="AC17" s="128"/>
      <c r="AD17" s="128"/>
      <c r="AE17" s="128">
        <v>0</v>
      </c>
      <c r="AF17" s="128"/>
      <c r="AG17" s="128"/>
      <c r="AH17" s="128"/>
      <c r="AI17" s="128"/>
      <c r="AJ17" s="128"/>
      <c r="AK17" s="128">
        <v>0</v>
      </c>
      <c r="AL17" s="128"/>
      <c r="AM17" s="128"/>
      <c r="AN17" s="128"/>
      <c r="AO17" s="128"/>
      <c r="AP17" s="128"/>
      <c r="AQ17" s="128"/>
      <c r="AR17" s="128"/>
      <c r="AS17" s="128"/>
      <c r="AT17" s="128"/>
      <c r="AU17" s="128"/>
      <c r="AV17" s="128"/>
      <c r="AW17" s="128"/>
      <c r="AX17" s="128"/>
      <c r="AY17" s="128"/>
      <c r="AZ17" s="128"/>
      <c r="BA17" s="128"/>
      <c r="BB17" s="128"/>
      <c r="BC17" s="128"/>
      <c r="BD17" s="128"/>
      <c r="BE17" s="128"/>
      <c r="BF17" s="128"/>
      <c r="BG17" s="128"/>
      <c r="BH17" s="128"/>
      <c r="BI17" s="128">
        <v>0</v>
      </c>
      <c r="BJ17" s="128">
        <v>0</v>
      </c>
      <c r="BK17" s="128">
        <v>0</v>
      </c>
      <c r="BL17" s="128">
        <v>0</v>
      </c>
      <c r="BM17" s="128">
        <v>0</v>
      </c>
      <c r="BN17" s="128">
        <v>0</v>
      </c>
      <c r="BO17" s="128"/>
      <c r="BP17" s="128"/>
      <c r="BQ17" s="128"/>
      <c r="BR17" s="128">
        <v>0</v>
      </c>
      <c r="BS17" s="130">
        <v>0</v>
      </c>
    </row>
    <row r="18" spans="1:71" ht="15.75">
      <c r="A18" s="124" t="s">
        <v>117</v>
      </c>
      <c r="B18" s="131"/>
      <c r="C18" s="131"/>
      <c r="D18" s="131"/>
      <c r="E18" s="131"/>
      <c r="F18" s="125"/>
      <c r="G18" s="125"/>
      <c r="H18" s="125"/>
      <c r="I18" s="131"/>
      <c r="J18" s="131"/>
      <c r="K18" s="131"/>
      <c r="L18" s="125" t="s">
        <v>105</v>
      </c>
      <c r="M18" s="25"/>
      <c r="N18" s="127" t="s">
        <v>117</v>
      </c>
      <c r="O18" s="128">
        <v>0</v>
      </c>
      <c r="P18" s="128"/>
      <c r="Q18" s="128"/>
      <c r="R18" s="128"/>
      <c r="S18" s="128"/>
      <c r="T18" s="128"/>
      <c r="U18" s="128"/>
      <c r="V18" s="128"/>
      <c r="W18" s="128"/>
      <c r="X18" s="128"/>
      <c r="Y18" s="128"/>
      <c r="Z18" s="128"/>
      <c r="AA18" s="128"/>
      <c r="AB18" s="128"/>
      <c r="AC18" s="128"/>
      <c r="AD18" s="128"/>
      <c r="AE18" s="128">
        <v>0</v>
      </c>
      <c r="AF18" s="128"/>
      <c r="AG18" s="128"/>
      <c r="AH18" s="128"/>
      <c r="AI18" s="128"/>
      <c r="AJ18" s="128"/>
      <c r="AK18" s="128">
        <v>0</v>
      </c>
      <c r="AL18" s="128"/>
      <c r="AM18" s="128"/>
      <c r="AN18" s="128"/>
      <c r="AO18" s="128"/>
      <c r="AP18" s="128"/>
      <c r="AQ18" s="128"/>
      <c r="AR18" s="128"/>
      <c r="AS18" s="128"/>
      <c r="AT18" s="128"/>
      <c r="AU18" s="128"/>
      <c r="AV18" s="128"/>
      <c r="AW18" s="128"/>
      <c r="AX18" s="128"/>
      <c r="AY18" s="128"/>
      <c r="AZ18" s="128"/>
      <c r="BA18" s="128"/>
      <c r="BB18" s="128"/>
      <c r="BC18" s="128"/>
      <c r="BD18" s="128"/>
      <c r="BE18" s="128"/>
      <c r="BF18" s="128"/>
      <c r="BG18" s="128"/>
      <c r="BH18" s="128"/>
      <c r="BI18" s="128"/>
      <c r="BJ18" s="128"/>
      <c r="BK18" s="128"/>
      <c r="BL18" s="128"/>
      <c r="BM18" s="128"/>
      <c r="BN18" s="128"/>
      <c r="BO18" s="128"/>
      <c r="BP18" s="128"/>
      <c r="BQ18" s="128"/>
      <c r="BR18" s="128"/>
      <c r="BS18" s="130">
        <v>0</v>
      </c>
    </row>
    <row r="19" spans="1:71" ht="15.75">
      <c r="A19" s="124" t="s">
        <v>118</v>
      </c>
      <c r="B19" s="131"/>
      <c r="C19" s="131"/>
      <c r="D19" s="131"/>
      <c r="E19" s="131"/>
      <c r="F19" s="125"/>
      <c r="G19" s="125"/>
      <c r="H19" s="125"/>
      <c r="I19" s="131"/>
      <c r="J19" s="131"/>
      <c r="K19" s="131"/>
      <c r="L19" s="125" t="s">
        <v>105</v>
      </c>
      <c r="M19" s="25"/>
      <c r="N19" s="127" t="s">
        <v>118</v>
      </c>
      <c r="O19" s="128">
        <v>0</v>
      </c>
      <c r="P19" s="128"/>
      <c r="Q19" s="128"/>
      <c r="R19" s="128"/>
      <c r="S19" s="128"/>
      <c r="T19" s="128"/>
      <c r="U19" s="128"/>
      <c r="V19" s="128"/>
      <c r="W19" s="128"/>
      <c r="X19" s="128"/>
      <c r="Y19" s="128"/>
      <c r="Z19" s="128"/>
      <c r="AA19" s="128"/>
      <c r="AB19" s="128"/>
      <c r="AC19" s="128"/>
      <c r="AD19" s="128"/>
      <c r="AE19" s="128">
        <v>0</v>
      </c>
      <c r="AF19" s="128"/>
      <c r="AG19" s="128"/>
      <c r="AH19" s="128"/>
      <c r="AI19" s="128"/>
      <c r="AJ19" s="128"/>
      <c r="AK19" s="128">
        <v>0</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30">
        <v>0</v>
      </c>
    </row>
    <row r="20" spans="1:71" ht="15.75">
      <c r="A20" s="124" t="s">
        <v>119</v>
      </c>
      <c r="B20" s="131"/>
      <c r="C20" s="131"/>
      <c r="D20" s="131"/>
      <c r="E20" s="131"/>
      <c r="F20" s="125"/>
      <c r="G20" s="125"/>
      <c r="H20" s="125"/>
      <c r="I20" s="131"/>
      <c r="J20" s="131"/>
      <c r="K20" s="131"/>
      <c r="L20" s="125" t="s">
        <v>105</v>
      </c>
      <c r="M20" s="25"/>
      <c r="N20" s="127" t="s">
        <v>119</v>
      </c>
      <c r="O20" s="128">
        <v>0</v>
      </c>
      <c r="P20" s="128"/>
      <c r="Q20" s="128"/>
      <c r="R20" s="128"/>
      <c r="S20" s="128"/>
      <c r="T20" s="128"/>
      <c r="U20" s="128"/>
      <c r="V20" s="128"/>
      <c r="W20" s="128"/>
      <c r="X20" s="128"/>
      <c r="Y20" s="128"/>
      <c r="Z20" s="128"/>
      <c r="AA20" s="128"/>
      <c r="AB20" s="128"/>
      <c r="AC20" s="128"/>
      <c r="AD20" s="128"/>
      <c r="AE20" s="128">
        <v>0</v>
      </c>
      <c r="AF20" s="128"/>
      <c r="AG20" s="128"/>
      <c r="AH20" s="128"/>
      <c r="AI20" s="128"/>
      <c r="AJ20" s="128"/>
      <c r="AK20" s="128">
        <v>0</v>
      </c>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30"/>
    </row>
    <row r="21" spans="1:71" ht="15.75">
      <c r="A21" s="124" t="s">
        <v>120</v>
      </c>
      <c r="B21" s="131"/>
      <c r="C21" s="131"/>
      <c r="D21" s="131"/>
      <c r="E21" s="131"/>
      <c r="F21" s="125"/>
      <c r="G21" s="125"/>
      <c r="H21" s="125"/>
      <c r="I21" s="131"/>
      <c r="J21" s="131"/>
      <c r="K21" s="131"/>
      <c r="L21" s="125" t="s">
        <v>105</v>
      </c>
      <c r="M21" s="25"/>
      <c r="N21" s="127" t="s">
        <v>237</v>
      </c>
      <c r="O21" s="128">
        <v>0</v>
      </c>
      <c r="P21" s="128"/>
      <c r="Q21" s="128"/>
      <c r="R21" s="128"/>
      <c r="S21" s="128"/>
      <c r="T21" s="128"/>
      <c r="U21" s="128"/>
      <c r="V21" s="128"/>
      <c r="W21" s="128"/>
      <c r="X21" s="128"/>
      <c r="Y21" s="128"/>
      <c r="Z21" s="128"/>
      <c r="AA21" s="128"/>
      <c r="AB21" s="128"/>
      <c r="AC21" s="128"/>
      <c r="AD21" s="128"/>
      <c r="AE21" s="128">
        <v>0</v>
      </c>
      <c r="AF21" s="128"/>
      <c r="AG21" s="128"/>
      <c r="AH21" s="128"/>
      <c r="AI21" s="128"/>
      <c r="AJ21" s="128"/>
      <c r="AK21" s="128">
        <v>0</v>
      </c>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30"/>
    </row>
    <row r="22" spans="1:71" ht="15.75">
      <c r="A22" s="124" t="s">
        <v>121</v>
      </c>
      <c r="B22" s="131"/>
      <c r="C22" s="131"/>
      <c r="D22" s="131"/>
      <c r="E22" s="125">
        <v>21556.61</v>
      </c>
      <c r="F22" s="125"/>
      <c r="G22" s="125"/>
      <c r="H22" s="125"/>
      <c r="I22" s="131"/>
      <c r="J22" s="131"/>
      <c r="K22" s="131"/>
      <c r="L22" s="125">
        <v>21556.61</v>
      </c>
      <c r="M22" s="25"/>
      <c r="N22" s="127" t="s">
        <v>238</v>
      </c>
      <c r="O22" s="128">
        <v>-36910.92578125</v>
      </c>
      <c r="P22" s="128"/>
      <c r="Q22" s="128"/>
      <c r="R22" s="128">
        <v>-36910.92578125</v>
      </c>
      <c r="S22" s="128"/>
      <c r="T22" s="128"/>
      <c r="U22" s="128"/>
      <c r="V22" s="128"/>
      <c r="W22" s="128"/>
      <c r="X22" s="128">
        <v>38773.98046875</v>
      </c>
      <c r="Y22" s="128"/>
      <c r="Z22" s="128"/>
      <c r="AA22" s="128"/>
      <c r="AB22" s="128">
        <v>23257.001953125</v>
      </c>
      <c r="AC22" s="128"/>
      <c r="AD22" s="128"/>
      <c r="AE22" s="128">
        <v>0</v>
      </c>
      <c r="AF22" s="128"/>
      <c r="AG22" s="128"/>
      <c r="AH22" s="128"/>
      <c r="AI22" s="128"/>
      <c r="AJ22" s="128"/>
      <c r="AK22" s="128">
        <v>0</v>
      </c>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30"/>
    </row>
    <row r="23" spans="1:71" ht="15.75">
      <c r="A23" s="124" t="s">
        <v>122</v>
      </c>
      <c r="B23" s="131"/>
      <c r="C23" s="125">
        <v>-733832.06</v>
      </c>
      <c r="D23" s="125">
        <v>797432.17</v>
      </c>
      <c r="E23" s="131"/>
      <c r="F23" s="125"/>
      <c r="G23" s="125"/>
      <c r="H23" s="125"/>
      <c r="I23" s="131"/>
      <c r="J23" s="125">
        <v>44655.41</v>
      </c>
      <c r="K23" s="131"/>
      <c r="L23" s="125">
        <v>108255.51</v>
      </c>
      <c r="M23" s="25"/>
      <c r="N23" s="127" t="s">
        <v>121</v>
      </c>
      <c r="O23" s="128">
        <v>0</v>
      </c>
      <c r="P23" s="128"/>
      <c r="Q23" s="128"/>
      <c r="R23" s="128"/>
      <c r="S23" s="128"/>
      <c r="T23" s="128"/>
      <c r="U23" s="128"/>
      <c r="V23" s="128"/>
      <c r="W23" s="128"/>
      <c r="X23" s="128"/>
      <c r="Y23" s="128"/>
      <c r="Z23" s="128"/>
      <c r="AA23" s="128">
        <v>21556.609375</v>
      </c>
      <c r="AB23" s="128"/>
      <c r="AC23" s="128"/>
      <c r="AD23" s="128"/>
      <c r="AE23" s="128">
        <v>0</v>
      </c>
      <c r="AF23" s="128"/>
      <c r="AG23" s="128"/>
      <c r="AH23" s="128"/>
      <c r="AI23" s="128"/>
      <c r="AJ23" s="128"/>
      <c r="AK23" s="128">
        <v>0</v>
      </c>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30"/>
    </row>
    <row r="24" spans="1:71" ht="15.75">
      <c r="A24" s="138" t="s">
        <v>123</v>
      </c>
      <c r="B24" s="131"/>
      <c r="C24" s="131"/>
      <c r="D24" s="131"/>
      <c r="E24" s="131"/>
      <c r="F24" s="125"/>
      <c r="G24" s="125"/>
      <c r="H24" s="125"/>
      <c r="I24" s="131"/>
      <c r="J24" s="131"/>
      <c r="K24" s="131"/>
      <c r="L24" s="125" t="s">
        <v>105</v>
      </c>
      <c r="M24" s="25"/>
      <c r="N24" s="127" t="s">
        <v>239</v>
      </c>
      <c r="O24" s="128">
        <v>0</v>
      </c>
      <c r="P24" s="128"/>
      <c r="Q24" s="128"/>
      <c r="R24" s="128"/>
      <c r="S24" s="128"/>
      <c r="T24" s="128"/>
      <c r="U24" s="128"/>
      <c r="V24" s="128"/>
      <c r="W24" s="128"/>
      <c r="X24" s="128"/>
      <c r="Y24" s="128"/>
      <c r="Z24" s="128"/>
      <c r="AA24" s="128"/>
      <c r="AB24" s="128"/>
      <c r="AC24" s="128">
        <v>22961</v>
      </c>
      <c r="AD24" s="128"/>
      <c r="AE24" s="128">
        <v>0</v>
      </c>
      <c r="AF24" s="128"/>
      <c r="AG24" s="128"/>
      <c r="AH24" s="128"/>
      <c r="AI24" s="128"/>
      <c r="AJ24" s="128"/>
      <c r="AK24" s="128">
        <v>0</v>
      </c>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30"/>
    </row>
    <row r="25" spans="1:71" ht="15.75">
      <c r="A25" s="124" t="s">
        <v>124</v>
      </c>
      <c r="B25" s="125">
        <v>-861176.88</v>
      </c>
      <c r="C25" s="125">
        <v>298858.59000000003</v>
      </c>
      <c r="D25" s="131"/>
      <c r="E25" s="125">
        <v>-88318.55</v>
      </c>
      <c r="F25" s="125"/>
      <c r="G25" s="125"/>
      <c r="H25" s="125"/>
      <c r="I25" s="131"/>
      <c r="J25" s="131"/>
      <c r="K25" s="131"/>
      <c r="L25" s="125">
        <v>-650636.82999999996</v>
      </c>
      <c r="M25" s="25"/>
      <c r="N25" s="127" t="s">
        <v>240</v>
      </c>
      <c r="O25" s="128">
        <v>0</v>
      </c>
      <c r="P25" s="128"/>
      <c r="Q25" s="128"/>
      <c r="R25" s="128"/>
      <c r="S25" s="128"/>
      <c r="T25" s="128"/>
      <c r="U25" s="128"/>
      <c r="V25" s="128"/>
      <c r="W25" s="128"/>
      <c r="X25" s="128"/>
      <c r="Y25" s="128"/>
      <c r="Z25" s="128"/>
      <c r="AA25" s="128"/>
      <c r="AB25" s="128"/>
      <c r="AC25" s="128"/>
      <c r="AD25" s="128"/>
      <c r="AE25" s="128">
        <v>0</v>
      </c>
      <c r="AF25" s="128"/>
      <c r="AG25" s="128"/>
      <c r="AH25" s="128"/>
      <c r="AI25" s="128"/>
      <c r="AJ25" s="128"/>
      <c r="AK25" s="128">
        <v>0</v>
      </c>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30"/>
    </row>
    <row r="26" spans="1:71" ht="15.75">
      <c r="A26" s="124" t="s">
        <v>125</v>
      </c>
      <c r="B26" s="131"/>
      <c r="C26" s="131"/>
      <c r="D26" s="131"/>
      <c r="E26" s="131"/>
      <c r="F26" s="125"/>
      <c r="G26" s="125"/>
      <c r="H26" s="125"/>
      <c r="I26" s="125">
        <v>-443120</v>
      </c>
      <c r="J26" s="131"/>
      <c r="K26" s="131"/>
      <c r="L26" s="125">
        <v>-443120</v>
      </c>
      <c r="M26" s="25"/>
      <c r="N26" s="127" t="s">
        <v>241</v>
      </c>
      <c r="O26" s="128">
        <v>0</v>
      </c>
      <c r="P26" s="128"/>
      <c r="Q26" s="128"/>
      <c r="R26" s="128"/>
      <c r="S26" s="128"/>
      <c r="T26" s="128"/>
      <c r="U26" s="128"/>
      <c r="V26" s="128"/>
      <c r="W26" s="128"/>
      <c r="X26" s="128"/>
      <c r="Y26" s="128"/>
      <c r="Z26" s="128"/>
      <c r="AA26" s="128"/>
      <c r="AB26" s="128"/>
      <c r="AC26" s="128"/>
      <c r="AD26" s="128"/>
      <c r="AE26" s="128">
        <v>0</v>
      </c>
      <c r="AF26" s="128"/>
      <c r="AG26" s="128"/>
      <c r="AH26" s="128"/>
      <c r="AI26" s="128"/>
      <c r="AJ26" s="128"/>
      <c r="AK26" s="128">
        <v>0</v>
      </c>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30"/>
    </row>
    <row r="27" spans="1:71" ht="15.75">
      <c r="A27" s="124" t="s">
        <v>126</v>
      </c>
      <c r="B27" s="131"/>
      <c r="C27" s="131"/>
      <c r="D27" s="131"/>
      <c r="E27" s="131"/>
      <c r="F27" s="125"/>
      <c r="G27" s="125"/>
      <c r="H27" s="125"/>
      <c r="I27" s="131"/>
      <c r="J27" s="131"/>
      <c r="K27" s="131"/>
      <c r="L27" s="125" t="s">
        <v>105</v>
      </c>
      <c r="M27" s="25"/>
      <c r="N27" s="127" t="s">
        <v>122</v>
      </c>
      <c r="O27" s="128">
        <v>0</v>
      </c>
      <c r="P27" s="128"/>
      <c r="Q27" s="128"/>
      <c r="R27" s="128"/>
      <c r="S27" s="128"/>
      <c r="T27" s="128"/>
      <c r="U27" s="128"/>
      <c r="V27" s="128"/>
      <c r="W27" s="128"/>
      <c r="X27" s="128"/>
      <c r="Y27" s="128"/>
      <c r="Z27" s="128"/>
      <c r="AA27" s="128"/>
      <c r="AB27" s="128"/>
      <c r="AC27" s="128"/>
      <c r="AD27" s="128"/>
      <c r="AE27" s="128">
        <v>0</v>
      </c>
      <c r="AF27" s="128"/>
      <c r="AG27" s="128"/>
      <c r="AH27" s="128"/>
      <c r="AI27" s="128"/>
      <c r="AJ27" s="128"/>
      <c r="AK27" s="128">
        <v>-733832.0625</v>
      </c>
      <c r="AL27" s="128">
        <v>-730997.0625</v>
      </c>
      <c r="AM27" s="128">
        <v>-2835</v>
      </c>
      <c r="AN27" s="128"/>
      <c r="AO27" s="128"/>
      <c r="AP27" s="128"/>
      <c r="AQ27" s="128">
        <v>35803.75</v>
      </c>
      <c r="AR27" s="128"/>
      <c r="AS27" s="128">
        <v>19175.529296875</v>
      </c>
      <c r="AT27" s="128">
        <v>322657.875</v>
      </c>
      <c r="AU27" s="128">
        <v>14043.8037109375</v>
      </c>
      <c r="AV27" s="128"/>
      <c r="AW27" s="128">
        <v>52100.50390625</v>
      </c>
      <c r="AX27" s="128">
        <v>27098.61328125</v>
      </c>
      <c r="AY27" s="128">
        <v>301817.75</v>
      </c>
      <c r="AZ27" s="128">
        <v>36176.99609375</v>
      </c>
      <c r="BA27" s="128"/>
      <c r="BB27" s="128">
        <v>4186.205078125</v>
      </c>
      <c r="BC27" s="128">
        <v>5358.7314453125</v>
      </c>
      <c r="BD27" s="128">
        <v>14418.142578125</v>
      </c>
      <c r="BE27" s="128">
        <v>398.02020263671875</v>
      </c>
      <c r="BF27" s="128"/>
      <c r="BG27" s="128"/>
      <c r="BH27" s="128"/>
      <c r="BI27" s="128"/>
      <c r="BJ27" s="128"/>
      <c r="BK27" s="128"/>
      <c r="BL27" s="128"/>
      <c r="BM27" s="128"/>
      <c r="BN27" s="128"/>
      <c r="BO27" s="128"/>
      <c r="BP27" s="128"/>
      <c r="BQ27" s="128"/>
      <c r="BR27" s="128"/>
      <c r="BS27" s="130"/>
    </row>
    <row r="28" spans="1:71" ht="15.75">
      <c r="A28" s="124"/>
      <c r="B28" s="131"/>
      <c r="C28" s="131"/>
      <c r="D28" s="131"/>
      <c r="E28" s="131"/>
      <c r="F28" s="131"/>
      <c r="G28" s="131"/>
      <c r="H28" s="131"/>
      <c r="I28" s="131"/>
      <c r="J28" s="131"/>
      <c r="K28" s="131"/>
      <c r="L28" s="125" t="s">
        <v>105</v>
      </c>
      <c r="M28" s="25"/>
      <c r="N28" s="127" t="s">
        <v>124</v>
      </c>
      <c r="O28" s="128">
        <v>-861176.875</v>
      </c>
      <c r="P28" s="128"/>
      <c r="Q28" s="128"/>
      <c r="R28" s="128"/>
      <c r="S28" s="128">
        <v>-861176.875</v>
      </c>
      <c r="T28" s="128"/>
      <c r="U28" s="128"/>
      <c r="V28" s="128"/>
      <c r="W28" s="128"/>
      <c r="X28" s="128"/>
      <c r="Y28" s="128"/>
      <c r="Z28" s="128"/>
      <c r="AA28" s="128"/>
      <c r="AB28" s="128"/>
      <c r="AC28" s="128"/>
      <c r="AD28" s="128"/>
      <c r="AE28" s="128">
        <v>0</v>
      </c>
      <c r="AF28" s="128"/>
      <c r="AG28" s="128"/>
      <c r="AH28" s="128"/>
      <c r="AI28" s="128"/>
      <c r="AJ28" s="128">
        <v>-88318.546875</v>
      </c>
      <c r="AK28" s="128">
        <v>298858.59375</v>
      </c>
      <c r="AL28" s="128"/>
      <c r="AM28" s="128"/>
      <c r="AN28" s="128"/>
      <c r="AO28" s="128"/>
      <c r="AP28" s="128">
        <v>298858.59375</v>
      </c>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30"/>
    </row>
    <row r="29" spans="1:71" ht="15.75">
      <c r="A29" s="124" t="s">
        <v>127</v>
      </c>
      <c r="B29" s="131"/>
      <c r="C29" s="131"/>
      <c r="D29" s="131"/>
      <c r="E29" s="131"/>
      <c r="F29" s="125"/>
      <c r="G29" s="125"/>
      <c r="H29" s="125"/>
      <c r="I29" s="131"/>
      <c r="J29" s="125">
        <v>75909.61</v>
      </c>
      <c r="K29" s="131"/>
      <c r="L29" s="125">
        <v>75909.61</v>
      </c>
      <c r="M29" s="25"/>
      <c r="N29" s="127" t="s">
        <v>125</v>
      </c>
      <c r="O29" s="128">
        <v>0</v>
      </c>
      <c r="P29" s="128"/>
      <c r="Q29" s="128"/>
      <c r="R29" s="128"/>
      <c r="S29" s="128"/>
      <c r="T29" s="128"/>
      <c r="U29" s="128"/>
      <c r="V29" s="128"/>
      <c r="W29" s="128"/>
      <c r="X29" s="128"/>
      <c r="Y29" s="128"/>
      <c r="Z29" s="128"/>
      <c r="AA29" s="128"/>
      <c r="AB29" s="128"/>
      <c r="AC29" s="128"/>
      <c r="AD29" s="128"/>
      <c r="AE29" s="128">
        <v>-221560</v>
      </c>
      <c r="AF29" s="128">
        <v>-221560</v>
      </c>
      <c r="AG29" s="128"/>
      <c r="AH29" s="128"/>
      <c r="AI29" s="128"/>
      <c r="AJ29" s="128"/>
      <c r="AK29" s="128">
        <v>0</v>
      </c>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30"/>
    </row>
    <row r="30" spans="1:71" ht="15.75">
      <c r="A30" s="124"/>
      <c r="B30" s="139"/>
      <c r="C30" s="131"/>
      <c r="D30" s="131"/>
      <c r="E30" s="131"/>
      <c r="F30" s="131"/>
      <c r="G30" s="131"/>
      <c r="H30" s="131"/>
      <c r="I30" s="131"/>
      <c r="J30" s="131"/>
      <c r="K30" s="131"/>
      <c r="L30" s="131"/>
      <c r="M30" s="25"/>
      <c r="N30" s="127" t="s">
        <v>235</v>
      </c>
      <c r="O30" s="140"/>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30"/>
    </row>
    <row r="31" spans="1:71" ht="15.75">
      <c r="A31" s="132" t="s">
        <v>128</v>
      </c>
      <c r="B31" s="133">
        <v>439731.44</v>
      </c>
      <c r="C31" s="133" t="s">
        <v>105</v>
      </c>
      <c r="D31" s="133">
        <v>1112482.46</v>
      </c>
      <c r="E31" s="133">
        <v>155825.98000000001</v>
      </c>
      <c r="F31" s="133" t="s">
        <v>105</v>
      </c>
      <c r="G31" s="133" t="s">
        <v>105</v>
      </c>
      <c r="H31" s="133">
        <v>3869.98</v>
      </c>
      <c r="I31" s="133">
        <v>425901.1</v>
      </c>
      <c r="J31" s="133">
        <v>729630.26</v>
      </c>
      <c r="K31" s="133" t="s">
        <v>105</v>
      </c>
      <c r="L31" s="133">
        <v>2867441.23</v>
      </c>
      <c r="M31" s="25"/>
      <c r="N31" s="134" t="s">
        <v>242</v>
      </c>
      <c r="O31" s="141">
        <v>42741.382202148438</v>
      </c>
      <c r="P31" s="141">
        <v>0</v>
      </c>
      <c r="Q31" s="141"/>
      <c r="R31" s="141">
        <v>0</v>
      </c>
      <c r="S31" s="141">
        <v>0</v>
      </c>
      <c r="T31" s="141">
        <v>0</v>
      </c>
      <c r="U31" s="141">
        <v>0</v>
      </c>
      <c r="V31" s="141">
        <v>0</v>
      </c>
      <c r="W31" s="141">
        <v>0</v>
      </c>
      <c r="X31" s="141">
        <v>0</v>
      </c>
      <c r="Y31" s="141">
        <v>0</v>
      </c>
      <c r="Z31" s="141">
        <v>0</v>
      </c>
      <c r="AA31" s="141">
        <v>1183.47900390625</v>
      </c>
      <c r="AB31" s="141">
        <v>0</v>
      </c>
      <c r="AC31" s="141">
        <v>0</v>
      </c>
      <c r="AD31" s="141">
        <v>0</v>
      </c>
      <c r="AE31" s="141">
        <v>0</v>
      </c>
      <c r="AF31" s="141">
        <v>0</v>
      </c>
      <c r="AG31" s="141">
        <v>0</v>
      </c>
      <c r="AH31" s="141">
        <v>0</v>
      </c>
      <c r="AI31" s="141">
        <v>0</v>
      </c>
      <c r="AJ31" s="141">
        <v>11436.4375</v>
      </c>
      <c r="AK31" s="141">
        <v>0</v>
      </c>
      <c r="AL31" s="141">
        <v>0</v>
      </c>
      <c r="AM31" s="141">
        <v>0</v>
      </c>
      <c r="AN31" s="141">
        <v>0</v>
      </c>
      <c r="AO31" s="141">
        <v>0</v>
      </c>
      <c r="AP31" s="141">
        <v>0</v>
      </c>
      <c r="AQ31" s="141">
        <v>0</v>
      </c>
      <c r="AR31" s="141">
        <v>0</v>
      </c>
      <c r="AS31" s="141">
        <v>0</v>
      </c>
      <c r="AT31" s="141">
        <v>0</v>
      </c>
      <c r="AU31" s="141">
        <v>0</v>
      </c>
      <c r="AV31" s="141">
        <v>0</v>
      </c>
      <c r="AW31" s="141">
        <v>0</v>
      </c>
      <c r="AX31" s="141">
        <v>0</v>
      </c>
      <c r="AY31" s="141">
        <v>0</v>
      </c>
      <c r="AZ31" s="141">
        <v>0</v>
      </c>
      <c r="BA31" s="141">
        <v>0</v>
      </c>
      <c r="BB31" s="141">
        <v>0</v>
      </c>
      <c r="BC31" s="141">
        <v>0</v>
      </c>
      <c r="BD31" s="141">
        <v>0</v>
      </c>
      <c r="BE31" s="141">
        <v>0</v>
      </c>
      <c r="BF31" s="141">
        <v>0</v>
      </c>
      <c r="BG31" s="141">
        <v>0</v>
      </c>
      <c r="BH31" s="141">
        <v>0</v>
      </c>
      <c r="BI31" s="141"/>
      <c r="BJ31" s="141"/>
      <c r="BK31" s="141"/>
      <c r="BL31" s="141"/>
      <c r="BM31" s="141"/>
      <c r="BN31" s="141"/>
      <c r="BO31" s="141">
        <v>0</v>
      </c>
      <c r="BP31" s="141">
        <v>0</v>
      </c>
      <c r="BQ31" s="141">
        <v>0</v>
      </c>
      <c r="BR31" s="141">
        <v>137826.8564453125</v>
      </c>
      <c r="BS31" s="142">
        <v>0</v>
      </c>
    </row>
    <row r="32" spans="1:71" ht="15.75">
      <c r="A32" s="124"/>
      <c r="B32" s="131"/>
      <c r="C32" s="131"/>
      <c r="D32" s="131"/>
      <c r="E32" s="131"/>
      <c r="F32" s="131"/>
      <c r="G32" s="131"/>
      <c r="H32" s="131"/>
      <c r="I32" s="131"/>
      <c r="J32" s="131"/>
      <c r="K32" s="131"/>
      <c r="L32" s="131"/>
      <c r="M32" s="25"/>
      <c r="N32" s="127" t="s">
        <v>243</v>
      </c>
      <c r="O32" s="128">
        <v>352.8900146484375</v>
      </c>
      <c r="P32" s="128"/>
      <c r="Q32" s="128">
        <v>352.8900146484375</v>
      </c>
      <c r="R32" s="128"/>
      <c r="S32" s="128"/>
      <c r="T32" s="128"/>
      <c r="U32" s="128"/>
      <c r="V32" s="128"/>
      <c r="W32" s="128"/>
      <c r="X32" s="128"/>
      <c r="Y32" s="128"/>
      <c r="Z32" s="128"/>
      <c r="AA32" s="128"/>
      <c r="AB32" s="128"/>
      <c r="AC32" s="128"/>
      <c r="AD32" s="128"/>
      <c r="AE32" s="128">
        <v>0</v>
      </c>
      <c r="AF32" s="128"/>
      <c r="AG32" s="128"/>
      <c r="AH32" s="128"/>
      <c r="AI32" s="128"/>
      <c r="AJ32" s="128"/>
      <c r="AK32" s="128">
        <v>0</v>
      </c>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v>11682.7197265625</v>
      </c>
      <c r="BS32" s="130"/>
    </row>
    <row r="33" spans="1:71" ht="15.75">
      <c r="A33" s="143" t="s">
        <v>44</v>
      </c>
      <c r="B33" s="125">
        <v>309637.63</v>
      </c>
      <c r="C33" s="125" t="s">
        <v>105</v>
      </c>
      <c r="D33" s="125">
        <v>90699.74</v>
      </c>
      <c r="E33" s="125">
        <v>154373.18</v>
      </c>
      <c r="F33" s="125" t="s">
        <v>105</v>
      </c>
      <c r="G33" s="125" t="s">
        <v>105</v>
      </c>
      <c r="H33" s="125" t="s">
        <v>105</v>
      </c>
      <c r="I33" s="125">
        <v>396975.34</v>
      </c>
      <c r="J33" s="125">
        <v>385586.12</v>
      </c>
      <c r="K33" s="125" t="s">
        <v>105</v>
      </c>
      <c r="L33" s="125">
        <v>1337272.02</v>
      </c>
      <c r="M33" s="25"/>
      <c r="N33" s="127" t="s">
        <v>244</v>
      </c>
      <c r="O33" s="128">
        <v>0</v>
      </c>
      <c r="P33" s="128"/>
      <c r="Q33" s="128"/>
      <c r="R33" s="128"/>
      <c r="S33" s="128"/>
      <c r="T33" s="128"/>
      <c r="U33" s="128"/>
      <c r="V33" s="128"/>
      <c r="W33" s="128"/>
      <c r="X33" s="128"/>
      <c r="Y33" s="128"/>
      <c r="Z33" s="128"/>
      <c r="AA33" s="128"/>
      <c r="AB33" s="128"/>
      <c r="AC33" s="128"/>
      <c r="AD33" s="128"/>
      <c r="AE33" s="128">
        <v>0</v>
      </c>
      <c r="AF33" s="128"/>
      <c r="AG33" s="128"/>
      <c r="AH33" s="128"/>
      <c r="AI33" s="128"/>
      <c r="AJ33" s="128"/>
      <c r="AK33" s="128">
        <v>0</v>
      </c>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30"/>
    </row>
    <row r="34" spans="1:71" ht="15.75">
      <c r="A34" s="124" t="s">
        <v>129</v>
      </c>
      <c r="B34" s="125">
        <v>81157.259999999995</v>
      </c>
      <c r="C34" s="131"/>
      <c r="D34" s="125">
        <v>374.04</v>
      </c>
      <c r="E34" s="144">
        <v>62145.38</v>
      </c>
      <c r="F34" s="125"/>
      <c r="G34" s="125"/>
      <c r="H34" s="125"/>
      <c r="I34" s="131"/>
      <c r="J34" s="125">
        <v>69210.48</v>
      </c>
      <c r="K34" s="131"/>
      <c r="L34" s="125">
        <v>212887.16</v>
      </c>
      <c r="M34" s="25"/>
      <c r="N34" s="127" t="s">
        <v>245</v>
      </c>
      <c r="O34" s="128">
        <v>42388.4921875</v>
      </c>
      <c r="P34" s="128"/>
      <c r="Q34" s="128">
        <v>42388.4921875</v>
      </c>
      <c r="R34" s="128"/>
      <c r="S34" s="128"/>
      <c r="T34" s="128"/>
      <c r="U34" s="128"/>
      <c r="V34" s="128"/>
      <c r="W34" s="128"/>
      <c r="X34" s="128"/>
      <c r="Y34" s="128"/>
      <c r="Z34" s="128"/>
      <c r="AA34" s="128"/>
      <c r="AB34" s="128"/>
      <c r="AC34" s="128"/>
      <c r="AD34" s="128"/>
      <c r="AE34" s="128">
        <v>0</v>
      </c>
      <c r="AF34" s="128"/>
      <c r="AG34" s="128"/>
      <c r="AH34" s="128"/>
      <c r="AI34" s="128"/>
      <c r="AJ34" s="128"/>
      <c r="AK34" s="128">
        <v>0</v>
      </c>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30"/>
    </row>
    <row r="35" spans="1:71" ht="15.75">
      <c r="A35" s="124" t="s">
        <v>130</v>
      </c>
      <c r="B35" s="125">
        <v>49487.03</v>
      </c>
      <c r="C35" s="131"/>
      <c r="D35" s="125">
        <v>184.49</v>
      </c>
      <c r="E35" s="144">
        <v>55242.42</v>
      </c>
      <c r="F35" s="125"/>
      <c r="G35" s="125"/>
      <c r="H35" s="125"/>
      <c r="I35" s="131"/>
      <c r="J35" s="125">
        <v>31818.55</v>
      </c>
      <c r="K35" s="131"/>
      <c r="L35" s="125">
        <v>136732.49</v>
      </c>
      <c r="M35" s="25"/>
      <c r="N35" s="127" t="s">
        <v>238</v>
      </c>
      <c r="O35" s="128">
        <v>0</v>
      </c>
      <c r="P35" s="128"/>
      <c r="Q35" s="128"/>
      <c r="R35" s="128"/>
      <c r="S35" s="128"/>
      <c r="T35" s="128"/>
      <c r="U35" s="128"/>
      <c r="V35" s="128"/>
      <c r="W35" s="128"/>
      <c r="X35" s="128"/>
      <c r="Y35" s="128"/>
      <c r="Z35" s="128"/>
      <c r="AA35" s="128"/>
      <c r="AB35" s="128"/>
      <c r="AC35" s="128"/>
      <c r="AD35" s="128"/>
      <c r="AE35" s="128">
        <v>0</v>
      </c>
      <c r="AF35" s="128"/>
      <c r="AG35" s="128"/>
      <c r="AH35" s="128"/>
      <c r="AI35" s="128"/>
      <c r="AJ35" s="128"/>
      <c r="AK35" s="128">
        <v>0</v>
      </c>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30"/>
    </row>
    <row r="36" spans="1:71" ht="15.75">
      <c r="A36" s="145" t="s">
        <v>131</v>
      </c>
      <c r="B36" s="146"/>
      <c r="C36" s="146"/>
      <c r="D36" s="146"/>
      <c r="E36" s="146"/>
      <c r="F36" s="147"/>
      <c r="G36" s="147"/>
      <c r="H36" s="147"/>
      <c r="I36" s="146"/>
      <c r="J36" s="146"/>
      <c r="K36" s="146"/>
      <c r="L36" s="147" t="s">
        <v>105</v>
      </c>
      <c r="M36" s="25"/>
      <c r="N36" s="127" t="s">
        <v>121</v>
      </c>
      <c r="O36" s="128">
        <v>0</v>
      </c>
      <c r="P36" s="128"/>
      <c r="Q36" s="128"/>
      <c r="R36" s="128"/>
      <c r="S36" s="128"/>
      <c r="T36" s="128"/>
      <c r="U36" s="128"/>
      <c r="V36" s="128"/>
      <c r="W36" s="128"/>
      <c r="X36" s="128"/>
      <c r="Y36" s="128"/>
      <c r="Z36" s="128"/>
      <c r="AA36" s="128"/>
      <c r="AB36" s="128"/>
      <c r="AC36" s="128"/>
      <c r="AD36" s="128"/>
      <c r="AE36" s="128">
        <v>0</v>
      </c>
      <c r="AF36" s="128"/>
      <c r="AG36" s="128"/>
      <c r="AH36" s="128"/>
      <c r="AI36" s="128"/>
      <c r="AJ36" s="128"/>
      <c r="AK36" s="128">
        <v>0</v>
      </c>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30"/>
    </row>
    <row r="37" spans="1:71" ht="15.75">
      <c r="A37" s="124" t="s">
        <v>132</v>
      </c>
      <c r="B37" s="125">
        <v>3481.19</v>
      </c>
      <c r="C37" s="131"/>
      <c r="D37" s="125">
        <v>19.91</v>
      </c>
      <c r="E37" s="125">
        <v>2254.11</v>
      </c>
      <c r="F37" s="125"/>
      <c r="G37" s="125"/>
      <c r="H37" s="125"/>
      <c r="I37" s="131"/>
      <c r="J37" s="125">
        <v>54079.13</v>
      </c>
      <c r="K37" s="131"/>
      <c r="L37" s="125">
        <v>59834.33</v>
      </c>
      <c r="M37" s="25"/>
      <c r="N37" s="127" t="s">
        <v>246</v>
      </c>
      <c r="O37" s="128">
        <v>0</v>
      </c>
      <c r="P37" s="128"/>
      <c r="Q37" s="128"/>
      <c r="R37" s="128"/>
      <c r="S37" s="128"/>
      <c r="T37" s="128"/>
      <c r="U37" s="128"/>
      <c r="V37" s="128"/>
      <c r="W37" s="128"/>
      <c r="X37" s="128"/>
      <c r="Y37" s="128"/>
      <c r="Z37" s="128"/>
      <c r="AA37" s="128"/>
      <c r="AB37" s="128"/>
      <c r="AC37" s="128"/>
      <c r="AD37" s="128"/>
      <c r="AE37" s="128">
        <v>0</v>
      </c>
      <c r="AF37" s="128"/>
      <c r="AG37" s="128"/>
      <c r="AH37" s="128"/>
      <c r="AI37" s="128"/>
      <c r="AJ37" s="128"/>
      <c r="AK37" s="128">
        <v>0</v>
      </c>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30"/>
    </row>
    <row r="38" spans="1:71" ht="15.75">
      <c r="A38" s="124" t="s">
        <v>133</v>
      </c>
      <c r="B38" s="125">
        <v>43902.3</v>
      </c>
      <c r="C38" s="131"/>
      <c r="D38" s="125">
        <v>310.75</v>
      </c>
      <c r="E38" s="125">
        <v>15498.37</v>
      </c>
      <c r="F38" s="125"/>
      <c r="G38" s="125"/>
      <c r="H38" s="125"/>
      <c r="I38" s="131"/>
      <c r="J38" s="125">
        <v>8843.35</v>
      </c>
      <c r="K38" s="131"/>
      <c r="L38" s="125">
        <v>68554.759999999995</v>
      </c>
      <c r="M38" s="25"/>
      <c r="N38" s="127" t="s">
        <v>122</v>
      </c>
      <c r="O38" s="128">
        <v>0</v>
      </c>
      <c r="P38" s="128"/>
      <c r="Q38" s="128"/>
      <c r="R38" s="128"/>
      <c r="S38" s="128"/>
      <c r="T38" s="128"/>
      <c r="U38" s="128"/>
      <c r="V38" s="128"/>
      <c r="W38" s="128"/>
      <c r="X38" s="128"/>
      <c r="Y38" s="128"/>
      <c r="Z38" s="128"/>
      <c r="AA38" s="128"/>
      <c r="AB38" s="128"/>
      <c r="AC38" s="128"/>
      <c r="AD38" s="128"/>
      <c r="AE38" s="128">
        <v>0</v>
      </c>
      <c r="AF38" s="128"/>
      <c r="AG38" s="128"/>
      <c r="AH38" s="128"/>
      <c r="AI38" s="128"/>
      <c r="AJ38" s="128"/>
      <c r="AK38" s="128">
        <v>0</v>
      </c>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v>44655.40625</v>
      </c>
      <c r="BS38" s="130"/>
    </row>
    <row r="39" spans="1:71" ht="15.75">
      <c r="A39" s="124" t="s">
        <v>134</v>
      </c>
      <c r="B39" s="131"/>
      <c r="C39" s="131"/>
      <c r="D39" s="125">
        <v>84.23</v>
      </c>
      <c r="E39" s="125">
        <v>669.14</v>
      </c>
      <c r="F39" s="125"/>
      <c r="G39" s="125"/>
      <c r="H39" s="125"/>
      <c r="I39" s="131"/>
      <c r="J39" s="125">
        <v>194.11</v>
      </c>
      <c r="K39" s="131"/>
      <c r="L39" s="125">
        <v>947.48</v>
      </c>
      <c r="M39" s="25"/>
      <c r="N39" s="127" t="s">
        <v>247</v>
      </c>
      <c r="O39" s="128">
        <v>0</v>
      </c>
      <c r="P39" s="128"/>
      <c r="Q39" s="128"/>
      <c r="R39" s="128"/>
      <c r="S39" s="128"/>
      <c r="T39" s="128"/>
      <c r="U39" s="128"/>
      <c r="V39" s="128"/>
      <c r="W39" s="128"/>
      <c r="X39" s="128"/>
      <c r="Y39" s="128"/>
      <c r="Z39" s="128"/>
      <c r="AA39" s="128">
        <v>1183.47900390625</v>
      </c>
      <c r="AB39" s="128"/>
      <c r="AC39" s="128"/>
      <c r="AD39" s="128"/>
      <c r="AE39" s="128">
        <v>0</v>
      </c>
      <c r="AF39" s="128"/>
      <c r="AG39" s="128"/>
      <c r="AH39" s="128"/>
      <c r="AI39" s="128"/>
      <c r="AJ39" s="128">
        <v>11436.4375</v>
      </c>
      <c r="AK39" s="128">
        <v>0</v>
      </c>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v>66722.3984375</v>
      </c>
      <c r="BS39" s="130"/>
    </row>
    <row r="40" spans="1:71" ht="15.75">
      <c r="A40" s="124" t="s">
        <v>135</v>
      </c>
      <c r="B40" s="131"/>
      <c r="C40" s="131"/>
      <c r="D40" s="125">
        <v>1024.95</v>
      </c>
      <c r="E40" s="125">
        <v>1412.81</v>
      </c>
      <c r="F40" s="125"/>
      <c r="G40" s="125"/>
      <c r="H40" s="125"/>
      <c r="I40" s="131"/>
      <c r="J40" s="125">
        <v>211.64</v>
      </c>
      <c r="K40" s="131"/>
      <c r="L40" s="125">
        <v>2649.4</v>
      </c>
      <c r="M40" s="25"/>
      <c r="N40" s="127" t="s">
        <v>248</v>
      </c>
      <c r="O40" s="128">
        <v>0</v>
      </c>
      <c r="P40" s="128"/>
      <c r="Q40" s="128"/>
      <c r="R40" s="128"/>
      <c r="S40" s="128"/>
      <c r="T40" s="128"/>
      <c r="U40" s="128"/>
      <c r="V40" s="128"/>
      <c r="W40" s="128"/>
      <c r="X40" s="128"/>
      <c r="Y40" s="128"/>
      <c r="Z40" s="128"/>
      <c r="AA40" s="128"/>
      <c r="AB40" s="128"/>
      <c r="AC40" s="128"/>
      <c r="AD40" s="128"/>
      <c r="AE40" s="128">
        <v>0</v>
      </c>
      <c r="AF40" s="128"/>
      <c r="AG40" s="128"/>
      <c r="AH40" s="128"/>
      <c r="AI40" s="128"/>
      <c r="AJ40" s="128"/>
      <c r="AK40" s="128">
        <v>0</v>
      </c>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v>14766.33203125</v>
      </c>
      <c r="BS40" s="130"/>
    </row>
    <row r="41" spans="1:71" ht="15.75">
      <c r="A41" s="124" t="s">
        <v>136</v>
      </c>
      <c r="B41" s="125">
        <v>1409.08</v>
      </c>
      <c r="C41" s="131"/>
      <c r="D41" s="125">
        <v>52976.99</v>
      </c>
      <c r="E41" s="125">
        <v>1001.46</v>
      </c>
      <c r="F41" s="125"/>
      <c r="G41" s="125"/>
      <c r="H41" s="125"/>
      <c r="I41" s="131"/>
      <c r="J41" s="125">
        <v>110071.95</v>
      </c>
      <c r="K41" s="131"/>
      <c r="L41" s="125">
        <v>165459.48000000001</v>
      </c>
      <c r="M41" s="25"/>
      <c r="N41" s="127" t="s">
        <v>249</v>
      </c>
      <c r="O41" s="128">
        <v>0</v>
      </c>
      <c r="P41" s="128"/>
      <c r="Q41" s="128"/>
      <c r="R41" s="128"/>
      <c r="S41" s="128"/>
      <c r="T41" s="128"/>
      <c r="U41" s="128"/>
      <c r="V41" s="128"/>
      <c r="W41" s="128"/>
      <c r="X41" s="128"/>
      <c r="Y41" s="128"/>
      <c r="Z41" s="128"/>
      <c r="AA41" s="128"/>
      <c r="AB41" s="128"/>
      <c r="AC41" s="128"/>
      <c r="AD41" s="128"/>
      <c r="AE41" s="128">
        <v>0</v>
      </c>
      <c r="AF41" s="128"/>
      <c r="AG41" s="128"/>
      <c r="AH41" s="128"/>
      <c r="AI41" s="128"/>
      <c r="AJ41" s="128"/>
      <c r="AK41" s="128">
        <v>0</v>
      </c>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30"/>
    </row>
    <row r="42" spans="1:71" ht="15.75">
      <c r="A42" s="124" t="s">
        <v>137</v>
      </c>
      <c r="B42" s="131"/>
      <c r="C42" s="131"/>
      <c r="D42" s="125">
        <v>621.17999999999995</v>
      </c>
      <c r="E42" s="125">
        <v>7365.83</v>
      </c>
      <c r="F42" s="125"/>
      <c r="G42" s="125"/>
      <c r="H42" s="125"/>
      <c r="I42" s="131"/>
      <c r="J42" s="125">
        <v>2663.48</v>
      </c>
      <c r="K42" s="131"/>
      <c r="L42" s="125">
        <v>10650.49</v>
      </c>
      <c r="M42" s="25"/>
      <c r="N42" s="127" t="s">
        <v>250</v>
      </c>
      <c r="O42" s="128">
        <v>0</v>
      </c>
      <c r="P42" s="128"/>
      <c r="Q42" s="128"/>
      <c r="R42" s="128"/>
      <c r="S42" s="128"/>
      <c r="T42" s="128"/>
      <c r="U42" s="128"/>
      <c r="V42" s="128"/>
      <c r="W42" s="128"/>
      <c r="X42" s="128"/>
      <c r="Y42" s="128"/>
      <c r="Z42" s="128"/>
      <c r="AA42" s="128"/>
      <c r="AB42" s="128"/>
      <c r="AC42" s="128"/>
      <c r="AD42" s="128"/>
      <c r="AE42" s="128">
        <v>0</v>
      </c>
      <c r="AF42" s="128"/>
      <c r="AG42" s="128"/>
      <c r="AH42" s="128"/>
      <c r="AI42" s="128"/>
      <c r="AJ42" s="128"/>
      <c r="AK42" s="128">
        <v>0</v>
      </c>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30"/>
    </row>
    <row r="43" spans="1:71" ht="15.75">
      <c r="A43" s="124" t="s">
        <v>138</v>
      </c>
      <c r="B43" s="131"/>
      <c r="C43" s="131"/>
      <c r="D43" s="125">
        <v>123.03</v>
      </c>
      <c r="E43" s="125">
        <v>4165.33</v>
      </c>
      <c r="F43" s="125"/>
      <c r="G43" s="125"/>
      <c r="H43" s="125"/>
      <c r="I43" s="131"/>
      <c r="J43" s="125">
        <v>4144.8500000000004</v>
      </c>
      <c r="K43" s="131"/>
      <c r="L43" s="125">
        <v>8433.2099999999991</v>
      </c>
      <c r="M43" s="25"/>
      <c r="N43" s="127" t="s">
        <v>235</v>
      </c>
      <c r="O43" s="128"/>
      <c r="P43" s="128"/>
      <c r="Q43" s="128"/>
      <c r="R43" s="128"/>
      <c r="S43" s="128"/>
      <c r="T43" s="128"/>
      <c r="U43" s="128"/>
      <c r="V43" s="128"/>
      <c r="W43" s="128"/>
      <c r="X43" s="128"/>
      <c r="Y43" s="128"/>
      <c r="Z43" s="128"/>
      <c r="AA43" s="128"/>
      <c r="AB43" s="128"/>
      <c r="AC43" s="128"/>
      <c r="AD43" s="128"/>
      <c r="AE43" s="128">
        <v>0</v>
      </c>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30"/>
    </row>
    <row r="44" spans="1:71" ht="15.75">
      <c r="A44" s="124" t="s">
        <v>139</v>
      </c>
      <c r="B44" s="131"/>
      <c r="C44" s="131"/>
      <c r="D44" s="125">
        <v>45.16</v>
      </c>
      <c r="E44" s="131"/>
      <c r="F44" s="125"/>
      <c r="G44" s="125"/>
      <c r="H44" s="125"/>
      <c r="I44" s="131"/>
      <c r="J44" s="125">
        <v>1197.02</v>
      </c>
      <c r="K44" s="131"/>
      <c r="L44" s="125">
        <v>1242.18</v>
      </c>
      <c r="M44" s="25"/>
      <c r="N44" s="127" t="s">
        <v>127</v>
      </c>
      <c r="O44" s="128">
        <v>0</v>
      </c>
      <c r="P44" s="128"/>
      <c r="Q44" s="128"/>
      <c r="R44" s="128"/>
      <c r="S44" s="128"/>
      <c r="T44" s="128"/>
      <c r="U44" s="128"/>
      <c r="V44" s="128"/>
      <c r="W44" s="128"/>
      <c r="X44" s="128"/>
      <c r="Y44" s="128"/>
      <c r="Z44" s="128"/>
      <c r="AA44" s="128"/>
      <c r="AB44" s="128"/>
      <c r="AC44" s="128"/>
      <c r="AD44" s="128"/>
      <c r="AE44" s="128">
        <v>0</v>
      </c>
      <c r="AF44" s="128"/>
      <c r="AG44" s="128"/>
      <c r="AH44" s="128"/>
      <c r="AI44" s="128"/>
      <c r="AJ44" s="128"/>
      <c r="AK44" s="128">
        <v>0</v>
      </c>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v>75909.609375</v>
      </c>
      <c r="BS44" s="130"/>
    </row>
    <row r="45" spans="1:71" ht="15.75">
      <c r="A45" s="124" t="s">
        <v>140</v>
      </c>
      <c r="B45" s="131"/>
      <c r="C45" s="131"/>
      <c r="D45" s="125">
        <v>18768.2</v>
      </c>
      <c r="E45" s="131"/>
      <c r="F45" s="125"/>
      <c r="G45" s="125"/>
      <c r="H45" s="125"/>
      <c r="I45" s="131"/>
      <c r="J45" s="125">
        <v>656.53</v>
      </c>
      <c r="K45" s="131"/>
      <c r="L45" s="125">
        <v>19424.73</v>
      </c>
      <c r="M45" s="25"/>
      <c r="N45" s="127" t="s">
        <v>235</v>
      </c>
      <c r="O45" s="128"/>
      <c r="P45" s="128"/>
      <c r="Q45" s="128"/>
      <c r="R45" s="128"/>
      <c r="S45" s="128"/>
      <c r="T45" s="128"/>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30"/>
    </row>
    <row r="46" spans="1:71" ht="15.75">
      <c r="A46" s="124" t="s">
        <v>141</v>
      </c>
      <c r="B46" s="131"/>
      <c r="C46" s="131"/>
      <c r="D46" s="125">
        <v>131.16</v>
      </c>
      <c r="E46" s="125">
        <v>14.42</v>
      </c>
      <c r="F46" s="125"/>
      <c r="G46" s="125"/>
      <c r="H46" s="125"/>
      <c r="I46" s="131"/>
      <c r="J46" s="125">
        <v>593.01</v>
      </c>
      <c r="K46" s="131"/>
      <c r="L46" s="125">
        <v>738.59</v>
      </c>
      <c r="M46" s="25"/>
      <c r="N46" s="134" t="s">
        <v>251</v>
      </c>
      <c r="O46" s="135">
        <v>483790.11539459229</v>
      </c>
      <c r="P46" s="135">
        <v>0</v>
      </c>
      <c r="Q46" s="135"/>
      <c r="R46" s="135">
        <v>0</v>
      </c>
      <c r="S46" s="135">
        <v>482179.26837921143</v>
      </c>
      <c r="T46" s="135">
        <v>0</v>
      </c>
      <c r="U46" s="135">
        <v>0</v>
      </c>
      <c r="V46" s="135">
        <v>0</v>
      </c>
      <c r="W46" s="135">
        <v>0</v>
      </c>
      <c r="X46" s="135">
        <v>5428.35791015625</v>
      </c>
      <c r="Y46" s="135">
        <v>0</v>
      </c>
      <c r="Z46" s="135">
        <v>0</v>
      </c>
      <c r="AA46" s="135">
        <v>23914.453944206238</v>
      </c>
      <c r="AB46" s="135">
        <v>23257.001953125</v>
      </c>
      <c r="AC46" s="135">
        <v>22961</v>
      </c>
      <c r="AD46" s="135">
        <v>0</v>
      </c>
      <c r="AE46" s="135">
        <v>425901.1015625</v>
      </c>
      <c r="AF46" s="135">
        <v>425901.1015625</v>
      </c>
      <c r="AG46" s="135">
        <v>0</v>
      </c>
      <c r="AH46" s="135">
        <v>0</v>
      </c>
      <c r="AI46" s="135">
        <v>0</v>
      </c>
      <c r="AJ46" s="135">
        <v>85693.523286819458</v>
      </c>
      <c r="AK46" s="135">
        <v>0</v>
      </c>
      <c r="AL46" s="135">
        <v>0</v>
      </c>
      <c r="AM46" s="135">
        <v>0</v>
      </c>
      <c r="AN46" s="135">
        <v>0</v>
      </c>
      <c r="AO46" s="135">
        <v>0</v>
      </c>
      <c r="AP46" s="135">
        <v>0</v>
      </c>
      <c r="AQ46" s="135">
        <v>0</v>
      </c>
      <c r="AR46" s="135">
        <v>0</v>
      </c>
      <c r="AS46" s="135">
        <v>15120.919884443283</v>
      </c>
      <c r="AT46" s="135">
        <v>403972.73872573674</v>
      </c>
      <c r="AU46" s="135">
        <v>14499.7841796875</v>
      </c>
      <c r="AV46" s="135">
        <v>46116.1591796875</v>
      </c>
      <c r="AW46" s="135">
        <v>54495.95703125</v>
      </c>
      <c r="AX46" s="135">
        <v>25430.203951716423</v>
      </c>
      <c r="AY46" s="135">
        <v>505147.26420497894</v>
      </c>
      <c r="AZ46" s="135">
        <v>19889.041351318359</v>
      </c>
      <c r="BA46" s="135">
        <v>10366.7470703125</v>
      </c>
      <c r="BB46" s="135">
        <v>3838.9571838378906</v>
      </c>
      <c r="BC46" s="135">
        <v>5358.659912109375</v>
      </c>
      <c r="BD46" s="135">
        <v>14421.748657226563</v>
      </c>
      <c r="BE46" s="135">
        <v>399.58800029754639</v>
      </c>
      <c r="BF46" s="135">
        <v>0</v>
      </c>
      <c r="BG46" s="135">
        <v>0</v>
      </c>
      <c r="BH46" s="135">
        <v>0</v>
      </c>
      <c r="BI46" s="135"/>
      <c r="BJ46" s="135"/>
      <c r="BK46" s="135"/>
      <c r="BL46" s="135"/>
      <c r="BM46" s="135"/>
      <c r="BN46" s="135"/>
      <c r="BO46" s="135">
        <v>0</v>
      </c>
      <c r="BP46" s="135">
        <v>0</v>
      </c>
      <c r="BQ46" s="135">
        <v>0</v>
      </c>
      <c r="BR46" s="135">
        <v>729630.2635345459</v>
      </c>
      <c r="BS46" s="136">
        <v>0</v>
      </c>
    </row>
    <row r="47" spans="1:71" ht="15.75">
      <c r="A47" s="124" t="s">
        <v>142</v>
      </c>
      <c r="B47" s="125">
        <v>130200.78</v>
      </c>
      <c r="C47" s="131"/>
      <c r="D47" s="125">
        <v>16035.65</v>
      </c>
      <c r="E47" s="125">
        <v>4603.8999999999996</v>
      </c>
      <c r="F47" s="125"/>
      <c r="G47" s="125"/>
      <c r="H47" s="125"/>
      <c r="I47" s="125">
        <v>396975.34</v>
      </c>
      <c r="J47" s="125">
        <v>101902.03</v>
      </c>
      <c r="K47" s="131"/>
      <c r="L47" s="125">
        <v>649717.71</v>
      </c>
      <c r="M47" s="25"/>
      <c r="N47" s="127" t="s">
        <v>235</v>
      </c>
      <c r="O47" s="128"/>
      <c r="P47" s="128"/>
      <c r="Q47" s="128"/>
      <c r="R47" s="128"/>
      <c r="S47" s="128"/>
      <c r="T47" s="128"/>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30"/>
    </row>
    <row r="48" spans="1:71" ht="15.75">
      <c r="A48" s="124"/>
      <c r="B48" s="131"/>
      <c r="C48" s="131"/>
      <c r="D48" s="131"/>
      <c r="E48" s="131"/>
      <c r="F48" s="131"/>
      <c r="G48" s="131"/>
      <c r="H48" s="131"/>
      <c r="I48" s="131"/>
      <c r="J48" s="131"/>
      <c r="K48" s="131"/>
      <c r="L48" s="131"/>
      <c r="M48" s="25"/>
      <c r="N48" s="148" t="s">
        <v>44</v>
      </c>
      <c r="O48" s="128">
        <v>304209.27502441406</v>
      </c>
      <c r="P48" s="128">
        <v>0</v>
      </c>
      <c r="Q48" s="128"/>
      <c r="R48" s="128">
        <v>0</v>
      </c>
      <c r="S48" s="128">
        <v>304209.27502441406</v>
      </c>
      <c r="T48" s="128">
        <v>0</v>
      </c>
      <c r="U48" s="128">
        <v>0</v>
      </c>
      <c r="V48" s="128">
        <v>0</v>
      </c>
      <c r="W48" s="128">
        <v>0</v>
      </c>
      <c r="X48" s="128">
        <v>5428.35791015625</v>
      </c>
      <c r="Y48" s="128">
        <v>0</v>
      </c>
      <c r="Z48" s="128">
        <v>0</v>
      </c>
      <c r="AA48" s="128">
        <v>23914.453944206238</v>
      </c>
      <c r="AB48" s="128">
        <v>23257.001953125</v>
      </c>
      <c r="AC48" s="128">
        <v>22961</v>
      </c>
      <c r="AD48" s="128">
        <v>0</v>
      </c>
      <c r="AE48" s="128">
        <v>396975.34375</v>
      </c>
      <c r="AF48" s="128">
        <v>396975.34375</v>
      </c>
      <c r="AG48" s="128">
        <v>0</v>
      </c>
      <c r="AH48" s="128">
        <v>0</v>
      </c>
      <c r="AI48" s="128">
        <v>0</v>
      </c>
      <c r="AJ48" s="128">
        <v>84240.725633621216</v>
      </c>
      <c r="AK48" s="128">
        <v>0</v>
      </c>
      <c r="AL48" s="128">
        <v>0</v>
      </c>
      <c r="AM48" s="128">
        <v>0</v>
      </c>
      <c r="AN48" s="128">
        <v>0</v>
      </c>
      <c r="AO48" s="128">
        <v>0</v>
      </c>
      <c r="AP48" s="128">
        <v>0</v>
      </c>
      <c r="AQ48" s="128">
        <v>0</v>
      </c>
      <c r="AR48" s="128">
        <v>0</v>
      </c>
      <c r="AS48" s="128">
        <v>789.28086853027344</v>
      </c>
      <c r="AT48" s="128">
        <v>3449.2918453961611</v>
      </c>
      <c r="AU48" s="128">
        <v>0</v>
      </c>
      <c r="AV48" s="128">
        <v>0</v>
      </c>
      <c r="AW48" s="128">
        <v>0</v>
      </c>
      <c r="AX48" s="128">
        <v>1654.1783170849085</v>
      </c>
      <c r="AY48" s="128">
        <v>58820.296411514282</v>
      </c>
      <c r="AZ48" s="128">
        <v>15619.942070007324</v>
      </c>
      <c r="BA48" s="128">
        <v>10366.7470703125</v>
      </c>
      <c r="BB48" s="128">
        <v>0</v>
      </c>
      <c r="BC48" s="128">
        <v>0</v>
      </c>
      <c r="BD48" s="128">
        <v>0</v>
      </c>
      <c r="BE48" s="128">
        <v>0</v>
      </c>
      <c r="BF48" s="128">
        <v>0</v>
      </c>
      <c r="BG48" s="128">
        <v>0</v>
      </c>
      <c r="BH48" s="128">
        <v>0</v>
      </c>
      <c r="BI48" s="128">
        <v>0</v>
      </c>
      <c r="BJ48" s="128">
        <v>0</v>
      </c>
      <c r="BK48" s="128">
        <v>0</v>
      </c>
      <c r="BL48" s="128">
        <v>0</v>
      </c>
      <c r="BM48" s="128">
        <v>0</v>
      </c>
      <c r="BN48" s="128">
        <v>0</v>
      </c>
      <c r="BO48" s="128">
        <v>0</v>
      </c>
      <c r="BP48" s="128">
        <v>0</v>
      </c>
      <c r="BQ48" s="128">
        <v>0</v>
      </c>
      <c r="BR48" s="128">
        <v>385586.12484741211</v>
      </c>
      <c r="BS48" s="130">
        <v>0</v>
      </c>
    </row>
    <row r="49" spans="1:71" ht="15.75">
      <c r="A49" s="143" t="s">
        <v>143</v>
      </c>
      <c r="B49" s="125">
        <v>42.93</v>
      </c>
      <c r="C49" s="125" t="s">
        <v>105</v>
      </c>
      <c r="D49" s="125">
        <v>761092.01</v>
      </c>
      <c r="E49" s="125" t="s">
        <v>105</v>
      </c>
      <c r="F49" s="125" t="s">
        <v>105</v>
      </c>
      <c r="G49" s="125" t="s">
        <v>105</v>
      </c>
      <c r="H49" s="125" t="s">
        <v>105</v>
      </c>
      <c r="I49" s="125" t="s">
        <v>105</v>
      </c>
      <c r="J49" s="125">
        <v>11990.94</v>
      </c>
      <c r="K49" s="125" t="s">
        <v>105</v>
      </c>
      <c r="L49" s="125">
        <v>773125.88</v>
      </c>
      <c r="M49" s="25"/>
      <c r="N49" s="127" t="s">
        <v>129</v>
      </c>
      <c r="O49" s="128">
        <v>75728.8984375</v>
      </c>
      <c r="P49" s="128"/>
      <c r="Q49" s="128"/>
      <c r="R49" s="128"/>
      <c r="S49" s="128">
        <v>75728.8984375</v>
      </c>
      <c r="T49" s="128"/>
      <c r="U49" s="128"/>
      <c r="V49" s="128"/>
      <c r="W49" s="128"/>
      <c r="X49" s="128">
        <v>5428.35791015625</v>
      </c>
      <c r="Y49" s="128"/>
      <c r="Z49" s="128"/>
      <c r="AA49" s="128">
        <v>6049.716796875</v>
      </c>
      <c r="AB49" s="128">
        <v>23257.001953125</v>
      </c>
      <c r="AC49" s="128">
        <v>22961</v>
      </c>
      <c r="AD49" s="128"/>
      <c r="AE49" s="128">
        <v>0</v>
      </c>
      <c r="AF49" s="128"/>
      <c r="AG49" s="128"/>
      <c r="AH49" s="128"/>
      <c r="AI49" s="128"/>
      <c r="AJ49" s="128">
        <v>9877.6650390625</v>
      </c>
      <c r="AK49" s="128">
        <v>0</v>
      </c>
      <c r="AL49" s="128"/>
      <c r="AM49" s="128"/>
      <c r="AN49" s="128"/>
      <c r="AO49" s="128"/>
      <c r="AP49" s="128"/>
      <c r="AQ49" s="128"/>
      <c r="AR49" s="128"/>
      <c r="AS49" s="128"/>
      <c r="AT49" s="128">
        <v>4.4083800315856934</v>
      </c>
      <c r="AU49" s="128"/>
      <c r="AV49" s="128"/>
      <c r="AW49" s="128"/>
      <c r="AX49" s="128">
        <v>8.5840001702308655E-2</v>
      </c>
      <c r="AY49" s="128">
        <v>369.54867553710938</v>
      </c>
      <c r="AZ49" s="128"/>
      <c r="BA49" s="128"/>
      <c r="BB49" s="128"/>
      <c r="BC49" s="128"/>
      <c r="BD49" s="128"/>
      <c r="BE49" s="128"/>
      <c r="BF49" s="128"/>
      <c r="BG49" s="128"/>
      <c r="BH49" s="128"/>
      <c r="BI49" s="128"/>
      <c r="BJ49" s="128"/>
      <c r="BK49" s="128"/>
      <c r="BL49" s="128"/>
      <c r="BM49" s="128"/>
      <c r="BN49" s="128"/>
      <c r="BO49" s="128"/>
      <c r="BP49" s="128"/>
      <c r="BQ49" s="128"/>
      <c r="BR49" s="128">
        <v>69210.4765625</v>
      </c>
      <c r="BS49" s="130"/>
    </row>
    <row r="50" spans="1:71" ht="15.75">
      <c r="A50" s="124" t="s">
        <v>144</v>
      </c>
      <c r="B50" s="131"/>
      <c r="C50" s="131"/>
      <c r="D50" s="125">
        <v>94989.48</v>
      </c>
      <c r="E50" s="131"/>
      <c r="F50" s="125"/>
      <c r="G50" s="125"/>
      <c r="H50" s="125"/>
      <c r="I50" s="131"/>
      <c r="J50" s="131"/>
      <c r="K50" s="131"/>
      <c r="L50" s="125">
        <v>94989.48</v>
      </c>
      <c r="M50" s="25"/>
      <c r="N50" s="127" t="s">
        <v>130</v>
      </c>
      <c r="O50" s="128">
        <v>49487.03125</v>
      </c>
      <c r="P50" s="128"/>
      <c r="Q50" s="128"/>
      <c r="R50" s="128"/>
      <c r="S50" s="128">
        <v>49487.03125</v>
      </c>
      <c r="T50" s="128"/>
      <c r="U50" s="128"/>
      <c r="V50" s="128"/>
      <c r="W50" s="128"/>
      <c r="X50" s="128"/>
      <c r="Y50" s="128"/>
      <c r="Z50" s="128"/>
      <c r="AA50" s="128">
        <v>5246.56103515625</v>
      </c>
      <c r="AB50" s="128"/>
      <c r="AC50" s="128"/>
      <c r="AD50" s="128"/>
      <c r="AE50" s="128">
        <v>0</v>
      </c>
      <c r="AF50" s="128"/>
      <c r="AG50" s="128"/>
      <c r="AH50" s="128"/>
      <c r="AI50" s="128"/>
      <c r="AJ50" s="128">
        <v>49995.85546875</v>
      </c>
      <c r="AK50" s="128">
        <v>0</v>
      </c>
      <c r="AL50" s="128"/>
      <c r="AM50" s="128"/>
      <c r="AN50" s="128"/>
      <c r="AO50" s="128"/>
      <c r="AP50" s="128"/>
      <c r="AQ50" s="128"/>
      <c r="AR50" s="128"/>
      <c r="AS50" s="128"/>
      <c r="AT50" s="128"/>
      <c r="AU50" s="128"/>
      <c r="AV50" s="128"/>
      <c r="AW50" s="128"/>
      <c r="AX50" s="128">
        <v>163.62843322753906</v>
      </c>
      <c r="AY50" s="128">
        <v>20.862417221069336</v>
      </c>
      <c r="AZ50" s="128"/>
      <c r="BA50" s="128"/>
      <c r="BB50" s="128"/>
      <c r="BC50" s="128"/>
      <c r="BD50" s="128"/>
      <c r="BE50" s="128"/>
      <c r="BF50" s="128"/>
      <c r="BG50" s="128"/>
      <c r="BH50" s="128"/>
      <c r="BI50" s="128"/>
      <c r="BJ50" s="128"/>
      <c r="BK50" s="128"/>
      <c r="BL50" s="128"/>
      <c r="BM50" s="128"/>
      <c r="BN50" s="128"/>
      <c r="BO50" s="128"/>
      <c r="BP50" s="128"/>
      <c r="BQ50" s="128"/>
      <c r="BR50" s="128">
        <v>31818.552734375</v>
      </c>
      <c r="BS50" s="130"/>
    </row>
    <row r="51" spans="1:71" ht="15.75">
      <c r="A51" s="124" t="s">
        <v>145</v>
      </c>
      <c r="B51" s="131"/>
      <c r="C51" s="131"/>
      <c r="D51" s="125">
        <v>21385.99</v>
      </c>
      <c r="E51" s="131"/>
      <c r="F51" s="125"/>
      <c r="G51" s="125"/>
      <c r="H51" s="125"/>
      <c r="I51" s="131"/>
      <c r="J51" s="125">
        <v>264.10000000000002</v>
      </c>
      <c r="K51" s="131"/>
      <c r="L51" s="125">
        <v>21650.080000000002</v>
      </c>
      <c r="M51" s="25"/>
      <c r="N51" s="127" t="s">
        <v>132</v>
      </c>
      <c r="O51" s="128">
        <v>3481.191162109375</v>
      </c>
      <c r="P51" s="128"/>
      <c r="Q51" s="128"/>
      <c r="R51" s="128"/>
      <c r="S51" s="128">
        <v>3481.191162109375</v>
      </c>
      <c r="T51" s="128"/>
      <c r="U51" s="128"/>
      <c r="V51" s="128"/>
      <c r="W51" s="128"/>
      <c r="X51" s="128"/>
      <c r="Y51" s="128"/>
      <c r="Z51" s="128"/>
      <c r="AA51" s="128">
        <v>1747.2359619140625</v>
      </c>
      <c r="AB51" s="128"/>
      <c r="AC51" s="128"/>
      <c r="AD51" s="128"/>
      <c r="AE51" s="128">
        <v>0</v>
      </c>
      <c r="AF51" s="128"/>
      <c r="AG51" s="128"/>
      <c r="AH51" s="128"/>
      <c r="AI51" s="128"/>
      <c r="AJ51" s="128">
        <v>506.87100219726563</v>
      </c>
      <c r="AK51" s="128">
        <v>0</v>
      </c>
      <c r="AL51" s="128"/>
      <c r="AM51" s="128"/>
      <c r="AN51" s="128"/>
      <c r="AO51" s="128"/>
      <c r="AP51" s="128"/>
      <c r="AQ51" s="128"/>
      <c r="AR51" s="128"/>
      <c r="AS51" s="128"/>
      <c r="AT51" s="128"/>
      <c r="AU51" s="128"/>
      <c r="AV51" s="128"/>
      <c r="AW51" s="128"/>
      <c r="AX51" s="128">
        <v>19.908590316772461</v>
      </c>
      <c r="AY51" s="128"/>
      <c r="AZ51" s="128"/>
      <c r="BA51" s="128"/>
      <c r="BB51" s="128"/>
      <c r="BC51" s="128"/>
      <c r="BD51" s="128"/>
      <c r="BE51" s="128"/>
      <c r="BF51" s="128"/>
      <c r="BG51" s="128"/>
      <c r="BH51" s="128"/>
      <c r="BI51" s="128"/>
      <c r="BJ51" s="128"/>
      <c r="BK51" s="128"/>
      <c r="BL51" s="128"/>
      <c r="BM51" s="128"/>
      <c r="BN51" s="128"/>
      <c r="BO51" s="128"/>
      <c r="BP51" s="128"/>
      <c r="BQ51" s="128"/>
      <c r="BR51" s="128">
        <v>54079.125</v>
      </c>
      <c r="BS51" s="130"/>
    </row>
    <row r="52" spans="1:71" ht="15.75">
      <c r="A52" s="124" t="s">
        <v>146</v>
      </c>
      <c r="B52" s="131"/>
      <c r="C52" s="131"/>
      <c r="D52" s="125">
        <v>624185.9</v>
      </c>
      <c r="E52" s="131"/>
      <c r="F52" s="125"/>
      <c r="G52" s="125"/>
      <c r="H52" s="125"/>
      <c r="I52" s="131"/>
      <c r="J52" s="125">
        <v>166.85</v>
      </c>
      <c r="K52" s="131"/>
      <c r="L52" s="125">
        <v>624352.75</v>
      </c>
      <c r="M52" s="25"/>
      <c r="N52" s="127" t="s">
        <v>133</v>
      </c>
      <c r="O52" s="128">
        <v>43902.296875</v>
      </c>
      <c r="P52" s="128"/>
      <c r="Q52" s="128"/>
      <c r="R52" s="128"/>
      <c r="S52" s="128">
        <v>43902.296875</v>
      </c>
      <c r="T52" s="128"/>
      <c r="U52" s="128"/>
      <c r="V52" s="128"/>
      <c r="W52" s="128"/>
      <c r="X52" s="128"/>
      <c r="Y52" s="128"/>
      <c r="Z52" s="128"/>
      <c r="AA52" s="128">
        <v>375.59799194335938</v>
      </c>
      <c r="AB52" s="128"/>
      <c r="AC52" s="128"/>
      <c r="AD52" s="128"/>
      <c r="AE52" s="128">
        <v>0</v>
      </c>
      <c r="AF52" s="128"/>
      <c r="AG52" s="128"/>
      <c r="AH52" s="128"/>
      <c r="AI52" s="128"/>
      <c r="AJ52" s="128">
        <v>15122.775390625</v>
      </c>
      <c r="AK52" s="128">
        <v>0</v>
      </c>
      <c r="AL52" s="128"/>
      <c r="AM52" s="128"/>
      <c r="AN52" s="128"/>
      <c r="AO52" s="128"/>
      <c r="AP52" s="128"/>
      <c r="AQ52" s="128"/>
      <c r="AR52" s="128"/>
      <c r="AS52" s="128"/>
      <c r="AT52" s="128">
        <v>53.953578948974609</v>
      </c>
      <c r="AU52" s="128"/>
      <c r="AV52" s="128"/>
      <c r="AW52" s="128"/>
      <c r="AX52" s="128">
        <v>18.546249389648438</v>
      </c>
      <c r="AY52" s="128">
        <v>238.24845886230469</v>
      </c>
      <c r="AZ52" s="128"/>
      <c r="BA52" s="128"/>
      <c r="BB52" s="128"/>
      <c r="BC52" s="128"/>
      <c r="BD52" s="128"/>
      <c r="BE52" s="128"/>
      <c r="BF52" s="128"/>
      <c r="BG52" s="128"/>
      <c r="BH52" s="128"/>
      <c r="BI52" s="128"/>
      <c r="BJ52" s="128"/>
      <c r="BK52" s="128"/>
      <c r="BL52" s="128"/>
      <c r="BM52" s="128"/>
      <c r="BN52" s="128"/>
      <c r="BO52" s="128"/>
      <c r="BP52" s="128"/>
      <c r="BQ52" s="128"/>
      <c r="BR52" s="128">
        <v>8843.345703125</v>
      </c>
      <c r="BS52" s="130"/>
    </row>
    <row r="53" spans="1:71" ht="15.75">
      <c r="A53" s="124" t="s">
        <v>147</v>
      </c>
      <c r="B53" s="131"/>
      <c r="C53" s="131"/>
      <c r="D53" s="125">
        <v>7235.66</v>
      </c>
      <c r="E53" s="131"/>
      <c r="F53" s="125"/>
      <c r="G53" s="125"/>
      <c r="H53" s="125"/>
      <c r="I53" s="131"/>
      <c r="J53" s="125">
        <v>10700.43</v>
      </c>
      <c r="K53" s="131"/>
      <c r="L53" s="125">
        <v>17936.080000000002</v>
      </c>
      <c r="M53" s="25"/>
      <c r="N53" s="127" t="s">
        <v>134</v>
      </c>
      <c r="O53" s="128">
        <v>0</v>
      </c>
      <c r="P53" s="128"/>
      <c r="Q53" s="128"/>
      <c r="R53" s="128"/>
      <c r="S53" s="128"/>
      <c r="T53" s="128"/>
      <c r="U53" s="128"/>
      <c r="V53" s="128"/>
      <c r="W53" s="128"/>
      <c r="X53" s="128"/>
      <c r="Y53" s="128"/>
      <c r="Z53" s="128"/>
      <c r="AA53" s="128">
        <v>14.824000358581543</v>
      </c>
      <c r="AB53" s="128"/>
      <c r="AC53" s="128"/>
      <c r="AD53" s="128"/>
      <c r="AE53" s="128">
        <v>0</v>
      </c>
      <c r="AF53" s="128"/>
      <c r="AG53" s="128"/>
      <c r="AH53" s="128"/>
      <c r="AI53" s="128"/>
      <c r="AJ53" s="128">
        <v>654.31597900390625</v>
      </c>
      <c r="AK53" s="128">
        <v>0</v>
      </c>
      <c r="AL53" s="128"/>
      <c r="AM53" s="128"/>
      <c r="AN53" s="128"/>
      <c r="AO53" s="128"/>
      <c r="AP53" s="128"/>
      <c r="AQ53" s="128"/>
      <c r="AR53" s="128"/>
      <c r="AS53" s="128"/>
      <c r="AT53" s="128">
        <v>40.826934814453125</v>
      </c>
      <c r="AU53" s="128"/>
      <c r="AV53" s="128"/>
      <c r="AW53" s="128"/>
      <c r="AX53" s="128"/>
      <c r="AY53" s="128">
        <v>43.399330139160156</v>
      </c>
      <c r="AZ53" s="128"/>
      <c r="BA53" s="128"/>
      <c r="BB53" s="128"/>
      <c r="BC53" s="128"/>
      <c r="BD53" s="128"/>
      <c r="BE53" s="128"/>
      <c r="BF53" s="128"/>
      <c r="BG53" s="128"/>
      <c r="BH53" s="128"/>
      <c r="BI53" s="128"/>
      <c r="BJ53" s="128"/>
      <c r="BK53" s="128"/>
      <c r="BL53" s="128"/>
      <c r="BM53" s="128"/>
      <c r="BN53" s="128"/>
      <c r="BO53" s="128"/>
      <c r="BP53" s="128"/>
      <c r="BQ53" s="128"/>
      <c r="BR53" s="128">
        <v>194.11402893066406</v>
      </c>
      <c r="BS53" s="130"/>
    </row>
    <row r="54" spans="1:71" ht="15.75">
      <c r="A54" s="124" t="s">
        <v>148</v>
      </c>
      <c r="B54" s="131"/>
      <c r="C54" s="131"/>
      <c r="D54" s="125">
        <v>1915.22</v>
      </c>
      <c r="E54" s="131"/>
      <c r="F54" s="125"/>
      <c r="G54" s="125"/>
      <c r="H54" s="125"/>
      <c r="I54" s="131"/>
      <c r="J54" s="125">
        <v>286.98</v>
      </c>
      <c r="K54" s="131"/>
      <c r="L54" s="125">
        <v>2202.1999999999998</v>
      </c>
      <c r="M54" s="25"/>
      <c r="N54" s="127" t="s">
        <v>135</v>
      </c>
      <c r="O54" s="128">
        <v>0</v>
      </c>
      <c r="P54" s="128"/>
      <c r="Q54" s="128"/>
      <c r="R54" s="128"/>
      <c r="S54" s="128"/>
      <c r="T54" s="128"/>
      <c r="U54" s="128"/>
      <c r="V54" s="128"/>
      <c r="W54" s="128"/>
      <c r="X54" s="128"/>
      <c r="Y54" s="128"/>
      <c r="Z54" s="128"/>
      <c r="AA54" s="128">
        <v>358.18099975585938</v>
      </c>
      <c r="AB54" s="128"/>
      <c r="AC54" s="128"/>
      <c r="AD54" s="128"/>
      <c r="AE54" s="128">
        <v>0</v>
      </c>
      <c r="AF54" s="128"/>
      <c r="AG54" s="128"/>
      <c r="AH54" s="128"/>
      <c r="AI54" s="128"/>
      <c r="AJ54" s="128">
        <v>1054.633056640625</v>
      </c>
      <c r="AK54" s="128">
        <v>0</v>
      </c>
      <c r="AL54" s="128"/>
      <c r="AM54" s="128"/>
      <c r="AN54" s="128"/>
      <c r="AO54" s="128"/>
      <c r="AP54" s="128"/>
      <c r="AQ54" s="128"/>
      <c r="AR54" s="128"/>
      <c r="AS54" s="128">
        <v>555.81072998046875</v>
      </c>
      <c r="AT54" s="128"/>
      <c r="AU54" s="128"/>
      <c r="AV54" s="128"/>
      <c r="AW54" s="128"/>
      <c r="AX54" s="128"/>
      <c r="AY54" s="128">
        <v>127.07264709472656</v>
      </c>
      <c r="AZ54" s="128">
        <v>342.06430053710938</v>
      </c>
      <c r="BA54" s="128"/>
      <c r="BB54" s="128"/>
      <c r="BC54" s="128"/>
      <c r="BD54" s="128"/>
      <c r="BE54" s="128"/>
      <c r="BF54" s="128"/>
      <c r="BG54" s="128"/>
      <c r="BH54" s="128"/>
      <c r="BI54" s="128"/>
      <c r="BJ54" s="128"/>
      <c r="BK54" s="128"/>
      <c r="BL54" s="128"/>
      <c r="BM54" s="128"/>
      <c r="BN54" s="128"/>
      <c r="BO54" s="128"/>
      <c r="BP54" s="128"/>
      <c r="BQ54" s="128"/>
      <c r="BR54" s="128">
        <v>211.63917541503906</v>
      </c>
      <c r="BS54" s="130"/>
    </row>
    <row r="55" spans="1:71" ht="15.75">
      <c r="A55" s="124" t="s">
        <v>149</v>
      </c>
      <c r="B55" s="131"/>
      <c r="C55" s="131"/>
      <c r="D55" s="131"/>
      <c r="E55" s="131"/>
      <c r="F55" s="125"/>
      <c r="G55" s="125"/>
      <c r="H55" s="125"/>
      <c r="I55" s="131"/>
      <c r="J55" s="131"/>
      <c r="K55" s="131"/>
      <c r="L55" s="125" t="s">
        <v>105</v>
      </c>
      <c r="M55" s="25"/>
      <c r="N55" s="127" t="s">
        <v>136</v>
      </c>
      <c r="O55" s="128">
        <v>1409.0760498046875</v>
      </c>
      <c r="P55" s="128"/>
      <c r="Q55" s="128"/>
      <c r="R55" s="128"/>
      <c r="S55" s="128">
        <v>1409.0760498046875</v>
      </c>
      <c r="T55" s="128"/>
      <c r="U55" s="128"/>
      <c r="V55" s="128"/>
      <c r="W55" s="128"/>
      <c r="X55" s="128"/>
      <c r="Y55" s="128"/>
      <c r="Z55" s="128"/>
      <c r="AA55" s="128">
        <v>1001.4639892578125</v>
      </c>
      <c r="AB55" s="128"/>
      <c r="AC55" s="128"/>
      <c r="AD55" s="128"/>
      <c r="AE55" s="128">
        <v>0</v>
      </c>
      <c r="AF55" s="128"/>
      <c r="AG55" s="128"/>
      <c r="AH55" s="128"/>
      <c r="AI55" s="128"/>
      <c r="AJ55" s="128"/>
      <c r="AK55" s="128">
        <v>0</v>
      </c>
      <c r="AL55" s="128"/>
      <c r="AM55" s="128"/>
      <c r="AN55" s="128"/>
      <c r="AO55" s="128"/>
      <c r="AP55" s="128"/>
      <c r="AQ55" s="128"/>
      <c r="AR55" s="128"/>
      <c r="AS55" s="128">
        <v>135.85734558105469</v>
      </c>
      <c r="AT55" s="128">
        <v>2472.79833984375</v>
      </c>
      <c r="AU55" s="128"/>
      <c r="AV55" s="128"/>
      <c r="AW55" s="128"/>
      <c r="AX55" s="128">
        <v>458.4200439453125</v>
      </c>
      <c r="AY55" s="128">
        <v>49546.23046875</v>
      </c>
      <c r="AZ55" s="128">
        <v>363.68484497070313</v>
      </c>
      <c r="BA55" s="128"/>
      <c r="BB55" s="128"/>
      <c r="BC55" s="128"/>
      <c r="BD55" s="128"/>
      <c r="BE55" s="128"/>
      <c r="BF55" s="128"/>
      <c r="BG55" s="128"/>
      <c r="BH55" s="128"/>
      <c r="BI55" s="128"/>
      <c r="BJ55" s="128"/>
      <c r="BK55" s="128"/>
      <c r="BL55" s="128"/>
      <c r="BM55" s="128"/>
      <c r="BN55" s="128"/>
      <c r="BO55" s="128"/>
      <c r="BP55" s="128"/>
      <c r="BQ55" s="128"/>
      <c r="BR55" s="128">
        <v>110071.9453125</v>
      </c>
      <c r="BS55" s="130"/>
    </row>
    <row r="56" spans="1:71" ht="15.75">
      <c r="A56" s="124" t="s">
        <v>150</v>
      </c>
      <c r="B56" s="125">
        <v>42.93</v>
      </c>
      <c r="C56" s="131"/>
      <c r="D56" s="125">
        <v>11379.77</v>
      </c>
      <c r="E56" s="131"/>
      <c r="F56" s="131"/>
      <c r="G56" s="131"/>
      <c r="H56" s="131"/>
      <c r="I56" s="131"/>
      <c r="J56" s="125">
        <v>572.6</v>
      </c>
      <c r="K56" s="131"/>
      <c r="L56" s="125">
        <v>11995.3</v>
      </c>
      <c r="M56" s="25"/>
      <c r="N56" s="127" t="s">
        <v>137</v>
      </c>
      <c r="O56" s="128">
        <v>0</v>
      </c>
      <c r="P56" s="128"/>
      <c r="Q56" s="128"/>
      <c r="R56" s="128"/>
      <c r="S56" s="128"/>
      <c r="T56" s="128"/>
      <c r="U56" s="128"/>
      <c r="V56" s="128"/>
      <c r="W56" s="128"/>
      <c r="X56" s="128"/>
      <c r="Y56" s="128"/>
      <c r="Z56" s="128"/>
      <c r="AA56" s="128">
        <v>3541.3291015625</v>
      </c>
      <c r="AB56" s="128"/>
      <c r="AC56" s="128"/>
      <c r="AD56" s="128"/>
      <c r="AE56" s="128">
        <v>0</v>
      </c>
      <c r="AF56" s="128"/>
      <c r="AG56" s="128"/>
      <c r="AH56" s="128"/>
      <c r="AI56" s="128"/>
      <c r="AJ56" s="128">
        <v>3824.499755859375</v>
      </c>
      <c r="AK56" s="128">
        <v>0</v>
      </c>
      <c r="AL56" s="128"/>
      <c r="AM56" s="128"/>
      <c r="AN56" s="128"/>
      <c r="AO56" s="128"/>
      <c r="AP56" s="128"/>
      <c r="AQ56" s="128"/>
      <c r="AR56" s="128"/>
      <c r="AS56" s="128"/>
      <c r="AT56" s="128">
        <v>22.038822174072266</v>
      </c>
      <c r="AU56" s="128"/>
      <c r="AV56" s="128"/>
      <c r="AW56" s="128"/>
      <c r="AX56" s="128">
        <v>130.46644592285156</v>
      </c>
      <c r="AY56" s="128">
        <v>414.03497314453125</v>
      </c>
      <c r="AZ56" s="128">
        <v>54.638980865478516</v>
      </c>
      <c r="BA56" s="128"/>
      <c r="BB56" s="128"/>
      <c r="BC56" s="128"/>
      <c r="BD56" s="128"/>
      <c r="BE56" s="128"/>
      <c r="BF56" s="128"/>
      <c r="BG56" s="128"/>
      <c r="BH56" s="128"/>
      <c r="BI56" s="128"/>
      <c r="BJ56" s="128"/>
      <c r="BK56" s="128"/>
      <c r="BL56" s="128"/>
      <c r="BM56" s="128"/>
      <c r="BN56" s="128"/>
      <c r="BO56" s="128"/>
      <c r="BP56" s="128"/>
      <c r="BQ56" s="128"/>
      <c r="BR56" s="128">
        <v>2663.481689453125</v>
      </c>
      <c r="BS56" s="130"/>
    </row>
    <row r="57" spans="1:71" ht="15.75">
      <c r="A57" s="124"/>
      <c r="B57" s="131"/>
      <c r="C57" s="131"/>
      <c r="D57" s="131"/>
      <c r="E57" s="131"/>
      <c r="F57" s="131"/>
      <c r="G57" s="131"/>
      <c r="H57" s="131"/>
      <c r="I57" s="131"/>
      <c r="J57" s="131"/>
      <c r="K57" s="131"/>
      <c r="L57" s="131"/>
      <c r="M57" s="25"/>
      <c r="N57" s="127" t="s">
        <v>138</v>
      </c>
      <c r="O57" s="128">
        <v>0</v>
      </c>
      <c r="P57" s="128"/>
      <c r="Q57" s="128"/>
      <c r="R57" s="128"/>
      <c r="S57" s="128"/>
      <c r="T57" s="128"/>
      <c r="U57" s="128"/>
      <c r="V57" s="128"/>
      <c r="W57" s="128"/>
      <c r="X57" s="128"/>
      <c r="Y57" s="128"/>
      <c r="Z57" s="128"/>
      <c r="AA57" s="128">
        <v>3541.3291015625</v>
      </c>
      <c r="AB57" s="128"/>
      <c r="AC57" s="128"/>
      <c r="AD57" s="128"/>
      <c r="AE57" s="128">
        <v>0</v>
      </c>
      <c r="AF57" s="128"/>
      <c r="AG57" s="128"/>
      <c r="AH57" s="128"/>
      <c r="AI57" s="128"/>
      <c r="AJ57" s="128">
        <v>624.001708984375</v>
      </c>
      <c r="AK57" s="128">
        <v>0</v>
      </c>
      <c r="AL57" s="128"/>
      <c r="AM57" s="128"/>
      <c r="AN57" s="128"/>
      <c r="AO57" s="128"/>
      <c r="AP57" s="128"/>
      <c r="AQ57" s="128"/>
      <c r="AR57" s="128"/>
      <c r="AS57" s="128"/>
      <c r="AT57" s="128">
        <v>0.22572000324726105</v>
      </c>
      <c r="AU57" s="128"/>
      <c r="AV57" s="128"/>
      <c r="AW57" s="128"/>
      <c r="AX57" s="128"/>
      <c r="AY57" s="128">
        <v>90.221946716308594</v>
      </c>
      <c r="AZ57" s="128">
        <v>32.583572387695313</v>
      </c>
      <c r="BA57" s="128"/>
      <c r="BB57" s="128"/>
      <c r="BC57" s="128"/>
      <c r="BD57" s="128"/>
      <c r="BE57" s="128"/>
      <c r="BF57" s="128"/>
      <c r="BG57" s="128"/>
      <c r="BH57" s="128"/>
      <c r="BI57" s="128"/>
      <c r="BJ57" s="128"/>
      <c r="BK57" s="128"/>
      <c r="BL57" s="128"/>
      <c r="BM57" s="128"/>
      <c r="BN57" s="128"/>
      <c r="BO57" s="128"/>
      <c r="BP57" s="128"/>
      <c r="BQ57" s="128"/>
      <c r="BR57" s="128">
        <v>4144.85205078125</v>
      </c>
      <c r="BS57" s="130"/>
    </row>
    <row r="58" spans="1:71" ht="15.75">
      <c r="A58" s="143" t="s">
        <v>151</v>
      </c>
      <c r="B58" s="125">
        <v>130050.88</v>
      </c>
      <c r="C58" s="125" t="s">
        <v>105</v>
      </c>
      <c r="D58" s="125">
        <v>243247.07</v>
      </c>
      <c r="E58" s="125">
        <v>1452.8</v>
      </c>
      <c r="F58" s="125" t="s">
        <v>105</v>
      </c>
      <c r="G58" s="125" t="s">
        <v>105</v>
      </c>
      <c r="H58" s="125">
        <v>3869.98</v>
      </c>
      <c r="I58" s="125">
        <v>28925.759999999998</v>
      </c>
      <c r="J58" s="125">
        <v>332053.2</v>
      </c>
      <c r="K58" s="125" t="s">
        <v>105</v>
      </c>
      <c r="L58" s="125">
        <v>739599.68</v>
      </c>
      <c r="M58" s="25"/>
      <c r="N58" s="127" t="s">
        <v>139</v>
      </c>
      <c r="O58" s="128">
        <v>0</v>
      </c>
      <c r="P58" s="128"/>
      <c r="Q58" s="128"/>
      <c r="R58" s="128"/>
      <c r="S58" s="128"/>
      <c r="T58" s="128"/>
      <c r="U58" s="128"/>
      <c r="V58" s="128"/>
      <c r="W58" s="128"/>
      <c r="X58" s="128"/>
      <c r="Y58" s="128"/>
      <c r="Z58" s="128"/>
      <c r="AA58" s="128"/>
      <c r="AB58" s="128"/>
      <c r="AC58" s="128"/>
      <c r="AD58" s="128"/>
      <c r="AE58" s="128">
        <v>0</v>
      </c>
      <c r="AF58" s="128"/>
      <c r="AG58" s="128"/>
      <c r="AH58" s="128"/>
      <c r="AI58" s="128"/>
      <c r="AJ58" s="128"/>
      <c r="AK58" s="128">
        <v>0</v>
      </c>
      <c r="AL58" s="128"/>
      <c r="AM58" s="128"/>
      <c r="AN58" s="128"/>
      <c r="AO58" s="128"/>
      <c r="AP58" s="128"/>
      <c r="AQ58" s="128"/>
      <c r="AR58" s="128"/>
      <c r="AS58" s="128"/>
      <c r="AT58" s="128"/>
      <c r="AU58" s="128"/>
      <c r="AV58" s="128"/>
      <c r="AW58" s="128"/>
      <c r="AX58" s="128">
        <v>0.14800000190734863</v>
      </c>
      <c r="AY58" s="128">
        <v>45.011722564697266</v>
      </c>
      <c r="AZ58" s="128"/>
      <c r="BA58" s="128"/>
      <c r="BB58" s="128"/>
      <c r="BC58" s="128"/>
      <c r="BD58" s="128"/>
      <c r="BE58" s="128"/>
      <c r="BF58" s="128"/>
      <c r="BG58" s="128"/>
      <c r="BH58" s="128"/>
      <c r="BI58" s="128"/>
      <c r="BJ58" s="128"/>
      <c r="BK58" s="128"/>
      <c r="BL58" s="128"/>
      <c r="BM58" s="128"/>
      <c r="BN58" s="128"/>
      <c r="BO58" s="128"/>
      <c r="BP58" s="128"/>
      <c r="BQ58" s="128"/>
      <c r="BR58" s="128">
        <v>1197.02490234375</v>
      </c>
      <c r="BS58" s="130"/>
    </row>
    <row r="59" spans="1:71" ht="15.75">
      <c r="A59" s="124" t="s">
        <v>41</v>
      </c>
      <c r="B59" s="125">
        <v>1998.24</v>
      </c>
      <c r="C59" s="131"/>
      <c r="D59" s="125">
        <v>149102.99</v>
      </c>
      <c r="E59" s="131"/>
      <c r="F59" s="125"/>
      <c r="G59" s="125"/>
      <c r="H59" s="125"/>
      <c r="I59" s="131"/>
      <c r="J59" s="125">
        <v>21484.799999999999</v>
      </c>
      <c r="K59" s="131"/>
      <c r="L59" s="125">
        <v>172586.03</v>
      </c>
      <c r="M59" s="25"/>
      <c r="N59" s="127" t="s">
        <v>140</v>
      </c>
      <c r="O59" s="128">
        <v>0</v>
      </c>
      <c r="P59" s="128"/>
      <c r="Q59" s="128"/>
      <c r="R59" s="128"/>
      <c r="S59" s="128"/>
      <c r="T59" s="128"/>
      <c r="U59" s="128"/>
      <c r="V59" s="128"/>
      <c r="W59" s="128"/>
      <c r="X59" s="128"/>
      <c r="Y59" s="128"/>
      <c r="Z59" s="128"/>
      <c r="AA59" s="128"/>
      <c r="AB59" s="128"/>
      <c r="AC59" s="128"/>
      <c r="AD59" s="128"/>
      <c r="AE59" s="128">
        <v>0</v>
      </c>
      <c r="AF59" s="128"/>
      <c r="AG59" s="128"/>
      <c r="AH59" s="128"/>
      <c r="AI59" s="128"/>
      <c r="AJ59" s="128"/>
      <c r="AK59" s="128">
        <v>0</v>
      </c>
      <c r="AL59" s="128"/>
      <c r="AM59" s="128"/>
      <c r="AN59" s="128"/>
      <c r="AO59" s="128"/>
      <c r="AP59" s="128"/>
      <c r="AQ59" s="128"/>
      <c r="AR59" s="128"/>
      <c r="AS59" s="128"/>
      <c r="AT59" s="128">
        <v>226.61502075195313</v>
      </c>
      <c r="AU59" s="128"/>
      <c r="AV59" s="128"/>
      <c r="AW59" s="128"/>
      <c r="AX59" s="128">
        <v>296.85916137695313</v>
      </c>
      <c r="AY59" s="128">
        <v>4742.298828125</v>
      </c>
      <c r="AZ59" s="128">
        <v>13502.4296875</v>
      </c>
      <c r="BA59" s="128"/>
      <c r="BB59" s="128"/>
      <c r="BC59" s="128"/>
      <c r="BD59" s="128"/>
      <c r="BE59" s="128"/>
      <c r="BF59" s="128"/>
      <c r="BG59" s="128"/>
      <c r="BH59" s="128"/>
      <c r="BI59" s="128"/>
      <c r="BJ59" s="128"/>
      <c r="BK59" s="128"/>
      <c r="BL59" s="128"/>
      <c r="BM59" s="128"/>
      <c r="BN59" s="128"/>
      <c r="BO59" s="128"/>
      <c r="BP59" s="128"/>
      <c r="BQ59" s="128"/>
      <c r="BR59" s="128">
        <v>656.530517578125</v>
      </c>
      <c r="BS59" s="130"/>
    </row>
    <row r="60" spans="1:71" ht="15.75">
      <c r="A60" s="124" t="s">
        <v>152</v>
      </c>
      <c r="B60" s="125">
        <v>16510.89</v>
      </c>
      <c r="C60" s="131"/>
      <c r="D60" s="125">
        <v>81574.44</v>
      </c>
      <c r="E60" s="125">
        <v>1232.3</v>
      </c>
      <c r="F60" s="125"/>
      <c r="G60" s="125"/>
      <c r="H60" s="125"/>
      <c r="I60" s="131"/>
      <c r="J60" s="125">
        <v>133200</v>
      </c>
      <c r="K60" s="131"/>
      <c r="L60" s="125">
        <v>232517.63</v>
      </c>
      <c r="M60" s="25"/>
      <c r="N60" s="127" t="s">
        <v>141</v>
      </c>
      <c r="O60" s="128">
        <v>0</v>
      </c>
      <c r="P60" s="128"/>
      <c r="Q60" s="128"/>
      <c r="R60" s="128"/>
      <c r="S60" s="128"/>
      <c r="T60" s="128"/>
      <c r="U60" s="128"/>
      <c r="V60" s="128"/>
      <c r="W60" s="128"/>
      <c r="X60" s="128"/>
      <c r="Y60" s="128"/>
      <c r="Z60" s="128"/>
      <c r="AA60" s="128"/>
      <c r="AB60" s="128"/>
      <c r="AC60" s="128"/>
      <c r="AD60" s="128"/>
      <c r="AE60" s="128">
        <v>0</v>
      </c>
      <c r="AF60" s="128"/>
      <c r="AG60" s="128"/>
      <c r="AH60" s="128"/>
      <c r="AI60" s="128"/>
      <c r="AJ60" s="128">
        <v>14.420000076293945</v>
      </c>
      <c r="AK60" s="128">
        <v>0</v>
      </c>
      <c r="AL60" s="128"/>
      <c r="AM60" s="128"/>
      <c r="AN60" s="128"/>
      <c r="AO60" s="128"/>
      <c r="AP60" s="128"/>
      <c r="AQ60" s="128"/>
      <c r="AR60" s="128"/>
      <c r="AS60" s="128">
        <v>97.61279296875</v>
      </c>
      <c r="AT60" s="128"/>
      <c r="AU60" s="128"/>
      <c r="AV60" s="128"/>
      <c r="AW60" s="128"/>
      <c r="AX60" s="128">
        <v>12.04054069519043</v>
      </c>
      <c r="AY60" s="128"/>
      <c r="AZ60" s="128">
        <v>21.506992340087891</v>
      </c>
      <c r="BA60" s="128"/>
      <c r="BB60" s="128"/>
      <c r="BC60" s="128"/>
      <c r="BD60" s="128"/>
      <c r="BE60" s="128"/>
      <c r="BF60" s="128"/>
      <c r="BG60" s="128"/>
      <c r="BH60" s="128"/>
      <c r="BI60" s="128"/>
      <c r="BJ60" s="128"/>
      <c r="BK60" s="128"/>
      <c r="BL60" s="128"/>
      <c r="BM60" s="128"/>
      <c r="BN60" s="128"/>
      <c r="BO60" s="128"/>
      <c r="BP60" s="128"/>
      <c r="BQ60" s="128"/>
      <c r="BR60" s="128">
        <v>593.00592041015625</v>
      </c>
      <c r="BS60" s="130"/>
    </row>
    <row r="61" spans="1:71" ht="15.75">
      <c r="A61" s="124" t="s">
        <v>56</v>
      </c>
      <c r="B61" s="125">
        <v>16587.599999999999</v>
      </c>
      <c r="C61" s="131"/>
      <c r="D61" s="125">
        <v>12369.69</v>
      </c>
      <c r="E61" s="125">
        <v>220.5</v>
      </c>
      <c r="F61" s="125"/>
      <c r="G61" s="125"/>
      <c r="H61" s="125"/>
      <c r="I61" s="125">
        <v>28925.759999999998</v>
      </c>
      <c r="J61" s="125">
        <v>174682.8</v>
      </c>
      <c r="K61" s="131"/>
      <c r="L61" s="125">
        <v>232786.34</v>
      </c>
      <c r="M61" s="25"/>
      <c r="N61" s="127" t="s">
        <v>142</v>
      </c>
      <c r="O61" s="128">
        <v>130200.78125</v>
      </c>
      <c r="P61" s="128"/>
      <c r="Q61" s="128"/>
      <c r="R61" s="128"/>
      <c r="S61" s="128">
        <v>130200.78125</v>
      </c>
      <c r="T61" s="128"/>
      <c r="U61" s="128"/>
      <c r="V61" s="128"/>
      <c r="W61" s="128"/>
      <c r="X61" s="128"/>
      <c r="Y61" s="128"/>
      <c r="Z61" s="128"/>
      <c r="AA61" s="128">
        <v>2038.2149658203125</v>
      </c>
      <c r="AB61" s="128"/>
      <c r="AC61" s="128"/>
      <c r="AD61" s="128"/>
      <c r="AE61" s="128">
        <v>396975.34375</v>
      </c>
      <c r="AF61" s="128">
        <v>396975.34375</v>
      </c>
      <c r="AG61" s="128"/>
      <c r="AH61" s="128"/>
      <c r="AI61" s="128"/>
      <c r="AJ61" s="128">
        <v>2565.688232421875</v>
      </c>
      <c r="AK61" s="128">
        <v>0</v>
      </c>
      <c r="AL61" s="128"/>
      <c r="AM61" s="128"/>
      <c r="AN61" s="128"/>
      <c r="AO61" s="128"/>
      <c r="AP61" s="128"/>
      <c r="AQ61" s="128"/>
      <c r="AR61" s="128"/>
      <c r="AS61" s="128"/>
      <c r="AT61" s="128">
        <v>628.425048828125</v>
      </c>
      <c r="AU61" s="128"/>
      <c r="AV61" s="128"/>
      <c r="AW61" s="128"/>
      <c r="AX61" s="128">
        <v>554.07501220703125</v>
      </c>
      <c r="AY61" s="128">
        <v>3183.366943359375</v>
      </c>
      <c r="AZ61" s="128">
        <v>1303.03369140625</v>
      </c>
      <c r="BA61" s="128">
        <v>10366.7470703125</v>
      </c>
      <c r="BB61" s="128"/>
      <c r="BC61" s="128"/>
      <c r="BD61" s="128"/>
      <c r="BE61" s="128"/>
      <c r="BF61" s="128"/>
      <c r="BG61" s="128"/>
      <c r="BH61" s="128"/>
      <c r="BI61" s="128"/>
      <c r="BJ61" s="128"/>
      <c r="BK61" s="128"/>
      <c r="BL61" s="128"/>
      <c r="BM61" s="128"/>
      <c r="BN61" s="128"/>
      <c r="BO61" s="128"/>
      <c r="BP61" s="128"/>
      <c r="BQ61" s="128"/>
      <c r="BR61" s="128">
        <v>101902.03125</v>
      </c>
      <c r="BS61" s="130"/>
    </row>
    <row r="62" spans="1:71" ht="15.75">
      <c r="A62" s="124" t="s">
        <v>58</v>
      </c>
      <c r="B62" s="125">
        <v>94954.14</v>
      </c>
      <c r="C62" s="131"/>
      <c r="D62" s="125">
        <v>199.95</v>
      </c>
      <c r="E62" s="131"/>
      <c r="F62" s="125"/>
      <c r="G62" s="125"/>
      <c r="H62" s="125">
        <v>3869.98</v>
      </c>
      <c r="I62" s="131"/>
      <c r="J62" s="125">
        <v>2685.6</v>
      </c>
      <c r="K62" s="131"/>
      <c r="L62" s="125">
        <v>101709.67</v>
      </c>
      <c r="M62" s="25"/>
      <c r="N62" s="127" t="s">
        <v>235</v>
      </c>
      <c r="O62" s="140"/>
      <c r="P62" s="128"/>
      <c r="Q62" s="128"/>
      <c r="R62" s="128"/>
      <c r="S62" s="128"/>
      <c r="T62" s="128"/>
      <c r="U62" s="128"/>
      <c r="V62" s="128"/>
      <c r="W62" s="128"/>
      <c r="X62" s="128"/>
      <c r="Y62" s="128"/>
      <c r="Z62" s="128"/>
      <c r="AA62" s="128"/>
      <c r="AB62" s="128"/>
      <c r="AC62" s="128"/>
      <c r="AD62" s="128"/>
      <c r="AE62" s="128">
        <v>0</v>
      </c>
      <c r="AF62" s="128"/>
      <c r="AG62" s="128"/>
      <c r="AH62" s="128"/>
      <c r="AI62" s="128"/>
      <c r="AJ62" s="128"/>
      <c r="AK62" s="128"/>
      <c r="AL62" s="128"/>
      <c r="AM62" s="128"/>
      <c r="AN62" s="128"/>
      <c r="AO62" s="128"/>
      <c r="AP62" s="128"/>
      <c r="AQ62" s="128"/>
      <c r="AR62" s="128"/>
      <c r="AS62" s="128"/>
      <c r="AT62" s="128"/>
      <c r="AU62" s="128"/>
      <c r="AV62" s="128"/>
      <c r="AW62" s="128"/>
      <c r="AX62" s="128"/>
      <c r="AY62" s="128"/>
      <c r="AZ62" s="128"/>
      <c r="BA62" s="128"/>
      <c r="BB62" s="128"/>
      <c r="BC62" s="128"/>
      <c r="BD62" s="128"/>
      <c r="BE62" s="128"/>
      <c r="BF62" s="128"/>
      <c r="BG62" s="128"/>
      <c r="BH62" s="128"/>
      <c r="BI62" s="128"/>
      <c r="BJ62" s="128"/>
      <c r="BK62" s="128"/>
      <c r="BL62" s="128"/>
      <c r="BM62" s="128"/>
      <c r="BN62" s="128"/>
      <c r="BO62" s="128"/>
      <c r="BP62" s="128"/>
      <c r="BQ62" s="128"/>
      <c r="BR62" s="128"/>
      <c r="BS62" s="130"/>
    </row>
    <row r="63" spans="1:71" ht="15.75">
      <c r="A63" s="124"/>
      <c r="B63" s="131"/>
      <c r="C63" s="131"/>
      <c r="D63" s="131"/>
      <c r="E63" s="131"/>
      <c r="F63" s="125"/>
      <c r="G63" s="125"/>
      <c r="H63" s="125"/>
      <c r="I63" s="131"/>
      <c r="J63" s="131"/>
      <c r="K63" s="131"/>
      <c r="L63" s="125" t="s">
        <v>105</v>
      </c>
      <c r="M63" s="25"/>
      <c r="N63" s="148" t="s">
        <v>143</v>
      </c>
      <c r="O63" s="128">
        <v>42.930000305175781</v>
      </c>
      <c r="P63" s="128">
        <v>0</v>
      </c>
      <c r="Q63" s="128"/>
      <c r="R63" s="128">
        <v>0</v>
      </c>
      <c r="S63" s="128">
        <v>42.930000305175781</v>
      </c>
      <c r="T63" s="128">
        <v>0</v>
      </c>
      <c r="U63" s="128">
        <v>0</v>
      </c>
      <c r="V63" s="128">
        <v>0</v>
      </c>
      <c r="W63" s="128">
        <v>0</v>
      </c>
      <c r="X63" s="128">
        <v>0</v>
      </c>
      <c r="Y63" s="128">
        <v>0</v>
      </c>
      <c r="Z63" s="128">
        <v>0</v>
      </c>
      <c r="AA63" s="128">
        <v>0</v>
      </c>
      <c r="AB63" s="128">
        <v>0</v>
      </c>
      <c r="AC63" s="128">
        <v>0</v>
      </c>
      <c r="AD63" s="128">
        <v>0</v>
      </c>
      <c r="AE63" s="128">
        <v>0</v>
      </c>
      <c r="AF63" s="128">
        <v>0</v>
      </c>
      <c r="AG63" s="128">
        <v>0</v>
      </c>
      <c r="AH63" s="128">
        <v>0</v>
      </c>
      <c r="AI63" s="128">
        <v>0</v>
      </c>
      <c r="AJ63" s="128">
        <v>0</v>
      </c>
      <c r="AK63" s="128">
        <v>0</v>
      </c>
      <c r="AL63" s="128">
        <v>0</v>
      </c>
      <c r="AM63" s="128">
        <v>0</v>
      </c>
      <c r="AN63" s="128">
        <v>0</v>
      </c>
      <c r="AO63" s="128">
        <v>0</v>
      </c>
      <c r="AP63" s="128">
        <v>0</v>
      </c>
      <c r="AQ63" s="128">
        <v>0</v>
      </c>
      <c r="AR63" s="128">
        <v>0</v>
      </c>
      <c r="AS63" s="128">
        <v>125.96045684814453</v>
      </c>
      <c r="AT63" s="128">
        <v>269378.60703659058</v>
      </c>
      <c r="AU63" s="128">
        <v>14499.7841796875</v>
      </c>
      <c r="AV63" s="128">
        <v>46116.1591796875</v>
      </c>
      <c r="AW63" s="128">
        <v>54495.95703125</v>
      </c>
      <c r="AX63" s="128">
        <v>647.54809556901455</v>
      </c>
      <c r="AY63" s="128">
        <v>374604.96746826172</v>
      </c>
      <c r="AZ63" s="128">
        <v>1223.0257949829102</v>
      </c>
      <c r="BA63" s="128">
        <v>0</v>
      </c>
      <c r="BB63" s="128">
        <v>0</v>
      </c>
      <c r="BC63" s="128">
        <v>0</v>
      </c>
      <c r="BD63" s="128">
        <v>0</v>
      </c>
      <c r="BE63" s="128">
        <v>0</v>
      </c>
      <c r="BF63" s="128">
        <v>0</v>
      </c>
      <c r="BG63" s="128">
        <v>0</v>
      </c>
      <c r="BH63" s="128">
        <v>0</v>
      </c>
      <c r="BI63" s="128"/>
      <c r="BJ63" s="128"/>
      <c r="BK63" s="128"/>
      <c r="BL63" s="128"/>
      <c r="BM63" s="128"/>
      <c r="BN63" s="128"/>
      <c r="BO63" s="128">
        <v>0</v>
      </c>
      <c r="BP63" s="128">
        <v>0</v>
      </c>
      <c r="BQ63" s="128">
        <v>0</v>
      </c>
      <c r="BR63" s="128">
        <v>11990.943130493164</v>
      </c>
      <c r="BS63" s="130">
        <v>0</v>
      </c>
    </row>
    <row r="64" spans="1:71" ht="15.75">
      <c r="A64" s="143" t="s">
        <v>153</v>
      </c>
      <c r="B64" s="125" t="s">
        <v>105</v>
      </c>
      <c r="C64" s="125" t="s">
        <v>105</v>
      </c>
      <c r="D64" s="125">
        <v>17443.650000000001</v>
      </c>
      <c r="E64" s="125" t="s">
        <v>105</v>
      </c>
      <c r="F64" s="125" t="s">
        <v>105</v>
      </c>
      <c r="G64" s="125" t="s">
        <v>105</v>
      </c>
      <c r="H64" s="125" t="s">
        <v>105</v>
      </c>
      <c r="I64" s="125" t="s">
        <v>105</v>
      </c>
      <c r="J64" s="125" t="s">
        <v>105</v>
      </c>
      <c r="K64" s="125" t="s">
        <v>105</v>
      </c>
      <c r="L64" s="125">
        <v>17443.650000000001</v>
      </c>
      <c r="M64" s="25"/>
      <c r="N64" s="127" t="s">
        <v>144</v>
      </c>
      <c r="O64" s="128">
        <v>0</v>
      </c>
      <c r="P64" s="128"/>
      <c r="Q64" s="128"/>
      <c r="R64" s="128"/>
      <c r="S64" s="128"/>
      <c r="T64" s="128"/>
      <c r="U64" s="128"/>
      <c r="V64" s="128"/>
      <c r="W64" s="128"/>
      <c r="X64" s="128"/>
      <c r="Y64" s="128"/>
      <c r="Z64" s="128"/>
      <c r="AA64" s="128"/>
      <c r="AB64" s="128"/>
      <c r="AC64" s="128"/>
      <c r="AD64" s="128"/>
      <c r="AE64" s="128">
        <v>0</v>
      </c>
      <c r="AF64" s="128"/>
      <c r="AG64" s="128"/>
      <c r="AH64" s="128"/>
      <c r="AI64" s="128"/>
      <c r="AJ64" s="128"/>
      <c r="AK64" s="128">
        <v>0</v>
      </c>
      <c r="AL64" s="128"/>
      <c r="AM64" s="128"/>
      <c r="AN64" s="128"/>
      <c r="AO64" s="128"/>
      <c r="AP64" s="128"/>
      <c r="AQ64" s="128"/>
      <c r="AR64" s="128"/>
      <c r="AS64" s="128"/>
      <c r="AT64" s="128"/>
      <c r="AU64" s="128">
        <v>14499.7841796875</v>
      </c>
      <c r="AV64" s="128">
        <v>36892.92578125</v>
      </c>
      <c r="AW64" s="128">
        <v>43596.765625</v>
      </c>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30"/>
    </row>
    <row r="65" spans="1:71" ht="15.75">
      <c r="A65" s="124" t="s">
        <v>154</v>
      </c>
      <c r="B65" s="131"/>
      <c r="C65" s="131"/>
      <c r="D65" s="125">
        <v>14990.41</v>
      </c>
      <c r="E65" s="131"/>
      <c r="F65" s="125"/>
      <c r="G65" s="125"/>
      <c r="H65" s="125"/>
      <c r="I65" s="131"/>
      <c r="J65" s="131"/>
      <c r="K65" s="131"/>
      <c r="L65" s="125">
        <v>14990.41</v>
      </c>
      <c r="M65" s="25"/>
      <c r="N65" s="127" t="s">
        <v>145</v>
      </c>
      <c r="O65" s="128">
        <v>0</v>
      </c>
      <c r="P65" s="128"/>
      <c r="Q65" s="128"/>
      <c r="R65" s="128"/>
      <c r="S65" s="128"/>
      <c r="T65" s="128"/>
      <c r="U65" s="128"/>
      <c r="V65" s="128"/>
      <c r="W65" s="128"/>
      <c r="X65" s="128"/>
      <c r="Y65" s="128"/>
      <c r="Z65" s="128"/>
      <c r="AA65" s="128"/>
      <c r="AB65" s="128"/>
      <c r="AC65" s="128"/>
      <c r="AD65" s="128"/>
      <c r="AE65" s="128">
        <v>0</v>
      </c>
      <c r="AF65" s="128"/>
      <c r="AG65" s="128"/>
      <c r="AH65" s="128"/>
      <c r="AI65" s="128"/>
      <c r="AJ65" s="128"/>
      <c r="AK65" s="128">
        <v>0</v>
      </c>
      <c r="AL65" s="128"/>
      <c r="AM65" s="128"/>
      <c r="AN65" s="128"/>
      <c r="AO65" s="128"/>
      <c r="AP65" s="128"/>
      <c r="AQ65" s="128"/>
      <c r="AR65" s="128"/>
      <c r="AS65" s="128"/>
      <c r="AT65" s="128">
        <v>479.57601928710938</v>
      </c>
      <c r="AU65" s="128"/>
      <c r="AV65" s="128">
        <v>9223.2333984375</v>
      </c>
      <c r="AW65" s="128">
        <v>10899.19140625</v>
      </c>
      <c r="AX65" s="128">
        <v>17.502481460571289</v>
      </c>
      <c r="AY65" s="128">
        <v>766.48553466796875</v>
      </c>
      <c r="AZ65" s="128"/>
      <c r="BA65" s="128"/>
      <c r="BB65" s="128"/>
      <c r="BC65" s="128"/>
      <c r="BD65" s="128"/>
      <c r="BE65" s="128"/>
      <c r="BF65" s="128"/>
      <c r="BG65" s="128"/>
      <c r="BH65" s="128"/>
      <c r="BI65" s="128"/>
      <c r="BJ65" s="128"/>
      <c r="BK65" s="128"/>
      <c r="BL65" s="128"/>
      <c r="BM65" s="128"/>
      <c r="BN65" s="128"/>
      <c r="BO65" s="128"/>
      <c r="BP65" s="128"/>
      <c r="BQ65" s="128"/>
      <c r="BR65" s="128">
        <v>264.09503173828125</v>
      </c>
      <c r="BS65" s="130"/>
    </row>
    <row r="66" spans="1:71" ht="15.75">
      <c r="A66" s="124" t="s">
        <v>155</v>
      </c>
      <c r="B66" s="131"/>
      <c r="C66" s="131"/>
      <c r="D66" s="125">
        <v>2453.23</v>
      </c>
      <c r="E66" s="131"/>
      <c r="F66" s="125"/>
      <c r="G66" s="125"/>
      <c r="H66" s="125"/>
      <c r="I66" s="131"/>
      <c r="J66" s="131"/>
      <c r="K66" s="131"/>
      <c r="L66" s="125">
        <v>2453.23</v>
      </c>
      <c r="M66" s="25"/>
      <c r="N66" s="127" t="s">
        <v>146</v>
      </c>
      <c r="O66" s="128">
        <v>0</v>
      </c>
      <c r="P66" s="128"/>
      <c r="Q66" s="128"/>
      <c r="R66" s="128"/>
      <c r="S66" s="128"/>
      <c r="T66" s="128"/>
      <c r="U66" s="128"/>
      <c r="V66" s="128"/>
      <c r="W66" s="128"/>
      <c r="X66" s="128"/>
      <c r="Y66" s="128"/>
      <c r="Z66" s="128"/>
      <c r="AA66" s="128"/>
      <c r="AB66" s="128"/>
      <c r="AC66" s="128"/>
      <c r="AD66" s="128"/>
      <c r="AE66" s="128">
        <v>0</v>
      </c>
      <c r="AF66" s="128"/>
      <c r="AG66" s="128"/>
      <c r="AH66" s="128"/>
      <c r="AI66" s="128"/>
      <c r="AJ66" s="128"/>
      <c r="AK66" s="128">
        <v>0</v>
      </c>
      <c r="AL66" s="128"/>
      <c r="AM66" s="128"/>
      <c r="AN66" s="128"/>
      <c r="AO66" s="128"/>
      <c r="AP66" s="128"/>
      <c r="AQ66" s="128"/>
      <c r="AR66" s="128"/>
      <c r="AS66" s="128">
        <v>117.25839233398438</v>
      </c>
      <c r="AT66" s="128">
        <v>266758.46875</v>
      </c>
      <c r="AU66" s="128"/>
      <c r="AV66" s="128"/>
      <c r="AW66" s="128"/>
      <c r="AX66" s="128">
        <v>625.44244384765625</v>
      </c>
      <c r="AY66" s="128">
        <v>356584.5625</v>
      </c>
      <c r="AZ66" s="128">
        <v>100.16751861572266</v>
      </c>
      <c r="BA66" s="128"/>
      <c r="BB66" s="128"/>
      <c r="BC66" s="128"/>
      <c r="BD66" s="128"/>
      <c r="BE66" s="128"/>
      <c r="BF66" s="128"/>
      <c r="BG66" s="128"/>
      <c r="BH66" s="128"/>
      <c r="BI66" s="128"/>
      <c r="BJ66" s="128"/>
      <c r="BK66" s="128"/>
      <c r="BL66" s="128"/>
      <c r="BM66" s="128"/>
      <c r="BN66" s="128"/>
      <c r="BO66" s="128"/>
      <c r="BP66" s="128"/>
      <c r="BQ66" s="128"/>
      <c r="BR66" s="128">
        <v>166.84565734863281</v>
      </c>
      <c r="BS66" s="130"/>
    </row>
    <row r="67" spans="1:71" ht="15.75">
      <c r="A67" s="124" t="s">
        <v>156</v>
      </c>
      <c r="B67" s="131"/>
      <c r="C67" s="131"/>
      <c r="D67" s="131"/>
      <c r="E67" s="131"/>
      <c r="F67" s="125"/>
      <c r="G67" s="125"/>
      <c r="H67" s="125"/>
      <c r="I67" s="131"/>
      <c r="J67" s="131"/>
      <c r="K67" s="131"/>
      <c r="L67" s="125" t="s">
        <v>105</v>
      </c>
      <c r="M67" s="25"/>
      <c r="N67" s="127" t="s">
        <v>147</v>
      </c>
      <c r="O67" s="128">
        <v>0</v>
      </c>
      <c r="P67" s="128"/>
      <c r="Q67" s="128"/>
      <c r="R67" s="128"/>
      <c r="S67" s="128"/>
      <c r="T67" s="128"/>
      <c r="U67" s="128"/>
      <c r="V67" s="128"/>
      <c r="W67" s="128"/>
      <c r="X67" s="128"/>
      <c r="Y67" s="128"/>
      <c r="Z67" s="128"/>
      <c r="AA67" s="128"/>
      <c r="AB67" s="128"/>
      <c r="AC67" s="128"/>
      <c r="AD67" s="128"/>
      <c r="AE67" s="128">
        <v>0</v>
      </c>
      <c r="AF67" s="128"/>
      <c r="AG67" s="128"/>
      <c r="AH67" s="128"/>
      <c r="AI67" s="128"/>
      <c r="AJ67" s="128"/>
      <c r="AK67" s="128">
        <v>0</v>
      </c>
      <c r="AL67" s="128"/>
      <c r="AM67" s="128"/>
      <c r="AN67" s="128"/>
      <c r="AO67" s="128"/>
      <c r="AP67" s="128"/>
      <c r="AQ67" s="128"/>
      <c r="AR67" s="128"/>
      <c r="AS67" s="128"/>
      <c r="AT67" s="128">
        <v>2049.947998046875</v>
      </c>
      <c r="AU67" s="128"/>
      <c r="AV67" s="128"/>
      <c r="AW67" s="128"/>
      <c r="AX67" s="128">
        <v>0.1257999986410141</v>
      </c>
      <c r="AY67" s="128">
        <v>5185.58203125</v>
      </c>
      <c r="AZ67" s="128"/>
      <c r="BA67" s="128"/>
      <c r="BB67" s="128"/>
      <c r="BC67" s="128"/>
      <c r="BD67" s="128"/>
      <c r="BE67" s="128"/>
      <c r="BF67" s="128"/>
      <c r="BG67" s="128"/>
      <c r="BH67" s="128"/>
      <c r="BI67" s="128"/>
      <c r="BJ67" s="128"/>
      <c r="BK67" s="128"/>
      <c r="BL67" s="128"/>
      <c r="BM67" s="128"/>
      <c r="BN67" s="128"/>
      <c r="BO67" s="128"/>
      <c r="BP67" s="128"/>
      <c r="BQ67" s="128"/>
      <c r="BR67" s="128">
        <v>10700.42578125</v>
      </c>
      <c r="BS67" s="130"/>
    </row>
    <row r="68" spans="1:71" ht="15.75">
      <c r="A68" s="124"/>
      <c r="B68" s="131"/>
      <c r="C68" s="131"/>
      <c r="D68" s="131"/>
      <c r="E68" s="131"/>
      <c r="F68" s="131"/>
      <c r="G68" s="131"/>
      <c r="H68" s="131"/>
      <c r="I68" s="131"/>
      <c r="J68" s="131"/>
      <c r="K68" s="131"/>
      <c r="L68" s="131"/>
      <c r="M68" s="25"/>
      <c r="N68" s="127" t="s">
        <v>148</v>
      </c>
      <c r="O68" s="128">
        <v>0</v>
      </c>
      <c r="P68" s="128"/>
      <c r="Q68" s="128"/>
      <c r="R68" s="128"/>
      <c r="S68" s="128"/>
      <c r="T68" s="128"/>
      <c r="U68" s="128"/>
      <c r="V68" s="128"/>
      <c r="W68" s="128"/>
      <c r="X68" s="128"/>
      <c r="Y68" s="128"/>
      <c r="Z68" s="128"/>
      <c r="AA68" s="128"/>
      <c r="AB68" s="128"/>
      <c r="AC68" s="128"/>
      <c r="AD68" s="128"/>
      <c r="AE68" s="128">
        <v>0</v>
      </c>
      <c r="AF68" s="128"/>
      <c r="AG68" s="128"/>
      <c r="AH68" s="128"/>
      <c r="AI68" s="128"/>
      <c r="AJ68" s="128"/>
      <c r="AK68" s="128">
        <v>0</v>
      </c>
      <c r="AL68" s="128"/>
      <c r="AM68" s="128"/>
      <c r="AN68" s="128"/>
      <c r="AO68" s="128"/>
      <c r="AP68" s="128"/>
      <c r="AQ68" s="128"/>
      <c r="AR68" s="128"/>
      <c r="AS68" s="128">
        <v>8.7020645141601563</v>
      </c>
      <c r="AT68" s="128">
        <v>27.876079559326172</v>
      </c>
      <c r="AU68" s="128"/>
      <c r="AV68" s="128"/>
      <c r="AW68" s="128"/>
      <c r="AX68" s="128">
        <v>4.4773702621459961</v>
      </c>
      <c r="AY68" s="128">
        <v>751.30419921875</v>
      </c>
      <c r="AZ68" s="128">
        <v>1122.8582763671875</v>
      </c>
      <c r="BA68" s="128"/>
      <c r="BB68" s="128"/>
      <c r="BC68" s="128"/>
      <c r="BD68" s="128"/>
      <c r="BE68" s="128"/>
      <c r="BF68" s="128"/>
      <c r="BG68" s="128"/>
      <c r="BH68" s="128"/>
      <c r="BI68" s="128"/>
      <c r="BJ68" s="128"/>
      <c r="BK68" s="128"/>
      <c r="BL68" s="128"/>
      <c r="BM68" s="128"/>
      <c r="BN68" s="128"/>
      <c r="BO68" s="128"/>
      <c r="BP68" s="128"/>
      <c r="BQ68" s="128"/>
      <c r="BR68" s="128">
        <v>286.9808349609375</v>
      </c>
      <c r="BS68" s="130"/>
    </row>
    <row r="69" spans="1:71" ht="15.75">
      <c r="A69" s="124"/>
      <c r="B69" s="131"/>
      <c r="C69" s="131"/>
      <c r="D69" s="131"/>
      <c r="E69" s="131"/>
      <c r="F69" s="125"/>
      <c r="G69" s="125"/>
      <c r="H69" s="125"/>
      <c r="I69" s="131"/>
      <c r="J69" s="131"/>
      <c r="K69" s="131"/>
      <c r="L69" s="131"/>
      <c r="M69" s="25"/>
      <c r="N69" s="127" t="s">
        <v>149</v>
      </c>
      <c r="O69" s="128">
        <v>0</v>
      </c>
      <c r="P69" s="128"/>
      <c r="Q69" s="128"/>
      <c r="R69" s="128"/>
      <c r="S69" s="128"/>
      <c r="T69" s="128"/>
      <c r="U69" s="128"/>
      <c r="V69" s="128"/>
      <c r="W69" s="128"/>
      <c r="X69" s="128"/>
      <c r="Y69" s="128"/>
      <c r="Z69" s="128"/>
      <c r="AA69" s="128"/>
      <c r="AB69" s="128"/>
      <c r="AC69" s="128"/>
      <c r="AD69" s="128"/>
      <c r="AE69" s="128">
        <v>0</v>
      </c>
      <c r="AF69" s="128"/>
      <c r="AG69" s="128"/>
      <c r="AH69" s="128"/>
      <c r="AI69" s="128"/>
      <c r="AJ69" s="128"/>
      <c r="AK69" s="128">
        <v>0</v>
      </c>
      <c r="AL69" s="128"/>
      <c r="AM69" s="128"/>
      <c r="AN69" s="128"/>
      <c r="AO69" s="128"/>
      <c r="AP69" s="128"/>
      <c r="AQ69" s="128"/>
      <c r="AR69" s="128"/>
      <c r="AS69" s="128"/>
      <c r="AT69" s="128"/>
      <c r="AU69" s="128"/>
      <c r="AV69" s="128"/>
      <c r="AW69" s="128"/>
      <c r="AX69" s="128"/>
      <c r="AY69" s="128"/>
      <c r="AZ69" s="128"/>
      <c r="BA69" s="128"/>
      <c r="BB69" s="128"/>
      <c r="BC69" s="128"/>
      <c r="BD69" s="128"/>
      <c r="BE69" s="128"/>
      <c r="BF69" s="128"/>
      <c r="BG69" s="128"/>
      <c r="BH69" s="128"/>
      <c r="BI69" s="128"/>
      <c r="BJ69" s="128"/>
      <c r="BK69" s="128"/>
      <c r="BL69" s="128"/>
      <c r="BM69" s="128"/>
      <c r="BN69" s="128"/>
      <c r="BO69" s="128"/>
      <c r="BP69" s="128"/>
      <c r="BQ69" s="128"/>
      <c r="BR69" s="128"/>
      <c r="BS69" s="130"/>
    </row>
    <row r="70" spans="1:71" ht="15.75">
      <c r="A70" s="143" t="s">
        <v>157</v>
      </c>
      <c r="B70" s="125" t="s">
        <v>105</v>
      </c>
      <c r="C70" s="125" t="s">
        <v>105</v>
      </c>
      <c r="D70" s="125" t="s">
        <v>105</v>
      </c>
      <c r="E70" s="125" t="s">
        <v>105</v>
      </c>
      <c r="F70" s="125">
        <v>15743</v>
      </c>
      <c r="G70" s="125">
        <v>845</v>
      </c>
      <c r="H70" s="125">
        <v>6207</v>
      </c>
      <c r="I70" s="125">
        <v>599</v>
      </c>
      <c r="J70" s="125">
        <v>253225</v>
      </c>
      <c r="K70" s="125" t="s">
        <v>105</v>
      </c>
      <c r="L70" s="125">
        <v>276620</v>
      </c>
      <c r="M70" s="25"/>
      <c r="N70" s="127" t="s">
        <v>150</v>
      </c>
      <c r="O70" s="128">
        <v>42.930000305175781</v>
      </c>
      <c r="P70" s="128"/>
      <c r="Q70" s="128"/>
      <c r="R70" s="128"/>
      <c r="S70" s="128">
        <v>42.930000305175781</v>
      </c>
      <c r="T70" s="128"/>
      <c r="U70" s="128"/>
      <c r="V70" s="128"/>
      <c r="W70" s="128"/>
      <c r="X70" s="128"/>
      <c r="Y70" s="128"/>
      <c r="Z70" s="128"/>
      <c r="AA70" s="128"/>
      <c r="AB70" s="128"/>
      <c r="AC70" s="128"/>
      <c r="AD70" s="128"/>
      <c r="AE70" s="128">
        <v>0</v>
      </c>
      <c r="AF70" s="128"/>
      <c r="AG70" s="128"/>
      <c r="AH70" s="128"/>
      <c r="AI70" s="128"/>
      <c r="AJ70" s="128"/>
      <c r="AK70" s="128">
        <v>0</v>
      </c>
      <c r="AL70" s="128"/>
      <c r="AM70" s="128"/>
      <c r="AN70" s="128"/>
      <c r="AO70" s="128"/>
      <c r="AP70" s="128"/>
      <c r="AQ70" s="128"/>
      <c r="AR70" s="128"/>
      <c r="AS70" s="128"/>
      <c r="AT70" s="128">
        <v>62.738189697265625</v>
      </c>
      <c r="AU70" s="128"/>
      <c r="AV70" s="128"/>
      <c r="AW70" s="128"/>
      <c r="AX70" s="128"/>
      <c r="AY70" s="128">
        <v>11317.033203125</v>
      </c>
      <c r="AZ70" s="128"/>
      <c r="BA70" s="128"/>
      <c r="BB70" s="128"/>
      <c r="BC70" s="128"/>
      <c r="BD70" s="128"/>
      <c r="BE70" s="128"/>
      <c r="BF70" s="128"/>
      <c r="BG70" s="128"/>
      <c r="BH70" s="128"/>
      <c r="BI70" s="128"/>
      <c r="BJ70" s="128"/>
      <c r="BK70" s="128"/>
      <c r="BL70" s="128"/>
      <c r="BM70" s="128"/>
      <c r="BN70" s="128"/>
      <c r="BO70" s="128"/>
      <c r="BP70" s="128"/>
      <c r="BQ70" s="128"/>
      <c r="BR70" s="128">
        <v>572.5958251953125</v>
      </c>
      <c r="BS70" s="130"/>
    </row>
    <row r="71" spans="1:71" ht="15.75">
      <c r="A71" s="124" t="s">
        <v>158</v>
      </c>
      <c r="B71" s="131"/>
      <c r="C71" s="131"/>
      <c r="D71" s="131"/>
      <c r="E71" s="131"/>
      <c r="F71" s="125">
        <v>15743</v>
      </c>
      <c r="G71" s="125">
        <v>704</v>
      </c>
      <c r="H71" s="125">
        <v>343</v>
      </c>
      <c r="I71" s="131"/>
      <c r="J71" s="125">
        <v>233169.53</v>
      </c>
      <c r="K71" s="131"/>
      <c r="L71" s="125">
        <v>249960</v>
      </c>
      <c r="M71" s="25"/>
      <c r="N71" s="127" t="s">
        <v>235</v>
      </c>
      <c r="O71" s="140"/>
      <c r="P71" s="128"/>
      <c r="Q71" s="128"/>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30"/>
    </row>
    <row r="72" spans="1:71" ht="15.75">
      <c r="A72" s="124" t="s">
        <v>159</v>
      </c>
      <c r="B72" s="131"/>
      <c r="C72" s="131"/>
      <c r="D72" s="131"/>
      <c r="E72" s="131"/>
      <c r="F72" s="131"/>
      <c r="G72" s="125">
        <v>140</v>
      </c>
      <c r="H72" s="125">
        <v>5864</v>
      </c>
      <c r="I72" s="125">
        <v>599</v>
      </c>
      <c r="J72" s="125">
        <v>20055.919999999998</v>
      </c>
      <c r="K72" s="131"/>
      <c r="L72" s="125">
        <v>26660</v>
      </c>
      <c r="M72" s="25"/>
      <c r="N72" s="148" t="s">
        <v>151</v>
      </c>
      <c r="O72" s="128">
        <v>130050.87911987305</v>
      </c>
      <c r="P72" s="128">
        <v>0</v>
      </c>
      <c r="Q72" s="128"/>
      <c r="R72" s="128">
        <v>0</v>
      </c>
      <c r="S72" s="128">
        <v>128440.03210449219</v>
      </c>
      <c r="T72" s="128">
        <v>0</v>
      </c>
      <c r="U72" s="128">
        <v>0</v>
      </c>
      <c r="V72" s="128">
        <v>0</v>
      </c>
      <c r="W72" s="128">
        <v>0</v>
      </c>
      <c r="X72" s="128">
        <v>0</v>
      </c>
      <c r="Y72" s="128">
        <v>0</v>
      </c>
      <c r="Z72" s="128">
        <v>0</v>
      </c>
      <c r="AA72" s="128">
        <v>0</v>
      </c>
      <c r="AB72" s="128">
        <v>0</v>
      </c>
      <c r="AC72" s="128">
        <v>0</v>
      </c>
      <c r="AD72" s="128">
        <v>0</v>
      </c>
      <c r="AE72" s="128">
        <v>28925.7578125</v>
      </c>
      <c r="AF72" s="128">
        <v>28925.7578125</v>
      </c>
      <c r="AG72" s="128">
        <v>0</v>
      </c>
      <c r="AH72" s="128">
        <v>0</v>
      </c>
      <c r="AI72" s="128">
        <v>0</v>
      </c>
      <c r="AJ72" s="128">
        <v>1452.7976531982422</v>
      </c>
      <c r="AK72" s="128">
        <v>0</v>
      </c>
      <c r="AL72" s="128">
        <v>0</v>
      </c>
      <c r="AM72" s="128">
        <v>0</v>
      </c>
      <c r="AN72" s="128">
        <v>0</v>
      </c>
      <c r="AO72" s="128">
        <v>0</v>
      </c>
      <c r="AP72" s="128">
        <v>0</v>
      </c>
      <c r="AQ72" s="128">
        <v>0</v>
      </c>
      <c r="AR72" s="128">
        <v>0</v>
      </c>
      <c r="AS72" s="128">
        <v>14205.678559064865</v>
      </c>
      <c r="AT72" s="128">
        <v>131144.83984375</v>
      </c>
      <c r="AU72" s="128">
        <v>0</v>
      </c>
      <c r="AV72" s="128">
        <v>0</v>
      </c>
      <c r="AW72" s="128">
        <v>0</v>
      </c>
      <c r="AX72" s="128">
        <v>23128.4775390625</v>
      </c>
      <c r="AY72" s="128">
        <v>71722.000325202942</v>
      </c>
      <c r="AZ72" s="128">
        <v>3046.073486328125</v>
      </c>
      <c r="BA72" s="128">
        <v>0</v>
      </c>
      <c r="BB72" s="128">
        <v>0</v>
      </c>
      <c r="BC72" s="128">
        <v>0</v>
      </c>
      <c r="BD72" s="128">
        <v>0</v>
      </c>
      <c r="BE72" s="128">
        <v>0</v>
      </c>
      <c r="BF72" s="128">
        <v>0</v>
      </c>
      <c r="BG72" s="128">
        <v>0</v>
      </c>
      <c r="BH72" s="128">
        <v>0</v>
      </c>
      <c r="BI72" s="128"/>
      <c r="BJ72" s="128"/>
      <c r="BK72" s="128"/>
      <c r="BL72" s="128"/>
      <c r="BM72" s="128"/>
      <c r="BN72" s="128"/>
      <c r="BO72" s="128">
        <v>0</v>
      </c>
      <c r="BP72" s="128">
        <v>0</v>
      </c>
      <c r="BQ72" s="128">
        <v>0</v>
      </c>
      <c r="BR72" s="128">
        <v>332053.19555664063</v>
      </c>
      <c r="BS72" s="130">
        <v>0</v>
      </c>
    </row>
    <row r="73" spans="1:71" ht="15.75">
      <c r="A73" s="124" t="s">
        <v>160</v>
      </c>
      <c r="B73" s="131"/>
      <c r="C73" s="131"/>
      <c r="D73" s="131"/>
      <c r="E73" s="131"/>
      <c r="F73" s="131"/>
      <c r="G73" s="131"/>
      <c r="H73" s="131"/>
      <c r="I73" s="131"/>
      <c r="J73" s="125"/>
      <c r="K73" s="125"/>
      <c r="L73" s="125" t="s">
        <v>105</v>
      </c>
      <c r="M73" s="25"/>
      <c r="N73" s="127" t="s">
        <v>41</v>
      </c>
      <c r="O73" s="128">
        <v>1998.2430419921875</v>
      </c>
      <c r="P73" s="128"/>
      <c r="Q73" s="128"/>
      <c r="R73" s="128"/>
      <c r="S73" s="128">
        <v>1998.2430419921875</v>
      </c>
      <c r="T73" s="128"/>
      <c r="U73" s="128"/>
      <c r="V73" s="128"/>
      <c r="W73" s="128"/>
      <c r="X73" s="128"/>
      <c r="Y73" s="128"/>
      <c r="Z73" s="128"/>
      <c r="AA73" s="128"/>
      <c r="AB73" s="128"/>
      <c r="AC73" s="128"/>
      <c r="AD73" s="128"/>
      <c r="AE73" s="128">
        <v>0</v>
      </c>
      <c r="AF73" s="128"/>
      <c r="AG73" s="128"/>
      <c r="AH73" s="128"/>
      <c r="AI73" s="128"/>
      <c r="AJ73" s="128"/>
      <c r="AK73" s="128">
        <v>0</v>
      </c>
      <c r="AL73" s="128"/>
      <c r="AM73" s="128"/>
      <c r="AN73" s="128"/>
      <c r="AO73" s="128"/>
      <c r="AP73" s="128"/>
      <c r="AQ73" s="128"/>
      <c r="AR73" s="128"/>
      <c r="AS73" s="128">
        <v>1.0114448070526123</v>
      </c>
      <c r="AT73" s="128">
        <v>66733.09375</v>
      </c>
      <c r="AU73" s="128"/>
      <c r="AV73" s="128"/>
      <c r="AW73" s="128"/>
      <c r="AX73" s="128">
        <v>10095.5244140625</v>
      </c>
      <c r="AY73" s="128">
        <v>71510.421875</v>
      </c>
      <c r="AZ73" s="128">
        <v>762.941162109375</v>
      </c>
      <c r="BA73" s="128"/>
      <c r="BB73" s="128"/>
      <c r="BC73" s="128"/>
      <c r="BD73" s="128"/>
      <c r="BE73" s="128"/>
      <c r="BF73" s="128"/>
      <c r="BG73" s="128"/>
      <c r="BH73" s="128"/>
      <c r="BI73" s="128"/>
      <c r="BJ73" s="128"/>
      <c r="BK73" s="128"/>
      <c r="BL73" s="128"/>
      <c r="BM73" s="128"/>
      <c r="BN73" s="128"/>
      <c r="BO73" s="128"/>
      <c r="BP73" s="128"/>
      <c r="BQ73" s="128"/>
      <c r="BR73" s="128">
        <v>21484.798828125</v>
      </c>
      <c r="BS73" s="130"/>
    </row>
    <row r="74" spans="1:71" ht="15.75">
      <c r="A74" s="124" t="s">
        <v>161</v>
      </c>
      <c r="B74" s="131"/>
      <c r="C74" s="131"/>
      <c r="D74" s="131"/>
      <c r="E74" s="131"/>
      <c r="F74" s="131"/>
      <c r="G74" s="131"/>
      <c r="H74" s="131"/>
      <c r="I74" s="131"/>
      <c r="J74" s="125"/>
      <c r="K74" s="131"/>
      <c r="L74" s="125" t="s">
        <v>105</v>
      </c>
      <c r="M74" s="25"/>
      <c r="N74" s="127" t="s">
        <v>152</v>
      </c>
      <c r="O74" s="128">
        <v>16510.89453125</v>
      </c>
      <c r="P74" s="128"/>
      <c r="Q74" s="128"/>
      <c r="R74" s="128"/>
      <c r="S74" s="128">
        <v>16510.89453125</v>
      </c>
      <c r="T74" s="128"/>
      <c r="U74" s="128"/>
      <c r="V74" s="128"/>
      <c r="W74" s="128"/>
      <c r="X74" s="128"/>
      <c r="Y74" s="128"/>
      <c r="Z74" s="128"/>
      <c r="AA74" s="128"/>
      <c r="AB74" s="128"/>
      <c r="AC74" s="128"/>
      <c r="AD74" s="128"/>
      <c r="AE74" s="128">
        <v>0</v>
      </c>
      <c r="AF74" s="128"/>
      <c r="AG74" s="128"/>
      <c r="AH74" s="128"/>
      <c r="AI74" s="128"/>
      <c r="AJ74" s="128">
        <v>1232.300537109375</v>
      </c>
      <c r="AK74" s="128">
        <v>0</v>
      </c>
      <c r="AL74" s="128"/>
      <c r="AM74" s="128"/>
      <c r="AN74" s="128"/>
      <c r="AO74" s="128"/>
      <c r="AP74" s="128"/>
      <c r="AQ74" s="128"/>
      <c r="AR74" s="128"/>
      <c r="AS74" s="128">
        <v>1846.6065673828125</v>
      </c>
      <c r="AT74" s="128">
        <v>64411.74609375</v>
      </c>
      <c r="AU74" s="128"/>
      <c r="AV74" s="128"/>
      <c r="AW74" s="128"/>
      <c r="AX74" s="128">
        <v>13032.953125</v>
      </c>
      <c r="AY74" s="128"/>
      <c r="AZ74" s="128">
        <v>2283.13232421875</v>
      </c>
      <c r="BA74" s="128"/>
      <c r="BB74" s="128"/>
      <c r="BC74" s="128"/>
      <c r="BD74" s="128"/>
      <c r="BE74" s="128"/>
      <c r="BF74" s="128"/>
      <c r="BG74" s="128"/>
      <c r="BH74" s="128"/>
      <c r="BI74" s="128"/>
      <c r="BJ74" s="128"/>
      <c r="BK74" s="128"/>
      <c r="BL74" s="128"/>
      <c r="BM74" s="128"/>
      <c r="BN74" s="128"/>
      <c r="BO74" s="128"/>
      <c r="BP74" s="128"/>
      <c r="BQ74" s="128"/>
      <c r="BR74" s="128">
        <v>133200</v>
      </c>
      <c r="BS74" s="130"/>
    </row>
    <row r="75" spans="1:71" ht="15.75">
      <c r="A75" s="124"/>
      <c r="B75" s="131"/>
      <c r="C75" s="131"/>
      <c r="D75" s="131"/>
      <c r="E75" s="131"/>
      <c r="F75" s="131"/>
      <c r="G75" s="131"/>
      <c r="H75" s="131"/>
      <c r="I75" s="131"/>
      <c r="J75" s="131"/>
      <c r="K75" s="131"/>
      <c r="L75" s="131"/>
      <c r="M75" s="25"/>
      <c r="N75" s="127" t="s">
        <v>56</v>
      </c>
      <c r="O75" s="128">
        <v>16587.601531982422</v>
      </c>
      <c r="P75" s="128"/>
      <c r="Q75" s="128">
        <v>76.707000732421875</v>
      </c>
      <c r="R75" s="128"/>
      <c r="S75" s="128">
        <v>16510.89453125</v>
      </c>
      <c r="T75" s="128"/>
      <c r="U75" s="128"/>
      <c r="V75" s="128"/>
      <c r="W75" s="128"/>
      <c r="X75" s="128"/>
      <c r="Y75" s="128"/>
      <c r="Z75" s="128"/>
      <c r="AA75" s="128"/>
      <c r="AB75" s="128"/>
      <c r="AC75" s="128"/>
      <c r="AD75" s="128"/>
      <c r="AE75" s="128">
        <v>28925.7578125</v>
      </c>
      <c r="AF75" s="128">
        <v>28925.7578125</v>
      </c>
      <c r="AG75" s="128"/>
      <c r="AH75" s="128"/>
      <c r="AI75" s="128"/>
      <c r="AJ75" s="128">
        <v>220.49711608886719</v>
      </c>
      <c r="AK75" s="128">
        <v>0</v>
      </c>
      <c r="AL75" s="128"/>
      <c r="AM75" s="128"/>
      <c r="AN75" s="128"/>
      <c r="AO75" s="128"/>
      <c r="AP75" s="128"/>
      <c r="AQ75" s="128"/>
      <c r="AR75" s="128"/>
      <c r="AS75" s="128">
        <v>12358.060546875</v>
      </c>
      <c r="AT75" s="128"/>
      <c r="AU75" s="128"/>
      <c r="AV75" s="128"/>
      <c r="AW75" s="128"/>
      <c r="AX75" s="128"/>
      <c r="AY75" s="128">
        <v>11.629643440246582</v>
      </c>
      <c r="AZ75" s="128"/>
      <c r="BA75" s="128"/>
      <c r="BB75" s="128"/>
      <c r="BC75" s="128"/>
      <c r="BD75" s="128"/>
      <c r="BE75" s="128"/>
      <c r="BF75" s="128"/>
      <c r="BG75" s="128"/>
      <c r="BH75" s="128"/>
      <c r="BI75" s="128"/>
      <c r="BJ75" s="128"/>
      <c r="BK75" s="128"/>
      <c r="BL75" s="128"/>
      <c r="BM75" s="128"/>
      <c r="BN75" s="128"/>
      <c r="BO75" s="128"/>
      <c r="BP75" s="128"/>
      <c r="BQ75" s="128"/>
      <c r="BR75" s="128">
        <v>174682.796875</v>
      </c>
      <c r="BS75" s="130"/>
    </row>
    <row r="76" spans="1:71" ht="15.75">
      <c r="A76" s="143" t="s">
        <v>162</v>
      </c>
      <c r="B76" s="131"/>
      <c r="C76" s="131"/>
      <c r="D76" s="131"/>
      <c r="E76" s="131"/>
      <c r="F76" s="131"/>
      <c r="G76" s="131"/>
      <c r="H76" s="131"/>
      <c r="I76" s="131"/>
      <c r="J76" s="131"/>
      <c r="K76" s="125"/>
      <c r="L76" s="131"/>
      <c r="M76" s="25"/>
      <c r="N76" s="127" t="s">
        <v>58</v>
      </c>
      <c r="O76" s="128">
        <v>94954.140014648438</v>
      </c>
      <c r="P76" s="128"/>
      <c r="Q76" s="128">
        <v>1534.1400146484375</v>
      </c>
      <c r="R76" s="128"/>
      <c r="S76" s="128">
        <v>93420</v>
      </c>
      <c r="T76" s="128"/>
      <c r="U76" s="128"/>
      <c r="V76" s="128"/>
      <c r="W76" s="128"/>
      <c r="X76" s="128"/>
      <c r="Y76" s="128"/>
      <c r="Z76" s="128"/>
      <c r="AA76" s="128"/>
      <c r="AB76" s="128"/>
      <c r="AC76" s="128"/>
      <c r="AD76" s="128"/>
      <c r="AE76" s="128">
        <v>0</v>
      </c>
      <c r="AF76" s="128"/>
      <c r="AG76" s="128"/>
      <c r="AH76" s="128"/>
      <c r="AI76" s="128"/>
      <c r="AJ76" s="128"/>
      <c r="AK76" s="128">
        <v>0</v>
      </c>
      <c r="AL76" s="128"/>
      <c r="AM76" s="128"/>
      <c r="AN76" s="128"/>
      <c r="AO76" s="128"/>
      <c r="AP76" s="128"/>
      <c r="AQ76" s="128"/>
      <c r="AR76" s="128"/>
      <c r="AS76" s="128"/>
      <c r="AT76" s="128"/>
      <c r="AU76" s="128"/>
      <c r="AV76" s="128"/>
      <c r="AW76" s="128"/>
      <c r="AX76" s="128"/>
      <c r="AY76" s="128">
        <v>199.94880676269531</v>
      </c>
      <c r="AZ76" s="128"/>
      <c r="BA76" s="128"/>
      <c r="BB76" s="128"/>
      <c r="BC76" s="128"/>
      <c r="BD76" s="128"/>
      <c r="BE76" s="128"/>
      <c r="BF76" s="128"/>
      <c r="BG76" s="128"/>
      <c r="BH76" s="128"/>
      <c r="BI76" s="128"/>
      <c r="BJ76" s="128"/>
      <c r="BK76" s="128"/>
      <c r="BL76" s="128">
        <v>3869.97998046875</v>
      </c>
      <c r="BM76" s="128"/>
      <c r="BN76" s="128"/>
      <c r="BO76" s="128"/>
      <c r="BP76" s="128"/>
      <c r="BQ76" s="128"/>
      <c r="BR76" s="128">
        <v>2685.599853515625</v>
      </c>
      <c r="BS76" s="130"/>
    </row>
    <row r="77" spans="1:71" ht="15.75">
      <c r="A77" s="124" t="s">
        <v>163</v>
      </c>
      <c r="B77" s="131"/>
      <c r="C77" s="131"/>
      <c r="D77" s="131"/>
      <c r="E77" s="131"/>
      <c r="F77" s="131"/>
      <c r="G77" s="131"/>
      <c r="H77" s="131"/>
      <c r="I77" s="131"/>
      <c r="J77" s="131"/>
      <c r="K77" s="125"/>
      <c r="L77" s="131"/>
      <c r="M77" s="25"/>
      <c r="N77" s="127" t="s">
        <v>235</v>
      </c>
      <c r="O77" s="140"/>
      <c r="P77" s="128"/>
      <c r="Q77" s="128"/>
      <c r="R77" s="128"/>
      <c r="S77" s="128"/>
      <c r="T77" s="128"/>
      <c r="U77" s="128"/>
      <c r="V77" s="128"/>
      <c r="W77" s="128"/>
      <c r="X77" s="128"/>
      <c r="Y77" s="128"/>
      <c r="Z77" s="128"/>
      <c r="AA77" s="128"/>
      <c r="AB77" s="128"/>
      <c r="AC77" s="128"/>
      <c r="AD77" s="128"/>
      <c r="AE77" s="128"/>
      <c r="AF77" s="128"/>
      <c r="AG77" s="128"/>
      <c r="AH77" s="128"/>
      <c r="AI77" s="128"/>
      <c r="AJ77" s="128"/>
      <c r="AK77" s="128"/>
      <c r="AL77" s="128"/>
      <c r="AM77" s="128"/>
      <c r="AN77" s="128"/>
      <c r="AO77" s="128"/>
      <c r="AP77" s="128"/>
      <c r="AQ77" s="128"/>
      <c r="AR77" s="128"/>
      <c r="AS77" s="128"/>
      <c r="AT77" s="128"/>
      <c r="AU77" s="128"/>
      <c r="AV77" s="128"/>
      <c r="AW77" s="128"/>
      <c r="AX77" s="128"/>
      <c r="AY77" s="128"/>
      <c r="AZ77" s="128"/>
      <c r="BA77" s="128"/>
      <c r="BB77" s="128"/>
      <c r="BC77" s="128"/>
      <c r="BD77" s="128"/>
      <c r="BE77" s="128"/>
      <c r="BF77" s="128"/>
      <c r="BG77" s="128"/>
      <c r="BH77" s="128"/>
      <c r="BI77" s="128"/>
      <c r="BJ77" s="128"/>
      <c r="BK77" s="128"/>
      <c r="BL77" s="128"/>
      <c r="BM77" s="128"/>
      <c r="BN77" s="128"/>
      <c r="BO77" s="128"/>
      <c r="BP77" s="128"/>
      <c r="BQ77" s="128"/>
      <c r="BR77" s="128"/>
      <c r="BS77" s="130"/>
    </row>
    <row r="78" spans="1:71" ht="15.75">
      <c r="A78" s="124" t="s">
        <v>164</v>
      </c>
      <c r="B78" s="131"/>
      <c r="C78" s="131"/>
      <c r="D78" s="131"/>
      <c r="E78" s="131"/>
      <c r="F78" s="131"/>
      <c r="G78" s="131"/>
      <c r="H78" s="131"/>
      <c r="I78" s="131"/>
      <c r="J78" s="131"/>
      <c r="K78" s="125"/>
      <c r="L78" s="131"/>
      <c r="M78" s="25"/>
      <c r="N78" s="134" t="s">
        <v>153</v>
      </c>
      <c r="O78" s="128">
        <v>49487.03125</v>
      </c>
      <c r="P78" s="135">
        <v>0</v>
      </c>
      <c r="Q78" s="135"/>
      <c r="R78" s="135">
        <v>0</v>
      </c>
      <c r="S78" s="135">
        <v>49487.03125</v>
      </c>
      <c r="T78" s="135">
        <v>0</v>
      </c>
      <c r="U78" s="135">
        <v>0</v>
      </c>
      <c r="V78" s="135">
        <v>0</v>
      </c>
      <c r="W78" s="135">
        <v>0</v>
      </c>
      <c r="X78" s="135">
        <v>0</v>
      </c>
      <c r="Y78" s="135">
        <v>0</v>
      </c>
      <c r="Z78" s="135">
        <v>0</v>
      </c>
      <c r="AA78" s="135">
        <v>0</v>
      </c>
      <c r="AB78" s="135">
        <v>0</v>
      </c>
      <c r="AC78" s="135">
        <v>0</v>
      </c>
      <c r="AD78" s="135">
        <v>0</v>
      </c>
      <c r="AE78" s="135">
        <v>0</v>
      </c>
      <c r="AF78" s="135">
        <v>0</v>
      </c>
      <c r="AG78" s="135">
        <v>0</v>
      </c>
      <c r="AH78" s="135">
        <v>0</v>
      </c>
      <c r="AI78" s="135">
        <v>0</v>
      </c>
      <c r="AJ78" s="135">
        <v>0</v>
      </c>
      <c r="AK78" s="135">
        <v>0</v>
      </c>
      <c r="AL78" s="135"/>
      <c r="AM78" s="135"/>
      <c r="AN78" s="135"/>
      <c r="AO78" s="135"/>
      <c r="AP78" s="135"/>
      <c r="AQ78" s="135"/>
      <c r="AR78" s="135"/>
      <c r="AS78" s="135"/>
      <c r="AT78" s="135"/>
      <c r="AU78" s="135"/>
      <c r="AV78" s="135"/>
      <c r="AW78" s="135"/>
      <c r="AX78" s="135"/>
      <c r="AY78" s="135"/>
      <c r="AZ78" s="135"/>
      <c r="BA78" s="135"/>
      <c r="BB78" s="135">
        <v>3838.9571838378906</v>
      </c>
      <c r="BC78" s="135">
        <v>5358.659912109375</v>
      </c>
      <c r="BD78" s="135">
        <v>14421.748657226563</v>
      </c>
      <c r="BE78" s="135">
        <v>399.58800029754639</v>
      </c>
      <c r="BF78" s="135"/>
      <c r="BG78" s="135"/>
      <c r="BH78" s="135"/>
      <c r="BI78" s="135"/>
      <c r="BJ78" s="135"/>
      <c r="BK78" s="135"/>
      <c r="BL78" s="135"/>
      <c r="BM78" s="135"/>
      <c r="BN78" s="135"/>
      <c r="BO78" s="135"/>
      <c r="BP78" s="135"/>
      <c r="BQ78" s="135"/>
      <c r="BR78" s="135"/>
      <c r="BS78" s="136"/>
    </row>
    <row r="79" spans="1:71" ht="15.75">
      <c r="A79" s="124" t="s">
        <v>165</v>
      </c>
      <c r="B79" s="131"/>
      <c r="C79" s="131"/>
      <c r="D79" s="131"/>
      <c r="E79" s="131"/>
      <c r="F79" s="131"/>
      <c r="G79" s="131"/>
      <c r="H79" s="131"/>
      <c r="I79" s="131"/>
      <c r="J79" s="131"/>
      <c r="K79" s="125"/>
      <c r="L79" s="131"/>
      <c r="M79" s="25"/>
      <c r="N79" s="127" t="s">
        <v>154</v>
      </c>
      <c r="O79" s="128">
        <v>0</v>
      </c>
      <c r="P79" s="128"/>
      <c r="Q79" s="128"/>
      <c r="R79" s="128"/>
      <c r="S79" s="128"/>
      <c r="T79" s="128"/>
      <c r="U79" s="128"/>
      <c r="V79" s="128"/>
      <c r="W79" s="128"/>
      <c r="X79" s="128"/>
      <c r="Y79" s="128"/>
      <c r="Z79" s="128"/>
      <c r="AA79" s="128"/>
      <c r="AB79" s="128"/>
      <c r="AC79" s="128"/>
      <c r="AD79" s="128"/>
      <c r="AE79" s="128">
        <v>0</v>
      </c>
      <c r="AF79" s="128"/>
      <c r="AG79" s="128"/>
      <c r="AH79" s="128"/>
      <c r="AI79" s="128"/>
      <c r="AJ79" s="128"/>
      <c r="AK79" s="128">
        <v>0</v>
      </c>
      <c r="AL79" s="128"/>
      <c r="AM79" s="128"/>
      <c r="AN79" s="128"/>
      <c r="AO79" s="128"/>
      <c r="AP79" s="128"/>
      <c r="AQ79" s="128"/>
      <c r="AR79" s="128"/>
      <c r="AS79" s="128"/>
      <c r="AT79" s="128"/>
      <c r="AU79" s="128"/>
      <c r="AV79" s="128"/>
      <c r="AW79" s="128"/>
      <c r="AX79" s="128"/>
      <c r="AY79" s="128"/>
      <c r="AZ79" s="128"/>
      <c r="BA79" s="128"/>
      <c r="BB79" s="128">
        <v>2076.969970703125</v>
      </c>
      <c r="BC79" s="128">
        <v>1163.387939453125</v>
      </c>
      <c r="BD79" s="128">
        <v>11459.0087890625</v>
      </c>
      <c r="BE79" s="128">
        <v>291.04800415039063</v>
      </c>
      <c r="BF79" s="128"/>
      <c r="BG79" s="128"/>
      <c r="BH79" s="128"/>
      <c r="BI79" s="128"/>
      <c r="BJ79" s="128"/>
      <c r="BK79" s="128"/>
      <c r="BL79" s="128"/>
      <c r="BM79" s="128"/>
      <c r="BN79" s="128"/>
      <c r="BO79" s="128"/>
      <c r="BP79" s="128"/>
      <c r="BQ79" s="128"/>
      <c r="BR79" s="128"/>
      <c r="BS79" s="130"/>
    </row>
    <row r="80" spans="1:71" ht="15.75">
      <c r="A80" s="124" t="s">
        <v>166</v>
      </c>
      <c r="B80" s="125" t="s">
        <v>105</v>
      </c>
      <c r="C80" s="125" t="s">
        <v>105</v>
      </c>
      <c r="D80" s="125" t="s">
        <v>105</v>
      </c>
      <c r="E80" s="125" t="s">
        <v>105</v>
      </c>
      <c r="F80" s="125" t="s">
        <v>105</v>
      </c>
      <c r="G80" s="125" t="s">
        <v>105</v>
      </c>
      <c r="H80" s="125" t="s">
        <v>105</v>
      </c>
      <c r="I80" s="125" t="s">
        <v>105</v>
      </c>
      <c r="J80" s="125" t="s">
        <v>105</v>
      </c>
      <c r="K80" s="125" t="s">
        <v>105</v>
      </c>
      <c r="L80" s="125" t="s">
        <v>105</v>
      </c>
      <c r="M80" s="25"/>
      <c r="N80" s="127" t="s">
        <v>155</v>
      </c>
      <c r="O80" s="128">
        <v>0</v>
      </c>
      <c r="P80" s="128"/>
      <c r="Q80" s="128"/>
      <c r="R80" s="128"/>
      <c r="S80" s="128"/>
      <c r="T80" s="128"/>
      <c r="U80" s="128"/>
      <c r="V80" s="128"/>
      <c r="W80" s="128"/>
      <c r="X80" s="128"/>
      <c r="Y80" s="128"/>
      <c r="Z80" s="128"/>
      <c r="AA80" s="128"/>
      <c r="AB80" s="128"/>
      <c r="AC80" s="128"/>
      <c r="AD80" s="128"/>
      <c r="AE80" s="128">
        <v>0</v>
      </c>
      <c r="AF80" s="128"/>
      <c r="AG80" s="128"/>
      <c r="AH80" s="128"/>
      <c r="AI80" s="128"/>
      <c r="AJ80" s="128"/>
      <c r="AK80" s="128">
        <v>0</v>
      </c>
      <c r="AL80" s="128"/>
      <c r="AM80" s="128"/>
      <c r="AN80" s="128"/>
      <c r="AO80" s="128"/>
      <c r="AP80" s="128"/>
      <c r="AQ80" s="128"/>
      <c r="AR80" s="128"/>
      <c r="AS80" s="128"/>
      <c r="AT80" s="128"/>
      <c r="AU80" s="128"/>
      <c r="AV80" s="128"/>
      <c r="AW80" s="128"/>
      <c r="AX80" s="128"/>
      <c r="AY80" s="128"/>
      <c r="AZ80" s="128"/>
      <c r="BA80" s="128"/>
      <c r="BB80" s="128">
        <v>350.77114868164063</v>
      </c>
      <c r="BC80" s="128">
        <v>1683.575927734375</v>
      </c>
      <c r="BD80" s="128">
        <v>314.7659912109375</v>
      </c>
      <c r="BE80" s="128">
        <v>104.11799621582031</v>
      </c>
      <c r="BF80" s="128"/>
      <c r="BG80" s="128"/>
      <c r="BH80" s="128"/>
      <c r="BI80" s="128"/>
      <c r="BJ80" s="128"/>
      <c r="BK80" s="128"/>
      <c r="BL80" s="128"/>
      <c r="BM80" s="128"/>
      <c r="BN80" s="128"/>
      <c r="BO80" s="128"/>
      <c r="BP80" s="128"/>
      <c r="BQ80" s="128"/>
      <c r="BR80" s="128"/>
      <c r="BS80" s="130"/>
    </row>
    <row r="81" spans="1:71" ht="15.75">
      <c r="A81" s="131"/>
      <c r="B81" s="131"/>
      <c r="C81" s="131"/>
      <c r="D81" s="131"/>
      <c r="E81" s="131"/>
      <c r="F81" s="131"/>
      <c r="G81" s="131"/>
      <c r="H81" s="131"/>
      <c r="I81" s="131"/>
      <c r="J81" s="131"/>
      <c r="K81" s="131"/>
      <c r="L81" s="131"/>
      <c r="M81" s="25"/>
      <c r="N81" s="127" t="s">
        <v>252</v>
      </c>
      <c r="O81" s="128">
        <v>0</v>
      </c>
      <c r="P81" s="128"/>
      <c r="Q81" s="128"/>
      <c r="R81" s="128"/>
      <c r="S81" s="128"/>
      <c r="T81" s="128"/>
      <c r="U81" s="128"/>
      <c r="V81" s="128"/>
      <c r="W81" s="128"/>
      <c r="X81" s="128"/>
      <c r="Y81" s="128"/>
      <c r="Z81" s="128"/>
      <c r="AA81" s="128"/>
      <c r="AB81" s="128"/>
      <c r="AC81" s="128"/>
      <c r="AD81" s="128"/>
      <c r="AE81" s="128">
        <v>0</v>
      </c>
      <c r="AF81" s="128"/>
      <c r="AG81" s="128"/>
      <c r="AH81" s="128"/>
      <c r="AI81" s="128"/>
      <c r="AJ81" s="128"/>
      <c r="AK81" s="128">
        <v>0</v>
      </c>
      <c r="AL81" s="128"/>
      <c r="AM81" s="128"/>
      <c r="AN81" s="128"/>
      <c r="AO81" s="128"/>
      <c r="AP81" s="128"/>
      <c r="AQ81" s="128"/>
      <c r="AR81" s="128"/>
      <c r="AS81" s="128"/>
      <c r="AT81" s="128"/>
      <c r="AU81" s="128"/>
      <c r="AV81" s="128"/>
      <c r="AW81" s="128"/>
      <c r="AX81" s="128"/>
      <c r="AY81" s="128"/>
      <c r="AZ81" s="128"/>
      <c r="BA81" s="128"/>
      <c r="BB81" s="128">
        <v>1411.216064453125</v>
      </c>
      <c r="BC81" s="128">
        <v>2511.696044921875</v>
      </c>
      <c r="BD81" s="128">
        <v>2647.973876953125</v>
      </c>
      <c r="BE81" s="128">
        <v>4.4219999313354492</v>
      </c>
      <c r="BF81" s="128"/>
      <c r="BG81" s="128"/>
      <c r="BH81" s="128"/>
      <c r="BI81" s="128"/>
      <c r="BJ81" s="128"/>
      <c r="BK81" s="128"/>
      <c r="BL81" s="128"/>
      <c r="BM81" s="128"/>
      <c r="BN81" s="128"/>
      <c r="BO81" s="128"/>
      <c r="BP81" s="128"/>
      <c r="BQ81" s="128"/>
      <c r="BR81" s="128"/>
      <c r="BS81" s="130"/>
    </row>
    <row r="82" spans="1:71" ht="15.75">
      <c r="A82" s="131"/>
      <c r="B82" s="131"/>
      <c r="C82" s="131"/>
      <c r="D82" s="131"/>
      <c r="E82" s="131"/>
      <c r="F82" s="131"/>
      <c r="G82" s="131"/>
      <c r="H82" s="131"/>
      <c r="I82" s="131"/>
      <c r="J82" s="131"/>
      <c r="K82" s="131"/>
      <c r="L82" s="131"/>
      <c r="M82" s="25"/>
      <c r="N82" s="127" t="s">
        <v>253</v>
      </c>
      <c r="O82" s="128">
        <v>49487.03125</v>
      </c>
      <c r="P82" s="128"/>
      <c r="Q82" s="128"/>
      <c r="R82" s="128"/>
      <c r="S82" s="128">
        <v>49487.03125</v>
      </c>
      <c r="T82" s="128"/>
      <c r="U82" s="128"/>
      <c r="V82" s="128"/>
      <c r="W82" s="128"/>
      <c r="X82" s="128"/>
      <c r="Y82" s="128"/>
      <c r="Z82" s="128"/>
      <c r="AA82" s="128"/>
      <c r="AB82" s="128"/>
      <c r="AC82" s="128"/>
      <c r="AD82" s="128"/>
      <c r="AE82" s="128">
        <v>0</v>
      </c>
      <c r="AF82" s="128"/>
      <c r="AG82" s="128"/>
      <c r="AH82" s="128"/>
      <c r="AI82" s="128"/>
      <c r="AJ82" s="128"/>
      <c r="AK82" s="128">
        <v>0</v>
      </c>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30"/>
    </row>
    <row r="83" spans="1:71" ht="15.75">
      <c r="A83" s="131"/>
      <c r="B83" s="131"/>
      <c r="C83" s="131"/>
      <c r="D83" s="131"/>
      <c r="E83" s="131"/>
      <c r="F83" s="131"/>
      <c r="G83" s="131"/>
      <c r="H83" s="131"/>
      <c r="I83" s="131"/>
      <c r="J83" s="131"/>
      <c r="K83" s="131"/>
      <c r="L83" s="131"/>
      <c r="M83" s="25"/>
      <c r="N83" s="127" t="s">
        <v>235</v>
      </c>
      <c r="O83" s="128"/>
      <c r="P83" s="128"/>
      <c r="Q83" s="128"/>
      <c r="R83" s="128"/>
      <c r="S83" s="128"/>
      <c r="T83" s="128"/>
      <c r="U83" s="128"/>
      <c r="V83" s="128"/>
      <c r="W83" s="128"/>
      <c r="X83" s="128"/>
      <c r="Y83" s="128"/>
      <c r="Z83" s="128"/>
      <c r="AA83" s="128"/>
      <c r="AB83" s="128"/>
      <c r="AC83" s="128"/>
      <c r="AD83" s="128"/>
      <c r="AE83" s="128">
        <v>0</v>
      </c>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30"/>
    </row>
    <row r="84" spans="1:71" ht="15.75">
      <c r="A84" s="131"/>
      <c r="B84" s="131"/>
      <c r="C84" s="131"/>
      <c r="D84" s="131"/>
      <c r="E84" s="131"/>
      <c r="F84" s="131"/>
      <c r="G84" s="131"/>
      <c r="H84" s="131"/>
      <c r="I84" s="131"/>
      <c r="J84" s="131"/>
      <c r="K84" s="131"/>
      <c r="L84" s="131"/>
      <c r="M84" s="25"/>
      <c r="N84" s="134" t="s">
        <v>157</v>
      </c>
      <c r="O84" s="128">
        <v>0</v>
      </c>
      <c r="P84" s="128">
        <v>0</v>
      </c>
      <c r="Q84" s="128"/>
      <c r="R84" s="128">
        <v>0</v>
      </c>
      <c r="S84" s="128">
        <v>0</v>
      </c>
      <c r="T84" s="128">
        <v>0</v>
      </c>
      <c r="U84" s="128">
        <v>0</v>
      </c>
      <c r="V84" s="128">
        <v>0</v>
      </c>
      <c r="W84" s="128">
        <v>0</v>
      </c>
      <c r="X84" s="128">
        <v>0</v>
      </c>
      <c r="Y84" s="128">
        <v>0</v>
      </c>
      <c r="Z84" s="128">
        <v>0</v>
      </c>
      <c r="AA84" s="128">
        <v>0</v>
      </c>
      <c r="AB84" s="128">
        <v>0</v>
      </c>
      <c r="AC84" s="128">
        <v>0</v>
      </c>
      <c r="AD84" s="128">
        <v>0</v>
      </c>
      <c r="AE84" s="128">
        <v>299.67000543733872</v>
      </c>
      <c r="AF84" s="128">
        <v>299.67000543733872</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0</v>
      </c>
      <c r="AV84" s="128">
        <v>0</v>
      </c>
      <c r="AW84" s="128">
        <v>0</v>
      </c>
      <c r="AX84" s="128">
        <v>0</v>
      </c>
      <c r="AY84" s="128">
        <v>0</v>
      </c>
      <c r="AZ84" s="128">
        <v>0</v>
      </c>
      <c r="BA84" s="128">
        <v>0</v>
      </c>
      <c r="BB84" s="128">
        <v>0</v>
      </c>
      <c r="BC84" s="128">
        <v>0</v>
      </c>
      <c r="BD84" s="128">
        <v>0</v>
      </c>
      <c r="BE84" s="128">
        <v>0</v>
      </c>
      <c r="BF84" s="128">
        <v>0</v>
      </c>
      <c r="BG84" s="128">
        <v>0</v>
      </c>
      <c r="BH84" s="128">
        <v>0</v>
      </c>
      <c r="BI84" s="128">
        <v>15743.190218805079</v>
      </c>
      <c r="BJ84" s="128">
        <v>844.61202600704803</v>
      </c>
      <c r="BK84" s="128">
        <v>0</v>
      </c>
      <c r="BL84" s="128">
        <v>1074.994446846968</v>
      </c>
      <c r="BM84" s="128">
        <v>0</v>
      </c>
      <c r="BN84" s="128">
        <v>5132.1599698256759</v>
      </c>
      <c r="BO84" s="128">
        <v>0</v>
      </c>
      <c r="BP84" s="128">
        <v>0</v>
      </c>
      <c r="BQ84" s="128">
        <v>0</v>
      </c>
      <c r="BR84" s="128">
        <v>253225.45323282038</v>
      </c>
      <c r="BS84" s="130">
        <v>0</v>
      </c>
    </row>
    <row r="85" spans="1:71" ht="15.75">
      <c r="A85" s="131"/>
      <c r="B85" s="131" t="str">
        <f t="shared" ref="B85:I85" si="1">B2</f>
        <v>Coal</v>
      </c>
      <c r="C85" s="131" t="str">
        <f t="shared" si="1"/>
        <v>Crude Oil</v>
      </c>
      <c r="D85" s="131" t="str">
        <f t="shared" si="1"/>
        <v>Petroleum Products</v>
      </c>
      <c r="E85" s="131" t="str">
        <f t="shared" si="1"/>
        <v>Gas</v>
      </c>
      <c r="F85" s="131" t="str">
        <f t="shared" si="1"/>
        <v>Nuclear</v>
      </c>
      <c r="G85" s="131" t="str">
        <f t="shared" si="1"/>
        <v>Hydro</v>
      </c>
      <c r="H85" s="131" t="str">
        <f t="shared" si="1"/>
        <v>Geothermal solar etc</v>
      </c>
      <c r="I85" s="131" t="str">
        <f t="shared" si="1"/>
        <v>Renewables &amp; Waste</v>
      </c>
      <c r="J85" s="131"/>
      <c r="K85" s="131"/>
      <c r="L85" s="131"/>
      <c r="M85" s="25"/>
      <c r="N85" s="127" t="s">
        <v>158</v>
      </c>
      <c r="O85" s="128">
        <v>0</v>
      </c>
      <c r="P85" s="128"/>
      <c r="Q85" s="128"/>
      <c r="R85" s="128"/>
      <c r="S85" s="128"/>
      <c r="T85" s="128"/>
      <c r="U85" s="128"/>
      <c r="V85" s="128"/>
      <c r="W85" s="128"/>
      <c r="X85" s="128"/>
      <c r="Y85" s="128"/>
      <c r="Z85" s="128"/>
      <c r="AA85" s="128"/>
      <c r="AB85" s="128"/>
      <c r="AC85" s="128"/>
      <c r="AD85" s="128"/>
      <c r="AE85" s="128">
        <v>0</v>
      </c>
      <c r="AF85" s="128"/>
      <c r="AG85" s="128"/>
      <c r="AH85" s="128"/>
      <c r="AI85" s="128"/>
      <c r="AJ85" s="128"/>
      <c r="AK85" s="128">
        <v>0</v>
      </c>
      <c r="AL85" s="128"/>
      <c r="AM85" s="128"/>
      <c r="AN85" s="128"/>
      <c r="AO85" s="128"/>
      <c r="AP85" s="128"/>
      <c r="AQ85" s="128"/>
      <c r="AR85" s="128"/>
      <c r="AS85" s="128"/>
      <c r="AT85" s="128"/>
      <c r="AU85" s="128"/>
      <c r="AV85" s="128"/>
      <c r="AW85" s="128"/>
      <c r="AX85" s="128"/>
      <c r="AY85" s="128"/>
      <c r="AZ85" s="128"/>
      <c r="BA85" s="128"/>
      <c r="BB85" s="128"/>
      <c r="BC85" s="128"/>
      <c r="BD85" s="128"/>
      <c r="BE85" s="128"/>
      <c r="BF85" s="128"/>
      <c r="BG85" s="128"/>
      <c r="BH85" s="128"/>
      <c r="BI85" s="128">
        <v>15743.190218805079</v>
      </c>
      <c r="BJ85" s="149">
        <v>704.26202227237684</v>
      </c>
      <c r="BK85" s="128"/>
      <c r="BL85" s="128"/>
      <c r="BM85" s="128"/>
      <c r="BN85" s="128">
        <v>342.68999137343059</v>
      </c>
      <c r="BO85" s="128"/>
      <c r="BP85" s="128"/>
      <c r="BQ85" s="128"/>
      <c r="BR85" s="128">
        <v>233169.53294788874</v>
      </c>
      <c r="BS85" s="130"/>
    </row>
    <row r="86" spans="1:71" ht="15.75">
      <c r="A86" s="25">
        <f t="shared" ref="A86:A87" si="2">SUM(B86:J86)</f>
        <v>6679947.2599999988</v>
      </c>
      <c r="B86" s="25">
        <f t="shared" ref="B86:I86" si="3">B9</f>
        <v>4040916.4</v>
      </c>
      <c r="C86" s="25">
        <f t="shared" si="3"/>
        <v>733832.04</v>
      </c>
      <c r="D86" s="25">
        <f t="shared" si="3"/>
        <v>239408.43</v>
      </c>
      <c r="E86" s="25">
        <f t="shared" si="3"/>
        <v>149196.5</v>
      </c>
      <c r="F86" s="25">
        <f t="shared" si="3"/>
        <v>171743.84</v>
      </c>
      <c r="G86" s="25">
        <f t="shared" si="3"/>
        <v>3040.6</v>
      </c>
      <c r="H86" s="25">
        <f t="shared" si="3"/>
        <v>32407.7</v>
      </c>
      <c r="I86" s="25">
        <f t="shared" si="3"/>
        <v>1309401.75</v>
      </c>
      <c r="J86" s="25"/>
      <c r="K86" s="25"/>
      <c r="L86" s="25"/>
      <c r="M86" s="25"/>
      <c r="N86" s="127" t="s">
        <v>159</v>
      </c>
      <c r="O86" s="128">
        <v>0</v>
      </c>
      <c r="P86" s="128"/>
      <c r="Q86" s="128"/>
      <c r="R86" s="128"/>
      <c r="S86" s="128"/>
      <c r="T86" s="128"/>
      <c r="U86" s="128"/>
      <c r="V86" s="128"/>
      <c r="W86" s="128"/>
      <c r="X86" s="128"/>
      <c r="Y86" s="128"/>
      <c r="Z86" s="128"/>
      <c r="AA86" s="128"/>
      <c r="AB86" s="128"/>
      <c r="AC86" s="128"/>
      <c r="AD86" s="128"/>
      <c r="AE86" s="128">
        <v>299.67000543733872</v>
      </c>
      <c r="AF86" s="128">
        <v>299.67000543733872</v>
      </c>
      <c r="AG86" s="128"/>
      <c r="AH86" s="128"/>
      <c r="AI86" s="128"/>
      <c r="AJ86" s="128"/>
      <c r="AK86" s="128">
        <v>0</v>
      </c>
      <c r="AL86" s="128"/>
      <c r="AM86" s="128"/>
      <c r="AN86" s="128"/>
      <c r="AO86" s="128"/>
      <c r="AP86" s="128"/>
      <c r="AQ86" s="128"/>
      <c r="AR86" s="128"/>
      <c r="AS86" s="128"/>
      <c r="AT86" s="128"/>
      <c r="AU86" s="128"/>
      <c r="AV86" s="128"/>
      <c r="AW86" s="128"/>
      <c r="AX86" s="128"/>
      <c r="AY86" s="128"/>
      <c r="AZ86" s="128"/>
      <c r="BA86" s="128"/>
      <c r="BB86" s="128"/>
      <c r="BC86" s="128"/>
      <c r="BD86" s="128"/>
      <c r="BE86" s="128"/>
      <c r="BF86" s="128"/>
      <c r="BG86" s="128"/>
      <c r="BH86" s="128"/>
      <c r="BI86" s="128"/>
      <c r="BJ86" s="128">
        <v>140.35000373467116</v>
      </c>
      <c r="BK86" s="128"/>
      <c r="BL86" s="128">
        <v>1074.994446846968</v>
      </c>
      <c r="BM86" s="128"/>
      <c r="BN86" s="128">
        <v>4789.4699784522454</v>
      </c>
      <c r="BO86" s="128"/>
      <c r="BP86" s="128"/>
      <c r="BQ86" s="128"/>
      <c r="BR86" s="128">
        <v>20055.920284931643</v>
      </c>
      <c r="BS86" s="130"/>
    </row>
    <row r="87" spans="1:71" ht="15.75">
      <c r="A87" s="25">
        <f t="shared" si="2"/>
        <v>6679.9472600000008</v>
      </c>
      <c r="B87" s="25">
        <f t="shared" ref="B87:I87" si="4">B86/1000</f>
        <v>4040.9164000000001</v>
      </c>
      <c r="C87" s="25">
        <f t="shared" si="4"/>
        <v>733.83204000000001</v>
      </c>
      <c r="D87" s="25">
        <f t="shared" si="4"/>
        <v>239.40842999999998</v>
      </c>
      <c r="E87" s="25">
        <f t="shared" si="4"/>
        <v>149.19649999999999</v>
      </c>
      <c r="F87" s="25">
        <f t="shared" si="4"/>
        <v>171.74384000000001</v>
      </c>
      <c r="G87" s="25">
        <f t="shared" si="4"/>
        <v>3.0406</v>
      </c>
      <c r="H87" s="25">
        <f t="shared" si="4"/>
        <v>32.407699999999998</v>
      </c>
      <c r="I87" s="25">
        <f t="shared" si="4"/>
        <v>1309.40175</v>
      </c>
      <c r="J87" s="25"/>
      <c r="K87" s="25"/>
      <c r="L87" s="25"/>
      <c r="M87" s="25"/>
      <c r="N87" s="127" t="s">
        <v>160</v>
      </c>
      <c r="O87" s="128">
        <v>0</v>
      </c>
      <c r="P87" s="128"/>
      <c r="Q87" s="128"/>
      <c r="R87" s="128"/>
      <c r="S87" s="128"/>
      <c r="T87" s="128"/>
      <c r="U87" s="128"/>
      <c r="V87" s="128"/>
      <c r="W87" s="128"/>
      <c r="X87" s="128"/>
      <c r="Y87" s="128"/>
      <c r="Z87" s="128"/>
      <c r="AA87" s="128"/>
      <c r="AB87" s="128"/>
      <c r="AC87" s="128"/>
      <c r="AD87" s="128"/>
      <c r="AE87" s="128">
        <v>0</v>
      </c>
      <c r="AF87" s="128"/>
      <c r="AG87" s="128"/>
      <c r="AH87" s="128"/>
      <c r="AI87" s="128"/>
      <c r="AJ87" s="128"/>
      <c r="AK87" s="128">
        <v>0</v>
      </c>
      <c r="AL87" s="128"/>
      <c r="AM87" s="128"/>
      <c r="AN87" s="128"/>
      <c r="AO87" s="128"/>
      <c r="AP87" s="128"/>
      <c r="AQ87" s="128"/>
      <c r="AR87" s="128"/>
      <c r="AS87" s="128"/>
      <c r="AT87" s="128"/>
      <c r="AU87" s="128"/>
      <c r="AV87" s="128"/>
      <c r="AW87" s="128"/>
      <c r="AX87" s="128"/>
      <c r="AY87" s="128"/>
      <c r="AZ87" s="128"/>
      <c r="BA87" s="128"/>
      <c r="BB87" s="128"/>
      <c r="BC87" s="128"/>
      <c r="BD87" s="128"/>
      <c r="BE87" s="128"/>
      <c r="BF87" s="128"/>
      <c r="BG87" s="128"/>
      <c r="BH87" s="128"/>
      <c r="BI87" s="128"/>
      <c r="BJ87" s="128"/>
      <c r="BK87" s="128"/>
      <c r="BL87" s="128"/>
      <c r="BM87" s="128"/>
      <c r="BN87" s="128"/>
      <c r="BO87" s="128"/>
      <c r="BP87" s="128"/>
      <c r="BQ87" s="128"/>
      <c r="BR87" s="128"/>
      <c r="BS87" s="130"/>
    </row>
    <row r="88" spans="1:71" ht="15.75">
      <c r="A88" s="25"/>
      <c r="B88" s="25"/>
      <c r="C88" s="25"/>
      <c r="D88" s="25"/>
      <c r="E88" s="25"/>
      <c r="F88" s="25"/>
      <c r="G88" s="25"/>
      <c r="H88" s="25"/>
      <c r="I88" s="25"/>
      <c r="J88" s="25"/>
      <c r="K88" s="25"/>
      <c r="L88" s="25"/>
      <c r="M88" s="25"/>
      <c r="N88" s="127" t="s">
        <v>161</v>
      </c>
      <c r="O88" s="128">
        <v>0</v>
      </c>
      <c r="P88" s="128"/>
      <c r="Q88" s="128"/>
      <c r="R88" s="128"/>
      <c r="S88" s="128"/>
      <c r="T88" s="128"/>
      <c r="U88" s="128"/>
      <c r="V88" s="128"/>
      <c r="W88" s="128"/>
      <c r="X88" s="128"/>
      <c r="Y88" s="128"/>
      <c r="Z88" s="128"/>
      <c r="AA88" s="128"/>
      <c r="AB88" s="128"/>
      <c r="AC88" s="128"/>
      <c r="AD88" s="128"/>
      <c r="AE88" s="128">
        <v>0</v>
      </c>
      <c r="AF88" s="128"/>
      <c r="AG88" s="128"/>
      <c r="AH88" s="128"/>
      <c r="AI88" s="128"/>
      <c r="AJ88" s="128"/>
      <c r="AK88" s="128">
        <v>0</v>
      </c>
      <c r="AL88" s="128"/>
      <c r="AM88" s="128"/>
      <c r="AN88" s="128"/>
      <c r="AO88" s="128"/>
      <c r="AP88" s="128"/>
      <c r="AQ88" s="128"/>
      <c r="AR88" s="128"/>
      <c r="AS88" s="128"/>
      <c r="AT88" s="128"/>
      <c r="AU88" s="128"/>
      <c r="AV88" s="128"/>
      <c r="AW88" s="128"/>
      <c r="AX88" s="128"/>
      <c r="AY88" s="128"/>
      <c r="AZ88" s="128"/>
      <c r="BA88" s="128"/>
      <c r="BB88" s="128"/>
      <c r="BC88" s="128"/>
      <c r="BD88" s="128"/>
      <c r="BE88" s="128"/>
      <c r="BF88" s="128"/>
      <c r="BG88" s="128"/>
      <c r="BH88" s="128"/>
      <c r="BI88" s="128"/>
      <c r="BJ88" s="128"/>
      <c r="BK88" s="128"/>
      <c r="BL88" s="128"/>
      <c r="BM88" s="128"/>
      <c r="BN88" s="128"/>
      <c r="BO88" s="128"/>
      <c r="BP88" s="128"/>
      <c r="BQ88" s="128"/>
      <c r="BR88" s="128"/>
      <c r="BS88" s="130"/>
    </row>
    <row r="89" spans="1:71" ht="15.75">
      <c r="A89" s="25"/>
      <c r="B89" s="25"/>
      <c r="C89" s="25"/>
      <c r="D89" s="25"/>
      <c r="E89" s="25"/>
      <c r="F89" s="25"/>
      <c r="G89" s="25"/>
      <c r="H89" s="25"/>
      <c r="I89" s="25"/>
      <c r="J89" s="25"/>
      <c r="K89" s="25"/>
      <c r="L89" s="25"/>
      <c r="M89" s="25"/>
      <c r="N89" s="127" t="s">
        <v>235</v>
      </c>
      <c r="O89" s="140"/>
      <c r="P89" s="128"/>
      <c r="Q89" s="128"/>
      <c r="R89" s="128"/>
      <c r="S89" s="128"/>
      <c r="T89" s="128"/>
      <c r="U89" s="128"/>
      <c r="V89" s="128"/>
      <c r="W89" s="128"/>
      <c r="X89" s="128"/>
      <c r="Y89" s="128"/>
      <c r="Z89" s="128"/>
      <c r="AA89" s="128"/>
      <c r="AB89" s="128"/>
      <c r="AC89" s="128"/>
      <c r="AD89" s="128"/>
      <c r="AE89" s="128"/>
      <c r="AF89" s="128"/>
      <c r="AG89" s="128"/>
      <c r="AH89" s="128"/>
      <c r="AI89" s="128"/>
      <c r="AJ89" s="128"/>
      <c r="AK89" s="128"/>
      <c r="AL89" s="128"/>
      <c r="AM89" s="128"/>
      <c r="AN89" s="128"/>
      <c r="AO89" s="128"/>
      <c r="AP89" s="128"/>
      <c r="AQ89" s="128"/>
      <c r="AR89" s="128"/>
      <c r="AS89" s="128"/>
      <c r="AT89" s="128"/>
      <c r="AU89" s="128"/>
      <c r="AV89" s="128"/>
      <c r="AW89" s="128"/>
      <c r="AX89" s="128"/>
      <c r="AY89" s="128"/>
      <c r="AZ89" s="128"/>
      <c r="BA89" s="128"/>
      <c r="BB89" s="128"/>
      <c r="BC89" s="128"/>
      <c r="BD89" s="128"/>
      <c r="BE89" s="128"/>
      <c r="BF89" s="128"/>
      <c r="BG89" s="128"/>
      <c r="BH89" s="128"/>
      <c r="BI89" s="128"/>
      <c r="BJ89" s="128"/>
      <c r="BK89" s="128"/>
      <c r="BL89" s="128"/>
      <c r="BM89" s="128"/>
      <c r="BN89" s="128"/>
      <c r="BO89" s="128"/>
      <c r="BP89" s="128"/>
      <c r="BQ89" s="128"/>
      <c r="BR89" s="128"/>
      <c r="BS89" s="130"/>
    </row>
    <row r="90" spans="1:71" ht="15.75">
      <c r="A90" s="25"/>
      <c r="B90" s="150" t="s">
        <v>4</v>
      </c>
      <c r="C90" s="150" t="s">
        <v>3</v>
      </c>
      <c r="D90" s="150" t="s">
        <v>9</v>
      </c>
      <c r="E90" s="150" t="s">
        <v>95</v>
      </c>
      <c r="F90" s="150" t="s">
        <v>254</v>
      </c>
      <c r="G90" s="150"/>
      <c r="H90" s="25"/>
      <c r="I90" s="25"/>
      <c r="J90" s="25"/>
      <c r="K90" s="25"/>
      <c r="L90" s="25"/>
      <c r="M90" s="25"/>
      <c r="N90" s="127" t="s">
        <v>162</v>
      </c>
      <c r="O90" s="128">
        <v>0</v>
      </c>
      <c r="P90" s="128"/>
      <c r="Q90" s="128"/>
      <c r="R90" s="128"/>
      <c r="S90" s="128"/>
      <c r="T90" s="128"/>
      <c r="U90" s="128"/>
      <c r="V90" s="128"/>
      <c r="W90" s="128"/>
      <c r="X90" s="128"/>
      <c r="Y90" s="128"/>
      <c r="Z90" s="128"/>
      <c r="AA90" s="128"/>
      <c r="AB90" s="128"/>
      <c r="AC90" s="128"/>
      <c r="AD90" s="128"/>
      <c r="AE90" s="128">
        <v>0</v>
      </c>
      <c r="AF90" s="128"/>
      <c r="AG90" s="128"/>
      <c r="AH90" s="128"/>
      <c r="AI90" s="128"/>
      <c r="AJ90" s="128"/>
      <c r="AK90" s="128">
        <v>0</v>
      </c>
      <c r="AL90" s="128"/>
      <c r="AM90" s="128"/>
      <c r="AN90" s="128"/>
      <c r="AO90" s="128"/>
      <c r="AP90" s="128"/>
      <c r="AQ90" s="128"/>
      <c r="AR90" s="128"/>
      <c r="AS90" s="128"/>
      <c r="AT90" s="128"/>
      <c r="AU90" s="128"/>
      <c r="AV90" s="128"/>
      <c r="AW90" s="128"/>
      <c r="AX90" s="128"/>
      <c r="AY90" s="128"/>
      <c r="AZ90" s="128"/>
      <c r="BA90" s="128"/>
      <c r="BB90" s="128"/>
      <c r="BC90" s="128"/>
      <c r="BD90" s="128"/>
      <c r="BE90" s="128"/>
      <c r="BF90" s="128"/>
      <c r="BG90" s="128"/>
      <c r="BH90" s="128"/>
      <c r="BI90" s="128"/>
      <c r="BJ90" s="128"/>
      <c r="BK90" s="128"/>
      <c r="BL90" s="128"/>
      <c r="BM90" s="128"/>
      <c r="BN90" s="128"/>
      <c r="BO90" s="128"/>
      <c r="BP90" s="128"/>
      <c r="BQ90" s="128"/>
      <c r="BR90" s="128"/>
      <c r="BS90" s="130"/>
    </row>
    <row r="91" spans="1:71" ht="15.75">
      <c r="A91" s="25">
        <f>SUM(B91:J91)</f>
        <v>5131.1370800000004</v>
      </c>
      <c r="B91" s="25">
        <f t="shared" ref="B91:C91" si="5">B87</f>
        <v>4040.9164000000001</v>
      </c>
      <c r="C91" s="25">
        <f t="shared" si="5"/>
        <v>733.83204000000001</v>
      </c>
      <c r="D91" s="25">
        <f t="shared" ref="D91:E91" si="6">E87</f>
        <v>149.19649999999999</v>
      </c>
      <c r="E91" s="25">
        <f t="shared" si="6"/>
        <v>171.74384000000001</v>
      </c>
      <c r="F91" s="25">
        <f>G87+H87</f>
        <v>35.448299999999996</v>
      </c>
      <c r="G91" s="25"/>
      <c r="H91" s="25"/>
      <c r="I91" s="25"/>
      <c r="J91" s="25"/>
      <c r="K91" s="25"/>
      <c r="L91" s="25"/>
      <c r="M91" s="25"/>
      <c r="N91" s="127" t="s">
        <v>163</v>
      </c>
      <c r="O91" s="128">
        <v>0</v>
      </c>
      <c r="P91" s="128"/>
      <c r="Q91" s="128"/>
      <c r="R91" s="128"/>
      <c r="S91" s="128"/>
      <c r="T91" s="128"/>
      <c r="U91" s="128"/>
      <c r="V91" s="128"/>
      <c r="W91" s="128"/>
      <c r="X91" s="128"/>
      <c r="Y91" s="128"/>
      <c r="Z91" s="128"/>
      <c r="AA91" s="128"/>
      <c r="AB91" s="128"/>
      <c r="AC91" s="128"/>
      <c r="AD91" s="128"/>
      <c r="AE91" s="128">
        <v>0</v>
      </c>
      <c r="AF91" s="128"/>
      <c r="AG91" s="128"/>
      <c r="AH91" s="128"/>
      <c r="AI91" s="128"/>
      <c r="AJ91" s="128"/>
      <c r="AK91" s="128">
        <v>0</v>
      </c>
      <c r="AL91" s="128"/>
      <c r="AM91" s="128"/>
      <c r="AN91" s="128"/>
      <c r="AO91" s="128"/>
      <c r="AP91" s="128"/>
      <c r="AQ91" s="128"/>
      <c r="AR91" s="128"/>
      <c r="AS91" s="128"/>
      <c r="AT91" s="128"/>
      <c r="AU91" s="128"/>
      <c r="AV91" s="128"/>
      <c r="AW91" s="128"/>
      <c r="AX91" s="128"/>
      <c r="AY91" s="128"/>
      <c r="AZ91" s="128"/>
      <c r="BA91" s="128"/>
      <c r="BB91" s="128"/>
      <c r="BC91" s="128"/>
      <c r="BD91" s="128"/>
      <c r="BE91" s="128"/>
      <c r="BF91" s="128"/>
      <c r="BG91" s="128"/>
      <c r="BH91" s="128"/>
      <c r="BI91" s="128"/>
      <c r="BJ91" s="128"/>
      <c r="BK91" s="128"/>
      <c r="BL91" s="128"/>
      <c r="BM91" s="128"/>
      <c r="BN91" s="128"/>
      <c r="BO91" s="128"/>
      <c r="BP91" s="128"/>
      <c r="BQ91" s="128"/>
      <c r="BR91" s="128"/>
      <c r="BS91" s="130"/>
    </row>
    <row r="92" spans="1:71" ht="15.75">
      <c r="A92" s="25"/>
      <c r="B92" s="151">
        <f t="shared" ref="B92:F92" si="7">B91/$A$91</f>
        <v>0.78752844389025756</v>
      </c>
      <c r="C92" s="151">
        <f t="shared" si="7"/>
        <v>0.14301548147296816</v>
      </c>
      <c r="D92" s="151">
        <f t="shared" si="7"/>
        <v>2.9076693464599464E-2</v>
      </c>
      <c r="E92" s="151">
        <f t="shared" si="7"/>
        <v>3.3470912455139473E-2</v>
      </c>
      <c r="F92" s="151">
        <f t="shared" si="7"/>
        <v>6.908468717035327E-3</v>
      </c>
      <c r="G92" s="25"/>
      <c r="H92" s="25"/>
      <c r="I92" s="25"/>
      <c r="J92" s="25"/>
      <c r="K92" s="25"/>
      <c r="L92" s="25"/>
      <c r="M92" s="25"/>
      <c r="N92" s="127" t="s">
        <v>164</v>
      </c>
      <c r="O92" s="128">
        <v>0</v>
      </c>
      <c r="P92" s="128"/>
      <c r="Q92" s="128"/>
      <c r="R92" s="128"/>
      <c r="S92" s="128"/>
      <c r="T92" s="128"/>
      <c r="U92" s="128"/>
      <c r="V92" s="128"/>
      <c r="W92" s="128"/>
      <c r="X92" s="128"/>
      <c r="Y92" s="128"/>
      <c r="Z92" s="128"/>
      <c r="AA92" s="128"/>
      <c r="AB92" s="128"/>
      <c r="AC92" s="128"/>
      <c r="AD92" s="128"/>
      <c r="AE92" s="128">
        <v>0</v>
      </c>
      <c r="AF92" s="128"/>
      <c r="AG92" s="128"/>
      <c r="AH92" s="128"/>
      <c r="AI92" s="128"/>
      <c r="AJ92" s="128"/>
      <c r="AK92" s="128">
        <v>0</v>
      </c>
      <c r="AL92" s="128"/>
      <c r="AM92" s="128"/>
      <c r="AN92" s="128"/>
      <c r="AO92" s="128"/>
      <c r="AP92" s="128"/>
      <c r="AQ92" s="128"/>
      <c r="AR92" s="128"/>
      <c r="AS92" s="128"/>
      <c r="AT92" s="128"/>
      <c r="AU92" s="128"/>
      <c r="AV92" s="128"/>
      <c r="AW92" s="128"/>
      <c r="AX92" s="128"/>
      <c r="AY92" s="128"/>
      <c r="AZ92" s="128"/>
      <c r="BA92" s="128"/>
      <c r="BB92" s="128"/>
      <c r="BC92" s="128"/>
      <c r="BD92" s="128"/>
      <c r="BE92" s="128"/>
      <c r="BF92" s="128"/>
      <c r="BG92" s="128"/>
      <c r="BH92" s="128"/>
      <c r="BI92" s="128"/>
      <c r="BJ92" s="128"/>
      <c r="BK92" s="128"/>
      <c r="BL92" s="128"/>
      <c r="BM92" s="128"/>
      <c r="BN92" s="128"/>
      <c r="BO92" s="128"/>
      <c r="BP92" s="128"/>
      <c r="BQ92" s="128"/>
      <c r="BR92" s="128"/>
      <c r="BS92" s="130"/>
    </row>
    <row r="93" spans="1:71" ht="15.75">
      <c r="A93" s="25"/>
      <c r="B93" s="25"/>
      <c r="C93" s="25"/>
      <c r="D93" s="25"/>
      <c r="E93" s="25"/>
      <c r="F93" s="25"/>
      <c r="G93" s="25"/>
      <c r="H93" s="25"/>
      <c r="I93" s="25"/>
      <c r="J93" s="25"/>
      <c r="K93" s="25"/>
      <c r="L93" s="25"/>
      <c r="M93" s="25"/>
      <c r="N93" s="127" t="s">
        <v>165</v>
      </c>
      <c r="O93" s="128">
        <v>0</v>
      </c>
      <c r="P93" s="128"/>
      <c r="Q93" s="128"/>
      <c r="R93" s="128"/>
      <c r="S93" s="128"/>
      <c r="T93" s="128"/>
      <c r="U93" s="128"/>
      <c r="V93" s="128"/>
      <c r="W93" s="128"/>
      <c r="X93" s="128"/>
      <c r="Y93" s="128"/>
      <c r="Z93" s="128"/>
      <c r="AA93" s="128"/>
      <c r="AB93" s="128"/>
      <c r="AC93" s="128"/>
      <c r="AD93" s="128"/>
      <c r="AE93" s="128">
        <v>0</v>
      </c>
      <c r="AF93" s="128"/>
      <c r="AG93" s="128"/>
      <c r="AH93" s="128"/>
      <c r="AI93" s="128"/>
      <c r="AJ93" s="128"/>
      <c r="AK93" s="128">
        <v>0</v>
      </c>
      <c r="AL93" s="128"/>
      <c r="AM93" s="128"/>
      <c r="AN93" s="128"/>
      <c r="AO93" s="128"/>
      <c r="AP93" s="128"/>
      <c r="AQ93" s="128"/>
      <c r="AR93" s="128"/>
      <c r="AS93" s="128"/>
      <c r="AT93" s="128"/>
      <c r="AU93" s="128"/>
      <c r="AV93" s="128"/>
      <c r="AW93" s="128"/>
      <c r="AX93" s="128"/>
      <c r="AY93" s="128"/>
      <c r="AZ93" s="128"/>
      <c r="BA93" s="128"/>
      <c r="BB93" s="128"/>
      <c r="BC93" s="128"/>
      <c r="BD93" s="128"/>
      <c r="BE93" s="128"/>
      <c r="BF93" s="128"/>
      <c r="BG93" s="128"/>
      <c r="BH93" s="128"/>
      <c r="BI93" s="128"/>
      <c r="BJ93" s="128"/>
      <c r="BK93" s="128"/>
      <c r="BL93" s="128"/>
      <c r="BM93" s="128"/>
      <c r="BN93" s="128"/>
      <c r="BO93" s="128"/>
      <c r="BP93" s="128"/>
      <c r="BQ93" s="128"/>
      <c r="BR93" s="128"/>
      <c r="BS93" s="130"/>
    </row>
    <row r="94" spans="1:71" ht="15.75">
      <c r="A94" s="25"/>
      <c r="B94" s="25"/>
      <c r="C94" s="25"/>
      <c r="D94" s="25"/>
      <c r="E94" s="25"/>
      <c r="F94" s="25"/>
      <c r="G94" s="25"/>
      <c r="H94" s="25"/>
      <c r="I94" s="25"/>
      <c r="J94" s="25"/>
      <c r="K94" s="25"/>
      <c r="L94" s="25"/>
      <c r="M94" s="25"/>
      <c r="N94" s="134" t="s">
        <v>166</v>
      </c>
      <c r="O94" s="135">
        <v>0</v>
      </c>
      <c r="P94" s="135">
        <v>0</v>
      </c>
      <c r="Q94" s="135"/>
      <c r="R94" s="135">
        <v>0</v>
      </c>
      <c r="S94" s="135">
        <v>0</v>
      </c>
      <c r="T94" s="135">
        <v>0</v>
      </c>
      <c r="U94" s="135">
        <v>0</v>
      </c>
      <c r="V94" s="135">
        <v>0</v>
      </c>
      <c r="W94" s="135">
        <v>0</v>
      </c>
      <c r="X94" s="135">
        <v>0</v>
      </c>
      <c r="Y94" s="135">
        <v>0</v>
      </c>
      <c r="Z94" s="135">
        <v>0</v>
      </c>
      <c r="AA94" s="135">
        <v>0</v>
      </c>
      <c r="AB94" s="135">
        <v>0</v>
      </c>
      <c r="AC94" s="135">
        <v>0</v>
      </c>
      <c r="AD94" s="135">
        <v>0</v>
      </c>
      <c r="AE94" s="135">
        <v>0</v>
      </c>
      <c r="AF94" s="135">
        <v>0</v>
      </c>
      <c r="AG94" s="135">
        <v>0</v>
      </c>
      <c r="AH94" s="135">
        <v>0</v>
      </c>
      <c r="AI94" s="135">
        <v>0</v>
      </c>
      <c r="AJ94" s="135">
        <v>0</v>
      </c>
      <c r="AK94" s="135">
        <v>0</v>
      </c>
      <c r="AL94" s="135">
        <v>0</v>
      </c>
      <c r="AM94" s="135">
        <v>0</v>
      </c>
      <c r="AN94" s="135">
        <v>0</v>
      </c>
      <c r="AO94" s="135">
        <v>0</v>
      </c>
      <c r="AP94" s="135">
        <v>0</v>
      </c>
      <c r="AQ94" s="135">
        <v>0</v>
      </c>
      <c r="AR94" s="135">
        <v>0</v>
      </c>
      <c r="AS94" s="135">
        <v>0</v>
      </c>
      <c r="AT94" s="135">
        <v>0</v>
      </c>
      <c r="AU94" s="135">
        <v>0</v>
      </c>
      <c r="AV94" s="135">
        <v>0</v>
      </c>
      <c r="AW94" s="135">
        <v>0</v>
      </c>
      <c r="AX94" s="135">
        <v>0</v>
      </c>
      <c r="AY94" s="135">
        <v>0</v>
      </c>
      <c r="AZ94" s="135">
        <v>0</v>
      </c>
      <c r="BA94" s="135">
        <v>0</v>
      </c>
      <c r="BB94" s="135">
        <v>0</v>
      </c>
      <c r="BC94" s="135">
        <v>0</v>
      </c>
      <c r="BD94" s="135">
        <v>0</v>
      </c>
      <c r="BE94" s="135">
        <v>0</v>
      </c>
      <c r="BF94" s="135">
        <v>0</v>
      </c>
      <c r="BG94" s="135">
        <v>0</v>
      </c>
      <c r="BH94" s="135">
        <v>0</v>
      </c>
      <c r="BI94" s="135">
        <v>0</v>
      </c>
      <c r="BJ94" s="135">
        <v>0</v>
      </c>
      <c r="BK94" s="135">
        <v>0</v>
      </c>
      <c r="BL94" s="135">
        <v>0</v>
      </c>
      <c r="BM94" s="135">
        <v>0</v>
      </c>
      <c r="BN94" s="135">
        <v>0</v>
      </c>
      <c r="BO94" s="135">
        <v>0</v>
      </c>
      <c r="BP94" s="135">
        <v>0</v>
      </c>
      <c r="BQ94" s="135">
        <v>0</v>
      </c>
      <c r="BR94" s="136">
        <v>0</v>
      </c>
      <c r="BS94" s="136">
        <v>0</v>
      </c>
    </row>
    <row r="95" spans="1:71" ht="15.75">
      <c r="A95" s="25"/>
      <c r="B95" s="25"/>
      <c r="C95" s="25"/>
      <c r="D95" s="25"/>
      <c r="E95" s="25"/>
      <c r="F95" s="25"/>
      <c r="G95" s="25"/>
      <c r="H95" s="25"/>
      <c r="I95" s="25"/>
      <c r="J95" s="25"/>
      <c r="K95" s="25"/>
      <c r="L95" s="25"/>
      <c r="M95" s="25"/>
      <c r="N95" s="127" t="s">
        <v>235</v>
      </c>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c r="BA95" s="128"/>
      <c r="BB95" s="128"/>
      <c r="BC95" s="128"/>
      <c r="BD95" s="128"/>
      <c r="BE95" s="128"/>
      <c r="BF95" s="128"/>
      <c r="BG95" s="128"/>
      <c r="BH95" s="128"/>
      <c r="BI95" s="128"/>
      <c r="BJ95" s="128"/>
      <c r="BK95" s="128"/>
      <c r="BL95" s="128"/>
      <c r="BM95" s="128"/>
      <c r="BN95" s="128"/>
      <c r="BO95" s="128"/>
      <c r="BP95" s="128"/>
      <c r="BQ95" s="128"/>
      <c r="BR95" s="128"/>
      <c r="BS95" s="130"/>
    </row>
    <row r="96" spans="1:71" ht="15.75">
      <c r="A96" s="152" t="s">
        <v>4</v>
      </c>
      <c r="B96" s="153">
        <v>4253.26</v>
      </c>
      <c r="C96" s="154">
        <f t="shared" ref="C96:C101" si="8">B96/$B$104</f>
        <v>0.75079744183131836</v>
      </c>
      <c r="D96" s="25"/>
      <c r="E96" s="25"/>
      <c r="F96" s="25"/>
      <c r="G96" s="25"/>
      <c r="H96" s="25"/>
      <c r="I96" s="25"/>
      <c r="J96" s="25"/>
      <c r="K96" s="25"/>
      <c r="L96" s="25"/>
      <c r="M96" s="25"/>
      <c r="N96" s="127" t="s">
        <v>255</v>
      </c>
      <c r="O96" s="128"/>
      <c r="P96" s="128"/>
      <c r="Q96" s="128"/>
      <c r="R96" s="128"/>
      <c r="S96" s="128"/>
      <c r="T96" s="128"/>
      <c r="U96" s="128"/>
      <c r="V96" s="128"/>
      <c r="W96" s="128"/>
      <c r="X96" s="128"/>
      <c r="Y96" s="128"/>
      <c r="Z96" s="128"/>
      <c r="AA96" s="128"/>
      <c r="AB96" s="128"/>
      <c r="AC96" s="128"/>
      <c r="AD96" s="128"/>
      <c r="AE96" s="128"/>
      <c r="AF96" s="128"/>
      <c r="AG96" s="128"/>
      <c r="AH96" s="128"/>
      <c r="AI96" s="128"/>
      <c r="AJ96" s="128"/>
      <c r="AK96" s="128">
        <v>0</v>
      </c>
      <c r="AL96" s="128"/>
      <c r="AM96" s="128"/>
      <c r="AN96" s="128"/>
      <c r="AO96" s="128"/>
      <c r="AP96" s="128"/>
      <c r="AQ96" s="128"/>
      <c r="AR96" s="128"/>
      <c r="AS96" s="128"/>
      <c r="AT96" s="128"/>
      <c r="AU96" s="128"/>
      <c r="AV96" s="128"/>
      <c r="AW96" s="128"/>
      <c r="AX96" s="128"/>
      <c r="AY96" s="128"/>
      <c r="AZ96" s="128"/>
      <c r="BA96" s="128"/>
      <c r="BB96" s="128"/>
      <c r="BC96" s="128"/>
      <c r="BD96" s="128"/>
      <c r="BE96" s="128"/>
      <c r="BF96" s="128"/>
      <c r="BG96" s="128"/>
      <c r="BH96" s="128"/>
      <c r="BI96" s="128"/>
      <c r="BJ96" s="128">
        <v>14584.659394396693</v>
      </c>
      <c r="BK96" s="128"/>
      <c r="BL96" s="128"/>
      <c r="BM96" s="128"/>
      <c r="BN96" s="128"/>
      <c r="BO96" s="128"/>
      <c r="BP96" s="128"/>
      <c r="BQ96" s="128"/>
      <c r="BR96" s="128">
        <v>14584.659394396693</v>
      </c>
      <c r="BS96" s="130"/>
    </row>
    <row r="97" spans="1:71" ht="15.75">
      <c r="A97" s="155" t="s">
        <v>256</v>
      </c>
      <c r="B97" s="153">
        <v>782.06</v>
      </c>
      <c r="C97" s="154">
        <f t="shared" si="8"/>
        <v>0.13805143521877355</v>
      </c>
      <c r="D97" s="25"/>
      <c r="E97" s="25"/>
      <c r="F97" s="25"/>
      <c r="G97" s="25"/>
      <c r="H97" s="25"/>
      <c r="I97" s="25"/>
      <c r="J97" s="25"/>
      <c r="K97" s="25"/>
      <c r="L97" s="25"/>
      <c r="M97" s="25"/>
      <c r="N97" s="127" t="s">
        <v>235</v>
      </c>
      <c r="O97" s="128"/>
      <c r="P97" s="128"/>
      <c r="Q97" s="128"/>
      <c r="R97" s="128"/>
      <c r="S97" s="128"/>
      <c r="T97" s="128"/>
      <c r="U97" s="128"/>
      <c r="V97" s="128"/>
      <c r="W97" s="128"/>
      <c r="X97" s="128"/>
      <c r="Y97" s="128"/>
      <c r="Z97" s="128"/>
      <c r="AA97" s="128"/>
      <c r="AB97" s="128"/>
      <c r="AC97" s="128"/>
      <c r="AD97" s="128"/>
      <c r="AE97" s="128"/>
      <c r="AF97" s="128"/>
      <c r="AG97" s="128"/>
      <c r="AH97" s="128"/>
      <c r="AI97" s="128"/>
      <c r="AJ97" s="128"/>
      <c r="AK97" s="128"/>
      <c r="AL97" s="128"/>
      <c r="AM97" s="128"/>
      <c r="AN97" s="128"/>
      <c r="AO97" s="128"/>
      <c r="AP97" s="128"/>
      <c r="AQ97" s="128"/>
      <c r="AR97" s="128"/>
      <c r="AS97" s="128"/>
      <c r="AT97" s="128"/>
      <c r="AU97" s="128"/>
      <c r="AV97" s="128"/>
      <c r="AW97" s="128"/>
      <c r="AX97" s="128"/>
      <c r="AY97" s="128"/>
      <c r="AZ97" s="128"/>
      <c r="BA97" s="128"/>
      <c r="BB97" s="128"/>
      <c r="BC97" s="128"/>
      <c r="BD97" s="128"/>
      <c r="BE97" s="128"/>
      <c r="BF97" s="128"/>
      <c r="BG97" s="128"/>
      <c r="BH97" s="128"/>
      <c r="BI97" s="128"/>
      <c r="BJ97" s="128"/>
      <c r="BK97" s="128"/>
      <c r="BL97" s="128"/>
      <c r="BM97" s="128"/>
      <c r="BN97" s="128"/>
      <c r="BO97" s="128"/>
      <c r="BP97" s="128"/>
      <c r="BQ97" s="128"/>
      <c r="BR97" s="128"/>
      <c r="BS97" s="130"/>
    </row>
    <row r="98" spans="1:71" ht="15.75">
      <c r="A98" s="156" t="s">
        <v>257</v>
      </c>
      <c r="B98" s="153">
        <v>162.85</v>
      </c>
      <c r="C98" s="154">
        <f t="shared" si="8"/>
        <v>2.8746740947468576E-2</v>
      </c>
      <c r="D98" s="25"/>
      <c r="E98" s="25"/>
      <c r="F98" s="25"/>
      <c r="G98" s="25"/>
      <c r="H98" s="25"/>
      <c r="I98" s="25"/>
      <c r="J98" s="25"/>
      <c r="K98" s="25"/>
      <c r="L98" s="25"/>
      <c r="M98" s="25"/>
      <c r="N98" s="127" t="s">
        <v>258</v>
      </c>
      <c r="O98" s="128"/>
      <c r="P98" s="128"/>
      <c r="Q98" s="128"/>
      <c r="R98" s="128"/>
      <c r="S98" s="128"/>
      <c r="T98" s="128"/>
      <c r="U98" s="128"/>
      <c r="V98" s="128"/>
      <c r="W98" s="128"/>
      <c r="X98" s="128"/>
      <c r="Y98" s="128"/>
      <c r="Z98" s="128"/>
      <c r="AA98" s="128"/>
      <c r="AB98" s="128"/>
      <c r="AC98" s="128"/>
      <c r="AD98" s="128"/>
      <c r="AE98" s="128"/>
      <c r="AF98" s="128"/>
      <c r="AG98" s="128"/>
      <c r="AH98" s="128"/>
      <c r="AI98" s="128"/>
      <c r="AJ98" s="128"/>
      <c r="AK98" s="128">
        <v>0</v>
      </c>
      <c r="AL98" s="128"/>
      <c r="AM98" s="128"/>
      <c r="AN98" s="128"/>
      <c r="AO98" s="128"/>
      <c r="AP98" s="128"/>
      <c r="AQ98" s="128"/>
      <c r="AR98" s="128"/>
      <c r="AS98" s="128"/>
      <c r="AT98" s="128"/>
      <c r="AU98" s="128"/>
      <c r="AV98" s="128"/>
      <c r="AW98" s="128"/>
      <c r="AX98" s="128"/>
      <c r="AY98" s="128"/>
      <c r="AZ98" s="128"/>
      <c r="BA98" s="128"/>
      <c r="BB98" s="128"/>
      <c r="BC98" s="128"/>
      <c r="BD98" s="128"/>
      <c r="BE98" s="128"/>
      <c r="BF98" s="128"/>
      <c r="BG98" s="128"/>
      <c r="BH98" s="128"/>
      <c r="BI98" s="128"/>
      <c r="BJ98" s="128"/>
      <c r="BK98" s="128"/>
      <c r="BL98" s="128"/>
      <c r="BM98" s="128"/>
      <c r="BN98" s="128"/>
      <c r="BO98" s="128"/>
      <c r="BP98" s="128"/>
      <c r="BQ98" s="128"/>
      <c r="BR98" s="128"/>
      <c r="BS98" s="130"/>
    </row>
    <row r="99" spans="1:71" ht="15.75">
      <c r="A99" s="157" t="s">
        <v>95</v>
      </c>
      <c r="B99" s="153">
        <v>139.71</v>
      </c>
      <c r="C99" s="154">
        <f t="shared" si="8"/>
        <v>2.4662002933809241E-2</v>
      </c>
      <c r="D99" s="25"/>
      <c r="E99" s="25"/>
      <c r="F99" s="25"/>
      <c r="G99" s="25"/>
      <c r="H99" s="25"/>
      <c r="I99" s="25"/>
      <c r="J99" s="25"/>
      <c r="K99" s="25"/>
      <c r="L99" s="25"/>
      <c r="M99" s="25"/>
      <c r="N99" s="127" t="s">
        <v>259</v>
      </c>
      <c r="O99" s="128"/>
      <c r="P99" s="128"/>
      <c r="Q99" s="128"/>
      <c r="R99" s="128"/>
      <c r="S99" s="128"/>
      <c r="T99" s="128"/>
      <c r="U99" s="128"/>
      <c r="V99" s="128"/>
      <c r="W99" s="128"/>
      <c r="X99" s="128"/>
      <c r="Y99" s="128"/>
      <c r="Z99" s="128"/>
      <c r="AA99" s="128"/>
      <c r="AB99" s="128"/>
      <c r="AC99" s="128"/>
      <c r="AD99" s="128"/>
      <c r="AE99" s="128"/>
      <c r="AF99" s="128"/>
      <c r="AG99" s="128"/>
      <c r="AH99" s="128"/>
      <c r="AI99" s="128"/>
      <c r="AJ99" s="128"/>
      <c r="AK99" s="128">
        <v>0</v>
      </c>
      <c r="AL99" s="128"/>
      <c r="AM99" s="128"/>
      <c r="AN99" s="128"/>
      <c r="AO99" s="128"/>
      <c r="AP99" s="128"/>
      <c r="AQ99" s="128"/>
      <c r="AR99" s="128"/>
      <c r="AS99" s="128"/>
      <c r="AT99" s="128"/>
      <c r="AU99" s="128"/>
      <c r="AV99" s="128"/>
      <c r="AW99" s="128"/>
      <c r="AX99" s="128"/>
      <c r="AY99" s="128"/>
      <c r="AZ99" s="128"/>
      <c r="BA99" s="128"/>
      <c r="BB99" s="128"/>
      <c r="BC99" s="128"/>
      <c r="BD99" s="128"/>
      <c r="BE99" s="128"/>
      <c r="BF99" s="128"/>
      <c r="BG99" s="128"/>
      <c r="BH99" s="128"/>
      <c r="BI99" s="128"/>
      <c r="BJ99" s="128"/>
      <c r="BK99" s="128"/>
      <c r="BL99" s="128"/>
      <c r="BM99" s="128"/>
      <c r="BN99" s="128"/>
      <c r="BO99" s="128"/>
      <c r="BP99" s="128"/>
      <c r="BQ99" s="128"/>
      <c r="BR99" s="128"/>
      <c r="BS99" s="130"/>
    </row>
    <row r="100" spans="1:71" ht="15.75">
      <c r="A100" s="158" t="s">
        <v>98</v>
      </c>
      <c r="B100" s="153">
        <v>186.03</v>
      </c>
      <c r="C100" s="154">
        <f t="shared" si="8"/>
        <v>3.2838539873856792E-2</v>
      </c>
      <c r="D100" s="25"/>
      <c r="E100" s="25"/>
      <c r="F100" s="25"/>
      <c r="G100" s="25"/>
      <c r="H100" s="25"/>
      <c r="I100" s="25"/>
      <c r="J100" s="25"/>
      <c r="K100" s="25"/>
      <c r="L100" s="25"/>
      <c r="M100" s="25"/>
      <c r="N100" s="159" t="s">
        <v>260</v>
      </c>
      <c r="O100" s="128"/>
      <c r="P100" s="128"/>
      <c r="Q100" s="128"/>
      <c r="R100" s="128"/>
      <c r="S100" s="128"/>
      <c r="T100" s="128"/>
      <c r="U100" s="128"/>
      <c r="V100" s="128"/>
      <c r="W100" s="128"/>
      <c r="X100" s="128"/>
      <c r="Y100" s="128"/>
      <c r="Z100" s="128"/>
      <c r="AA100" s="128"/>
      <c r="AB100" s="128"/>
      <c r="AC100" s="128"/>
      <c r="AD100" s="128"/>
      <c r="AE100" s="128"/>
      <c r="AF100" s="128"/>
      <c r="AG100" s="128"/>
      <c r="AH100" s="128"/>
      <c r="AI100" s="128"/>
      <c r="AJ100" s="128"/>
      <c r="AK100" s="128">
        <v>0</v>
      </c>
      <c r="AL100" s="128"/>
      <c r="AM100" s="128"/>
      <c r="AN100" s="128"/>
      <c r="AO100" s="128"/>
      <c r="AP100" s="128"/>
      <c r="AQ100" s="128"/>
      <c r="AR100" s="128"/>
      <c r="AS100" s="128"/>
      <c r="AT100" s="128"/>
      <c r="AU100" s="128"/>
      <c r="AV100" s="128"/>
      <c r="AW100" s="128"/>
      <c r="AX100" s="128"/>
      <c r="AY100" s="128"/>
      <c r="AZ100" s="128"/>
      <c r="BA100" s="128"/>
      <c r="BB100" s="128"/>
      <c r="BC100" s="128"/>
      <c r="BD100" s="128"/>
      <c r="BE100" s="128"/>
      <c r="BF100" s="128"/>
      <c r="BG100" s="128"/>
      <c r="BH100" s="128"/>
      <c r="BI100" s="128"/>
      <c r="BJ100" s="128"/>
      <c r="BK100" s="128"/>
      <c r="BL100" s="128"/>
      <c r="BM100" s="128"/>
      <c r="BN100" s="128"/>
      <c r="BO100" s="128"/>
      <c r="BP100" s="128"/>
      <c r="BQ100" s="128"/>
      <c r="BR100" s="128"/>
      <c r="BS100" s="130"/>
    </row>
    <row r="101" spans="1:71" ht="15.75">
      <c r="A101" s="160" t="s">
        <v>220</v>
      </c>
      <c r="B101" s="153">
        <v>141.08000000000001</v>
      </c>
      <c r="C101" s="154">
        <f t="shared" si="8"/>
        <v>2.4903839194773517E-2</v>
      </c>
      <c r="D101" s="25"/>
      <c r="E101" s="25"/>
      <c r="F101" s="25"/>
      <c r="G101" s="25"/>
      <c r="H101" s="25"/>
      <c r="I101" s="25"/>
      <c r="J101" s="25"/>
      <c r="K101" s="25"/>
      <c r="L101" s="25"/>
      <c r="M101" s="25"/>
      <c r="N101" s="159" t="s">
        <v>261</v>
      </c>
      <c r="O101" s="128"/>
      <c r="P101" s="128"/>
      <c r="Q101" s="128"/>
      <c r="R101" s="128"/>
      <c r="S101" s="128"/>
      <c r="T101" s="128"/>
      <c r="U101" s="128"/>
      <c r="V101" s="128"/>
      <c r="W101" s="128"/>
      <c r="X101" s="128"/>
      <c r="Y101" s="128"/>
      <c r="Z101" s="128"/>
      <c r="AA101" s="128"/>
      <c r="AB101" s="128"/>
      <c r="AC101" s="128"/>
      <c r="AD101" s="128"/>
      <c r="AE101" s="128"/>
      <c r="AF101" s="128"/>
      <c r="AG101" s="128"/>
      <c r="AH101" s="128"/>
      <c r="AI101" s="128"/>
      <c r="AJ101" s="128"/>
      <c r="AK101" s="128">
        <v>0</v>
      </c>
      <c r="AL101" s="128"/>
      <c r="AM101" s="128"/>
      <c r="AN101" s="128"/>
      <c r="AO101" s="128"/>
      <c r="AP101" s="128"/>
      <c r="AQ101" s="128"/>
      <c r="AR101" s="128"/>
      <c r="AS101" s="128"/>
      <c r="AT101" s="128"/>
      <c r="AU101" s="128"/>
      <c r="AV101" s="128"/>
      <c r="AW101" s="128"/>
      <c r="AX101" s="128"/>
      <c r="AY101" s="128"/>
      <c r="AZ101" s="128"/>
      <c r="BA101" s="128"/>
      <c r="BB101" s="128"/>
      <c r="BC101" s="128"/>
      <c r="BD101" s="128"/>
      <c r="BE101" s="128"/>
      <c r="BF101" s="128"/>
      <c r="BG101" s="128"/>
      <c r="BH101" s="128"/>
      <c r="BI101" s="128"/>
      <c r="BJ101" s="128"/>
      <c r="BK101" s="128"/>
      <c r="BL101" s="128"/>
      <c r="BM101" s="128"/>
      <c r="BN101" s="128"/>
      <c r="BO101" s="128"/>
      <c r="BP101" s="128"/>
      <c r="BQ101" s="128"/>
      <c r="BR101" s="128"/>
      <c r="BS101" s="130"/>
    </row>
    <row r="102" spans="1:71" ht="15.75">
      <c r="A102" s="161" t="s">
        <v>262</v>
      </c>
      <c r="B102" s="153">
        <v>5198</v>
      </c>
      <c r="C102" s="25">
        <f>B102/B104</f>
        <v>0.91756560911846274</v>
      </c>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71" ht="15.75">
      <c r="A103" s="162" t="s">
        <v>263</v>
      </c>
      <c r="B103" s="153">
        <v>326</v>
      </c>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71" ht="15.75">
      <c r="A104" s="25"/>
      <c r="B104" s="25">
        <f>SUM(B96:B101)</f>
        <v>5664.99</v>
      </c>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71" ht="15.7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71" ht="15.7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71" ht="15.7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71" ht="15.7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71" ht="15.7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71" ht="15.7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71" ht="15.7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71" ht="15.7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 r="A996" s="25"/>
      <c r="B996" s="25"/>
      <c r="C996" s="25"/>
      <c r="D996" s="25"/>
      <c r="E996" s="25"/>
      <c r="F996" s="25"/>
      <c r="G996" s="25"/>
      <c r="H996" s="25"/>
      <c r="I996" s="25"/>
      <c r="J996" s="25"/>
      <c r="K996" s="25"/>
      <c r="L996" s="25"/>
      <c r="M996" s="25"/>
    </row>
    <row r="997" spans="1:26" ht="15.75">
      <c r="A997" s="25"/>
      <c r="B997" s="25"/>
      <c r="C997" s="25"/>
      <c r="D997" s="25"/>
      <c r="E997" s="25"/>
      <c r="F997" s="25"/>
      <c r="G997" s="25"/>
      <c r="H997" s="25"/>
      <c r="I997" s="25"/>
      <c r="J997" s="25"/>
      <c r="K997" s="25"/>
      <c r="L997" s="25"/>
      <c r="M997" s="25"/>
    </row>
    <row r="998" spans="1:26" ht="15.75">
      <c r="A998" s="25"/>
      <c r="B998" s="25"/>
      <c r="C998" s="25"/>
      <c r="D998" s="25"/>
      <c r="E998" s="25"/>
      <c r="F998" s="25"/>
      <c r="G998" s="25"/>
      <c r="H998" s="25"/>
      <c r="I998" s="25"/>
      <c r="J998" s="25"/>
      <c r="K998" s="25"/>
      <c r="L998" s="25"/>
      <c r="M998" s="25"/>
    </row>
    <row r="999" spans="1:26" ht="15.75">
      <c r="A999" s="25"/>
      <c r="B999" s="25"/>
      <c r="C999" s="25"/>
      <c r="D999" s="25"/>
      <c r="E999" s="25"/>
      <c r="F999" s="25"/>
      <c r="G999" s="25"/>
      <c r="H999" s="25"/>
      <c r="I999" s="25"/>
      <c r="J999" s="25"/>
      <c r="K999" s="25"/>
      <c r="L999" s="25"/>
      <c r="M999" s="25"/>
    </row>
    <row r="1000" spans="1:26" ht="15.75">
      <c r="A1000" s="25"/>
      <c r="B1000" s="25"/>
      <c r="C1000" s="25"/>
      <c r="D1000" s="25"/>
      <c r="E1000" s="25"/>
      <c r="F1000" s="25"/>
      <c r="G1000" s="25"/>
      <c r="H1000" s="25"/>
      <c r="I1000" s="25"/>
      <c r="J1000" s="25"/>
      <c r="K1000" s="25"/>
      <c r="L1000" s="25"/>
      <c r="M1000" s="25"/>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1008"/>
  <sheetViews>
    <sheetView workbookViewId="0"/>
  </sheetViews>
  <sheetFormatPr defaultColWidth="11.21875" defaultRowHeight="15" customHeight="1"/>
  <cols>
    <col min="1" max="1" width="32.88671875" customWidth="1"/>
    <col min="2" max="2" width="21.44140625" customWidth="1"/>
    <col min="3" max="26" width="10.5546875" customWidth="1"/>
  </cols>
  <sheetData>
    <row r="1" spans="1:26" ht="15.75" customHeight="1">
      <c r="A1" s="1" t="s">
        <v>264</v>
      </c>
    </row>
    <row r="2" spans="1:26" ht="15.75" customHeight="1"/>
    <row r="3" spans="1:26" ht="15.75" customHeight="1"/>
    <row r="4" spans="1:26" ht="15.75" customHeight="1">
      <c r="A4" s="163" t="s">
        <v>265</v>
      </c>
      <c r="B4" s="164"/>
      <c r="C4" s="164"/>
      <c r="D4" s="164"/>
      <c r="E4" s="164"/>
      <c r="F4" s="164"/>
      <c r="G4" s="164"/>
      <c r="H4" s="164"/>
      <c r="I4" s="164"/>
      <c r="J4" s="164"/>
      <c r="K4" s="164"/>
      <c r="L4" s="164"/>
      <c r="M4" s="164"/>
      <c r="N4" s="164"/>
      <c r="O4" s="164"/>
      <c r="P4" s="164"/>
      <c r="Q4" s="164"/>
      <c r="R4" s="164"/>
      <c r="S4" s="164"/>
      <c r="T4" s="164"/>
      <c r="U4" s="164"/>
      <c r="V4" s="164"/>
      <c r="W4" s="164"/>
      <c r="X4" s="164"/>
      <c r="Y4" s="164"/>
      <c r="Z4" s="164"/>
    </row>
    <row r="5" spans="1:26" ht="15.75" customHeight="1">
      <c r="B5" s="165"/>
      <c r="C5" s="165">
        <v>2000</v>
      </c>
      <c r="D5" s="165">
        <v>2001</v>
      </c>
      <c r="E5" s="165">
        <v>2002</v>
      </c>
      <c r="F5" s="165">
        <v>2003</v>
      </c>
      <c r="G5" s="165">
        <v>2004</v>
      </c>
      <c r="H5" s="165">
        <v>2005</v>
      </c>
      <c r="I5" s="165">
        <v>2006</v>
      </c>
      <c r="J5" s="165">
        <v>2007</v>
      </c>
      <c r="K5" s="165">
        <v>2008</v>
      </c>
      <c r="L5" s="165">
        <v>2009</v>
      </c>
      <c r="M5" s="165">
        <v>2010</v>
      </c>
      <c r="N5" s="165">
        <v>2011</v>
      </c>
      <c r="O5" s="165">
        <v>2012</v>
      </c>
      <c r="P5" s="165">
        <v>2013</v>
      </c>
      <c r="Q5" s="165">
        <v>2014</v>
      </c>
      <c r="R5" s="165">
        <v>2015</v>
      </c>
      <c r="S5" s="165">
        <v>2016</v>
      </c>
      <c r="T5" s="165">
        <v>2017</v>
      </c>
      <c r="U5" s="165">
        <v>2018</v>
      </c>
      <c r="V5" s="165">
        <v>2019</v>
      </c>
      <c r="W5" s="165"/>
      <c r="X5" s="165"/>
      <c r="Y5" s="165"/>
      <c r="Z5" s="165"/>
    </row>
    <row r="6" spans="1:26" ht="15.75" customHeight="1">
      <c r="A6" s="1" t="s">
        <v>266</v>
      </c>
      <c r="B6" s="1" t="s">
        <v>267</v>
      </c>
      <c r="C6" s="1">
        <v>210670</v>
      </c>
      <c r="D6" s="1">
        <v>210100</v>
      </c>
      <c r="E6" s="1">
        <v>220575</v>
      </c>
      <c r="F6" s="1">
        <v>234229</v>
      </c>
      <c r="G6" s="1">
        <v>244605</v>
      </c>
      <c r="H6" s="1">
        <v>244922</v>
      </c>
      <c r="I6" s="1">
        <v>253798</v>
      </c>
      <c r="J6" s="1">
        <v>263479</v>
      </c>
      <c r="K6" s="1">
        <v>258291</v>
      </c>
      <c r="L6" s="1">
        <v>249557</v>
      </c>
      <c r="M6" s="1">
        <v>259601</v>
      </c>
      <c r="N6" s="1">
        <v>262538</v>
      </c>
      <c r="O6" s="1">
        <v>257919</v>
      </c>
      <c r="P6" s="1">
        <v>256137</v>
      </c>
      <c r="Q6" s="1">
        <v>254765</v>
      </c>
      <c r="R6" s="1">
        <v>250390</v>
      </c>
      <c r="S6" s="1">
        <v>253075</v>
      </c>
      <c r="T6" s="1">
        <v>255432</v>
      </c>
      <c r="U6" s="1">
        <v>256336</v>
      </c>
      <c r="V6" s="1">
        <v>252578</v>
      </c>
      <c r="W6" s="1"/>
      <c r="X6" s="1"/>
      <c r="Y6" s="1"/>
      <c r="Z6" s="1"/>
    </row>
    <row r="7" spans="1:26" ht="15.75" customHeight="1">
      <c r="A7" s="1" t="s">
        <v>266</v>
      </c>
      <c r="B7" s="1" t="s">
        <v>268</v>
      </c>
      <c r="C7" s="1">
        <v>4719</v>
      </c>
      <c r="D7" s="1">
        <v>7247</v>
      </c>
      <c r="E7" s="1">
        <v>7873</v>
      </c>
      <c r="F7" s="1">
        <v>6739</v>
      </c>
      <c r="G7" s="1">
        <v>8026</v>
      </c>
      <c r="H7" s="1">
        <v>9199</v>
      </c>
      <c r="I7" s="1">
        <v>9782</v>
      </c>
      <c r="J7" s="1">
        <v>11348</v>
      </c>
      <c r="K7" s="1">
        <v>10572</v>
      </c>
      <c r="L7" s="1">
        <v>12295</v>
      </c>
      <c r="M7" s="1">
        <v>12193</v>
      </c>
      <c r="N7" s="1">
        <v>11890</v>
      </c>
      <c r="O7" s="1">
        <v>10006</v>
      </c>
      <c r="P7" s="1">
        <v>9428</v>
      </c>
      <c r="Q7" s="1">
        <v>11177</v>
      </c>
      <c r="R7" s="1">
        <v>13059</v>
      </c>
      <c r="S7" s="1">
        <v>10555</v>
      </c>
      <c r="T7" s="1">
        <v>8568</v>
      </c>
      <c r="U7" s="1">
        <v>9687</v>
      </c>
      <c r="V7" s="1">
        <v>9804</v>
      </c>
      <c r="W7" s="1"/>
      <c r="X7" s="1"/>
      <c r="Y7" s="1"/>
      <c r="Z7" s="1"/>
    </row>
    <row r="8" spans="1:26" ht="15.75" customHeight="1">
      <c r="A8" s="1" t="s">
        <v>266</v>
      </c>
      <c r="B8" s="1" t="s">
        <v>269</v>
      </c>
      <c r="C8" s="1">
        <v>15719</v>
      </c>
      <c r="D8" s="1">
        <v>14767</v>
      </c>
      <c r="E8" s="1">
        <v>15480</v>
      </c>
      <c r="F8" s="1">
        <v>17373</v>
      </c>
      <c r="G8" s="1">
        <v>18240</v>
      </c>
      <c r="H8" s="1">
        <v>17978</v>
      </c>
      <c r="I8" s="1">
        <v>18491</v>
      </c>
      <c r="J8" s="1">
        <v>19163</v>
      </c>
      <c r="K8" s="1">
        <v>18767</v>
      </c>
      <c r="L8" s="1">
        <v>18205</v>
      </c>
      <c r="M8" s="1">
        <v>18851</v>
      </c>
      <c r="N8" s="1">
        <v>18937</v>
      </c>
      <c r="O8" s="1">
        <v>18716</v>
      </c>
      <c r="P8" s="1">
        <v>18470</v>
      </c>
      <c r="Q8" s="1">
        <v>18474</v>
      </c>
      <c r="R8" s="1">
        <v>17984</v>
      </c>
      <c r="S8" s="1">
        <v>18534</v>
      </c>
      <c r="T8" s="1">
        <v>19128</v>
      </c>
      <c r="U8" s="1">
        <v>19834</v>
      </c>
      <c r="V8" s="1">
        <v>20067</v>
      </c>
      <c r="W8" s="1"/>
      <c r="X8" s="1"/>
      <c r="Y8" s="1"/>
      <c r="Z8" s="1"/>
    </row>
    <row r="9" spans="1:26" ht="15.75" customHeight="1">
      <c r="A9" s="1" t="s">
        <v>266</v>
      </c>
      <c r="B9" s="1" t="s">
        <v>270</v>
      </c>
      <c r="C9" s="1">
        <v>4007</v>
      </c>
      <c r="D9" s="1">
        <v>6519</v>
      </c>
      <c r="E9" s="1">
        <v>6950</v>
      </c>
      <c r="F9" s="1">
        <v>10136</v>
      </c>
      <c r="G9" s="1">
        <v>12453</v>
      </c>
      <c r="H9" s="1">
        <v>12884</v>
      </c>
      <c r="I9" s="1">
        <v>13766</v>
      </c>
      <c r="J9" s="1">
        <v>14496</v>
      </c>
      <c r="K9" s="1">
        <v>14168</v>
      </c>
      <c r="L9" s="1">
        <v>14052</v>
      </c>
      <c r="M9" s="1">
        <v>14668</v>
      </c>
      <c r="N9" s="1">
        <v>14964</v>
      </c>
      <c r="O9" s="1">
        <v>15035</v>
      </c>
      <c r="P9" s="1">
        <v>13929</v>
      </c>
      <c r="Q9" s="1">
        <v>13836</v>
      </c>
      <c r="R9" s="1">
        <v>14609</v>
      </c>
      <c r="S9" s="1">
        <v>16549</v>
      </c>
      <c r="T9" s="1">
        <v>15201</v>
      </c>
      <c r="U9" s="1">
        <v>14386</v>
      </c>
      <c r="V9" s="1">
        <v>14977</v>
      </c>
      <c r="W9" s="1"/>
      <c r="X9" s="1"/>
      <c r="Y9" s="1"/>
      <c r="Z9" s="1"/>
    </row>
    <row r="10" spans="1:26" ht="15.75" customHeight="1">
      <c r="A10" s="1" t="s">
        <v>266</v>
      </c>
      <c r="B10" s="1" t="s">
        <v>271</v>
      </c>
      <c r="C10" s="1">
        <v>195660</v>
      </c>
      <c r="D10" s="1">
        <v>196063</v>
      </c>
      <c r="E10" s="1">
        <v>206020</v>
      </c>
      <c r="F10" s="1">
        <v>213460</v>
      </c>
      <c r="G10" s="1">
        <v>221939</v>
      </c>
      <c r="H10" s="1">
        <v>223255</v>
      </c>
      <c r="I10" s="1">
        <v>231323</v>
      </c>
      <c r="J10" s="1">
        <v>241170</v>
      </c>
      <c r="K10" s="1">
        <v>235924</v>
      </c>
      <c r="L10" s="1">
        <v>229599</v>
      </c>
      <c r="M10" s="1">
        <v>238272</v>
      </c>
      <c r="N10" s="1">
        <v>240528</v>
      </c>
      <c r="O10" s="1">
        <v>234174</v>
      </c>
      <c r="P10" s="1">
        <v>233169</v>
      </c>
      <c r="Q10" s="1">
        <v>233631</v>
      </c>
      <c r="R10" s="1">
        <v>230857</v>
      </c>
      <c r="S10" s="1">
        <v>228546</v>
      </c>
      <c r="T10" s="1">
        <v>229669</v>
      </c>
      <c r="U10" s="1">
        <v>231805</v>
      </c>
      <c r="V10" s="1">
        <v>227336</v>
      </c>
      <c r="W10" s="1"/>
      <c r="X10" s="1"/>
      <c r="Y10" s="1"/>
      <c r="Z10" s="1"/>
    </row>
    <row r="11" spans="1:26" ht="15.75" customHeight="1">
      <c r="A11" s="1" t="s">
        <v>272</v>
      </c>
      <c r="B11" s="1" t="s">
        <v>267</v>
      </c>
      <c r="C11" s="1">
        <v>200357</v>
      </c>
      <c r="D11" s="1">
        <v>200758</v>
      </c>
      <c r="E11" s="1">
        <v>209402</v>
      </c>
      <c r="F11" s="1">
        <v>222678</v>
      </c>
      <c r="G11" s="1">
        <v>233153</v>
      </c>
      <c r="H11" s="1">
        <v>233184</v>
      </c>
      <c r="I11" s="1">
        <v>243594</v>
      </c>
      <c r="J11" s="1">
        <v>252938</v>
      </c>
      <c r="K11" s="1">
        <v>247773</v>
      </c>
      <c r="L11" s="1">
        <v>241093</v>
      </c>
      <c r="M11" s="1">
        <v>251257</v>
      </c>
      <c r="N11" s="1">
        <v>251746</v>
      </c>
      <c r="O11" s="1">
        <v>247516</v>
      </c>
      <c r="P11" s="1">
        <v>244851</v>
      </c>
      <c r="Q11" s="1">
        <v>240401</v>
      </c>
      <c r="R11" s="1">
        <v>233633</v>
      </c>
      <c r="S11" s="1">
        <v>234001</v>
      </c>
      <c r="T11" s="1">
        <v>234258</v>
      </c>
      <c r="U11" s="1">
        <v>233136</v>
      </c>
      <c r="V11" s="1">
        <v>228480</v>
      </c>
      <c r="W11" s="1"/>
      <c r="X11" s="1"/>
      <c r="Y11" s="1"/>
      <c r="Z11" s="1"/>
    </row>
    <row r="12" spans="1:26" ht="15.75" customHeight="1">
      <c r="A12" s="1" t="s">
        <v>272</v>
      </c>
      <c r="B12" s="1" t="s">
        <v>268</v>
      </c>
      <c r="C12" s="1">
        <v>4719</v>
      </c>
      <c r="D12" s="1">
        <v>7247</v>
      </c>
      <c r="E12" s="1">
        <v>7873</v>
      </c>
      <c r="F12" s="1">
        <v>6739</v>
      </c>
      <c r="G12" s="1">
        <v>8026</v>
      </c>
      <c r="H12" s="1">
        <v>9199</v>
      </c>
      <c r="I12" s="1">
        <v>9782</v>
      </c>
      <c r="J12" s="1">
        <v>11348</v>
      </c>
      <c r="K12" s="1">
        <v>10572</v>
      </c>
      <c r="L12" s="1">
        <v>12295</v>
      </c>
      <c r="M12" s="1">
        <v>12193</v>
      </c>
      <c r="N12" s="1">
        <v>11890</v>
      </c>
      <c r="O12" s="1">
        <v>10006</v>
      </c>
      <c r="P12" s="1">
        <v>9428</v>
      </c>
      <c r="Q12" s="1">
        <v>11177</v>
      </c>
      <c r="R12" s="1">
        <v>13059</v>
      </c>
      <c r="S12" s="1">
        <v>10555</v>
      </c>
      <c r="T12" s="1">
        <v>8568</v>
      </c>
      <c r="U12" s="1">
        <v>9687</v>
      </c>
      <c r="V12" s="1">
        <v>9804</v>
      </c>
      <c r="W12" s="1"/>
      <c r="X12" s="1"/>
      <c r="Y12" s="1"/>
      <c r="Z12" s="1"/>
    </row>
    <row r="13" spans="1:26" ht="15.75" customHeight="1">
      <c r="A13" s="1" t="s">
        <v>272</v>
      </c>
      <c r="B13" s="1" t="s">
        <v>269</v>
      </c>
      <c r="C13" s="1">
        <v>14581</v>
      </c>
      <c r="D13" s="1">
        <v>13622</v>
      </c>
      <c r="E13" s="1">
        <v>14269</v>
      </c>
      <c r="F13" s="1">
        <v>16244</v>
      </c>
      <c r="G13" s="1">
        <v>17185</v>
      </c>
      <c r="H13" s="1">
        <v>16888</v>
      </c>
      <c r="I13" s="1">
        <v>17569</v>
      </c>
      <c r="J13" s="1">
        <v>18335</v>
      </c>
      <c r="K13" s="1">
        <v>17741</v>
      </c>
      <c r="L13" s="1">
        <v>17383</v>
      </c>
      <c r="M13" s="1">
        <v>18070</v>
      </c>
      <c r="N13" s="1">
        <v>18134</v>
      </c>
      <c r="O13" s="1">
        <v>17870</v>
      </c>
      <c r="P13" s="1">
        <v>17684</v>
      </c>
      <c r="Q13" s="1">
        <v>17591</v>
      </c>
      <c r="R13" s="1">
        <v>17100</v>
      </c>
      <c r="S13" s="1">
        <v>17686</v>
      </c>
      <c r="T13" s="1">
        <v>18313</v>
      </c>
      <c r="U13" s="1">
        <v>18989</v>
      </c>
      <c r="V13" s="1">
        <v>19154</v>
      </c>
      <c r="W13" s="1"/>
      <c r="X13" s="1"/>
      <c r="Y13" s="1"/>
      <c r="Z13" s="1"/>
    </row>
    <row r="14" spans="1:26" ht="15.75" customHeight="1">
      <c r="A14" s="1" t="s">
        <v>272</v>
      </c>
      <c r="B14" s="1" t="s">
        <v>270</v>
      </c>
      <c r="C14" s="1">
        <v>4007</v>
      </c>
      <c r="D14" s="1">
        <v>6519</v>
      </c>
      <c r="E14" s="1">
        <v>6950</v>
      </c>
      <c r="F14" s="1">
        <v>10136</v>
      </c>
      <c r="G14" s="1">
        <v>12453</v>
      </c>
      <c r="H14" s="1">
        <v>12884</v>
      </c>
      <c r="I14" s="1">
        <v>13766</v>
      </c>
      <c r="J14" s="1">
        <v>14496</v>
      </c>
      <c r="K14" s="1">
        <v>14168</v>
      </c>
      <c r="L14" s="1">
        <v>14052</v>
      </c>
      <c r="M14" s="1">
        <v>14668</v>
      </c>
      <c r="N14" s="1">
        <v>14964</v>
      </c>
      <c r="O14" s="1">
        <v>15035</v>
      </c>
      <c r="P14" s="1">
        <v>13929</v>
      </c>
      <c r="Q14" s="1">
        <v>13836</v>
      </c>
      <c r="R14" s="1">
        <v>14609</v>
      </c>
      <c r="S14" s="1">
        <v>16549</v>
      </c>
      <c r="T14" s="1">
        <v>15201</v>
      </c>
      <c r="U14" s="1">
        <v>14386</v>
      </c>
      <c r="V14" s="1">
        <v>14977</v>
      </c>
      <c r="W14" s="1"/>
      <c r="X14" s="1"/>
      <c r="Y14" s="1"/>
      <c r="Z14" s="1"/>
    </row>
    <row r="15" spans="1:26" ht="15.75" customHeight="1">
      <c r="A15" s="1" t="s">
        <v>272</v>
      </c>
      <c r="B15" s="1" t="s">
        <v>271</v>
      </c>
      <c r="C15" s="1">
        <v>186485</v>
      </c>
      <c r="D15" s="1">
        <v>187863</v>
      </c>
      <c r="E15" s="1">
        <v>196058</v>
      </c>
      <c r="F15" s="1">
        <v>203037</v>
      </c>
      <c r="G15" s="1">
        <v>211543</v>
      </c>
      <c r="H15" s="1">
        <v>212613</v>
      </c>
      <c r="I15" s="1">
        <v>222039</v>
      </c>
      <c r="J15" s="1">
        <v>231457</v>
      </c>
      <c r="K15" s="1">
        <v>226433</v>
      </c>
      <c r="L15" s="1">
        <v>221955</v>
      </c>
      <c r="M15" s="1">
        <v>230709</v>
      </c>
      <c r="N15" s="1">
        <v>230541</v>
      </c>
      <c r="O15" s="1">
        <v>224620</v>
      </c>
      <c r="P15" s="1">
        <v>222668</v>
      </c>
      <c r="Q15" s="1">
        <v>220149</v>
      </c>
      <c r="R15" s="1">
        <v>214984</v>
      </c>
      <c r="S15" s="1">
        <v>210320</v>
      </c>
      <c r="T15" s="1">
        <v>209310</v>
      </c>
      <c r="U15" s="1">
        <v>209446</v>
      </c>
      <c r="V15" s="1">
        <v>204153</v>
      </c>
      <c r="W15" s="1"/>
      <c r="X15" s="1"/>
      <c r="Y15" s="1"/>
      <c r="Z15" s="1"/>
    </row>
    <row r="16" spans="1:26" ht="15.75" customHeight="1">
      <c r="A16" s="1" t="s">
        <v>273</v>
      </c>
      <c r="B16" s="1" t="s">
        <v>274</v>
      </c>
      <c r="C16" s="1">
        <v>0</v>
      </c>
      <c r="D16" s="1">
        <v>0</v>
      </c>
      <c r="E16" s="1">
        <v>20269</v>
      </c>
      <c r="F16" s="1">
        <v>21009</v>
      </c>
      <c r="G16" s="1">
        <v>21942</v>
      </c>
      <c r="H16" s="1">
        <v>22471</v>
      </c>
      <c r="I16" s="1">
        <v>22660</v>
      </c>
      <c r="J16" s="1">
        <v>23836</v>
      </c>
      <c r="K16" s="1">
        <v>23478</v>
      </c>
      <c r="L16" s="1">
        <v>22994</v>
      </c>
      <c r="M16" s="1">
        <v>23340</v>
      </c>
      <c r="N16" s="1">
        <v>23495</v>
      </c>
      <c r="O16" s="1">
        <v>23675</v>
      </c>
      <c r="P16" s="1">
        <v>23202</v>
      </c>
      <c r="Q16" s="1">
        <v>23259</v>
      </c>
      <c r="R16" s="1">
        <v>23103</v>
      </c>
      <c r="S16" s="1">
        <v>22845</v>
      </c>
      <c r="T16" s="1">
        <v>23014</v>
      </c>
      <c r="U16" s="1">
        <v>22635</v>
      </c>
      <c r="V16" s="1">
        <v>22601</v>
      </c>
      <c r="W16" s="1"/>
      <c r="X16" s="1"/>
      <c r="Y16" s="1"/>
      <c r="Z16" s="1"/>
    </row>
    <row r="17" spans="1:26" ht="15.75" customHeight="1">
      <c r="A17" s="1" t="s">
        <v>273</v>
      </c>
      <c r="B17" s="1" t="s">
        <v>275</v>
      </c>
      <c r="C17" s="1">
        <v>0</v>
      </c>
      <c r="D17" s="1">
        <v>0</v>
      </c>
      <c r="E17" s="1">
        <v>5920</v>
      </c>
      <c r="F17" s="1">
        <v>6281</v>
      </c>
      <c r="G17" s="1">
        <v>6628</v>
      </c>
      <c r="H17" s="1">
        <v>6677</v>
      </c>
      <c r="I17" s="1">
        <v>6783</v>
      </c>
      <c r="J17" s="1">
        <v>7290</v>
      </c>
      <c r="K17" s="1">
        <v>7321</v>
      </c>
      <c r="L17" s="1">
        <v>7088</v>
      </c>
      <c r="M17" s="1">
        <v>7526</v>
      </c>
      <c r="N17" s="1">
        <v>7726</v>
      </c>
      <c r="O17" s="1">
        <v>7876</v>
      </c>
      <c r="P17" s="1">
        <v>7854</v>
      </c>
      <c r="Q17" s="1">
        <v>8637</v>
      </c>
      <c r="R17" s="1">
        <v>8772</v>
      </c>
      <c r="S17" s="1">
        <v>9143</v>
      </c>
      <c r="T17" s="1">
        <v>9217</v>
      </c>
      <c r="U17" s="1">
        <v>8930</v>
      </c>
      <c r="V17" s="1">
        <v>8911</v>
      </c>
      <c r="W17" s="1"/>
      <c r="X17" s="1"/>
      <c r="Y17" s="1"/>
      <c r="Z17" s="1"/>
    </row>
    <row r="18" spans="1:26" ht="15.75" customHeight="1">
      <c r="A18" s="1" t="s">
        <v>273</v>
      </c>
      <c r="B18" s="1" t="s">
        <v>276</v>
      </c>
      <c r="C18" s="1">
        <v>0</v>
      </c>
      <c r="D18" s="1">
        <v>0</v>
      </c>
      <c r="E18" s="1">
        <v>4599</v>
      </c>
      <c r="F18" s="1">
        <v>4763</v>
      </c>
      <c r="G18" s="1">
        <v>5121</v>
      </c>
      <c r="H18" s="1">
        <v>5219</v>
      </c>
      <c r="I18" s="1">
        <v>5181</v>
      </c>
      <c r="J18" s="1">
        <v>5243</v>
      </c>
      <c r="K18" s="1">
        <v>5214</v>
      </c>
      <c r="L18" s="1">
        <v>5062</v>
      </c>
      <c r="M18" s="1">
        <v>5138</v>
      </c>
      <c r="N18" s="1">
        <v>5330</v>
      </c>
      <c r="O18" s="1">
        <v>5627</v>
      </c>
      <c r="P18" s="1">
        <v>5975</v>
      </c>
      <c r="Q18" s="1">
        <v>5960</v>
      </c>
      <c r="R18" s="1">
        <v>6018</v>
      </c>
      <c r="S18" s="1">
        <v>5591</v>
      </c>
      <c r="T18" s="1">
        <v>6061</v>
      </c>
      <c r="U18" s="1">
        <v>6223</v>
      </c>
      <c r="V18" s="1">
        <v>6476</v>
      </c>
      <c r="W18" s="1"/>
      <c r="X18" s="1"/>
      <c r="Y18" s="1"/>
      <c r="Z18" s="1"/>
    </row>
    <row r="19" spans="1:26" ht="15.75" customHeight="1">
      <c r="A19" s="1" t="s">
        <v>273</v>
      </c>
      <c r="B19" s="1" t="s">
        <v>277</v>
      </c>
      <c r="C19" s="1">
        <v>0</v>
      </c>
      <c r="D19" s="1">
        <v>0</v>
      </c>
      <c r="E19" s="1">
        <v>10953</v>
      </c>
      <c r="F19" s="1">
        <v>11121</v>
      </c>
      <c r="G19" s="1">
        <v>10984</v>
      </c>
      <c r="H19" s="1">
        <v>10725</v>
      </c>
      <c r="I19" s="1">
        <v>10315</v>
      </c>
      <c r="J19" s="1">
        <v>10446</v>
      </c>
      <c r="K19" s="1">
        <v>10000</v>
      </c>
      <c r="L19" s="1">
        <v>9727</v>
      </c>
      <c r="M19" s="1">
        <v>9863</v>
      </c>
      <c r="N19" s="1">
        <v>9765</v>
      </c>
      <c r="O19" s="1">
        <v>9544</v>
      </c>
      <c r="P19" s="1">
        <v>10214</v>
      </c>
      <c r="Q19" s="1">
        <v>10346</v>
      </c>
      <c r="R19" s="1">
        <v>10226</v>
      </c>
      <c r="S19" s="1">
        <v>10241</v>
      </c>
      <c r="T19" s="1">
        <v>10101</v>
      </c>
      <c r="U19" s="1">
        <v>9853</v>
      </c>
      <c r="V19" s="1">
        <v>9825</v>
      </c>
      <c r="W19" s="1"/>
      <c r="X19" s="1"/>
      <c r="Y19" s="1"/>
      <c r="Z19" s="1"/>
    </row>
    <row r="20" spans="1:26" ht="15.75" customHeight="1">
      <c r="A20" s="1" t="s">
        <v>273</v>
      </c>
      <c r="B20" s="1" t="s">
        <v>278</v>
      </c>
      <c r="C20" s="1">
        <v>0</v>
      </c>
      <c r="D20" s="1">
        <v>0</v>
      </c>
      <c r="E20" s="1">
        <v>39128</v>
      </c>
      <c r="F20" s="1">
        <v>40617</v>
      </c>
      <c r="G20" s="1">
        <v>43190</v>
      </c>
      <c r="H20" s="1">
        <v>44204</v>
      </c>
      <c r="I20" s="1">
        <v>46063</v>
      </c>
      <c r="J20" s="1">
        <v>47271</v>
      </c>
      <c r="K20" s="1">
        <v>45604</v>
      </c>
      <c r="L20" s="1">
        <v>45669</v>
      </c>
      <c r="M20" s="1">
        <v>46032</v>
      </c>
      <c r="N20" s="1">
        <v>46150</v>
      </c>
      <c r="O20" s="1">
        <v>44084</v>
      </c>
      <c r="P20" s="1">
        <v>44860</v>
      </c>
      <c r="Q20" s="1">
        <v>43118</v>
      </c>
      <c r="R20" s="1">
        <v>41868</v>
      </c>
      <c r="S20" s="1">
        <v>41336</v>
      </c>
      <c r="T20" s="1">
        <v>42617</v>
      </c>
      <c r="U20" s="1">
        <v>42752</v>
      </c>
      <c r="V20" s="1">
        <v>42213</v>
      </c>
      <c r="W20" s="1"/>
      <c r="X20" s="1"/>
      <c r="Y20" s="1"/>
      <c r="Z20" s="1"/>
    </row>
    <row r="21" spans="1:26" ht="15.75" customHeight="1">
      <c r="A21" s="1" t="s">
        <v>273</v>
      </c>
      <c r="B21" s="1" t="s">
        <v>279</v>
      </c>
      <c r="C21" s="1">
        <v>0</v>
      </c>
      <c r="D21" s="1">
        <v>0</v>
      </c>
      <c r="E21" s="1">
        <v>26686</v>
      </c>
      <c r="F21" s="1">
        <v>28147</v>
      </c>
      <c r="G21" s="1">
        <v>28481</v>
      </c>
      <c r="H21" s="1">
        <v>28007</v>
      </c>
      <c r="I21" s="1">
        <v>28392</v>
      </c>
      <c r="J21" s="1">
        <v>30606</v>
      </c>
      <c r="K21" s="1">
        <v>29898</v>
      </c>
      <c r="L21" s="1">
        <v>28333</v>
      </c>
      <c r="M21" s="1">
        <v>30993</v>
      </c>
      <c r="N21" s="1">
        <v>30573</v>
      </c>
      <c r="O21" s="1">
        <v>29541</v>
      </c>
      <c r="P21" s="1">
        <v>29358</v>
      </c>
      <c r="Q21" s="1">
        <v>25794</v>
      </c>
      <c r="R21" s="1">
        <v>28251</v>
      </c>
      <c r="S21" s="1">
        <v>28944</v>
      </c>
      <c r="T21" s="1">
        <v>29169</v>
      </c>
      <c r="U21" s="1">
        <v>29810</v>
      </c>
      <c r="V21" s="1">
        <v>28018</v>
      </c>
      <c r="W21" s="1"/>
      <c r="X21" s="1"/>
      <c r="Y21" s="1"/>
      <c r="Z21" s="1"/>
    </row>
    <row r="22" spans="1:26" ht="15.75" customHeight="1">
      <c r="A22" s="1" t="s">
        <v>273</v>
      </c>
      <c r="B22" s="1" t="s">
        <v>280</v>
      </c>
      <c r="C22" s="1">
        <v>0</v>
      </c>
      <c r="D22" s="1">
        <v>0</v>
      </c>
      <c r="E22" s="1">
        <v>54036</v>
      </c>
      <c r="F22" s="1">
        <v>55497</v>
      </c>
      <c r="G22" s="1">
        <v>57478</v>
      </c>
      <c r="H22" s="1">
        <v>57456</v>
      </c>
      <c r="I22" s="1">
        <v>60682</v>
      </c>
      <c r="J22" s="1">
        <v>62549</v>
      </c>
      <c r="K22" s="1">
        <v>61282</v>
      </c>
      <c r="L22" s="1">
        <v>59643</v>
      </c>
      <c r="M22" s="1">
        <v>60831</v>
      </c>
      <c r="N22" s="1">
        <v>62113</v>
      </c>
      <c r="O22" s="1">
        <v>59595</v>
      </c>
      <c r="P22" s="1">
        <v>58948</v>
      </c>
      <c r="Q22" s="1">
        <v>60130</v>
      </c>
      <c r="R22" s="1">
        <v>57392</v>
      </c>
      <c r="S22" s="1">
        <v>57106</v>
      </c>
      <c r="T22" s="1">
        <v>57566</v>
      </c>
      <c r="U22" s="1">
        <v>57811</v>
      </c>
      <c r="V22" s="1">
        <v>56491</v>
      </c>
      <c r="W22" s="1"/>
      <c r="X22" s="1"/>
      <c r="Y22" s="1"/>
      <c r="Z22" s="1"/>
    </row>
    <row r="23" spans="1:26" ht="15.75" customHeight="1">
      <c r="A23" s="1" t="s">
        <v>273</v>
      </c>
      <c r="B23" s="1" t="s">
        <v>281</v>
      </c>
      <c r="C23" s="1">
        <v>0</v>
      </c>
      <c r="D23" s="1">
        <v>0</v>
      </c>
      <c r="E23" s="1">
        <v>30430</v>
      </c>
      <c r="F23" s="1">
        <v>30205</v>
      </c>
      <c r="G23" s="1">
        <v>31686</v>
      </c>
      <c r="H23" s="1">
        <v>31110</v>
      </c>
      <c r="I23" s="1">
        <v>32301</v>
      </c>
      <c r="J23" s="1">
        <v>34072</v>
      </c>
      <c r="K23" s="1">
        <v>33332</v>
      </c>
      <c r="L23" s="1">
        <v>30852</v>
      </c>
      <c r="M23" s="1">
        <v>33123</v>
      </c>
      <c r="N23" s="1">
        <v>33704</v>
      </c>
      <c r="O23" s="1">
        <v>33863</v>
      </c>
      <c r="P23" s="1">
        <v>33392</v>
      </c>
      <c r="Q23" s="1">
        <v>37324</v>
      </c>
      <c r="R23" s="1">
        <v>35438</v>
      </c>
      <c r="S23" s="1">
        <v>34049</v>
      </c>
      <c r="T23" s="1">
        <v>34019</v>
      </c>
      <c r="U23" s="1">
        <v>34259</v>
      </c>
      <c r="V23" s="1">
        <v>33905</v>
      </c>
      <c r="W23" s="1"/>
      <c r="X23" s="1"/>
      <c r="Y23" s="1"/>
      <c r="Z23" s="1"/>
    </row>
    <row r="24" spans="1:26" ht="15.75" customHeight="1">
      <c r="A24" s="9" t="s">
        <v>273</v>
      </c>
      <c r="B24" s="9" t="s">
        <v>282</v>
      </c>
      <c r="C24" s="9">
        <v>0</v>
      </c>
      <c r="D24" s="9">
        <v>0</v>
      </c>
      <c r="E24" s="9">
        <v>8616</v>
      </c>
      <c r="F24" s="9">
        <v>9503</v>
      </c>
      <c r="G24" s="9">
        <v>9978</v>
      </c>
      <c r="H24" s="9">
        <v>10496</v>
      </c>
      <c r="I24" s="9">
        <v>11459</v>
      </c>
      <c r="J24" s="9">
        <v>12306</v>
      </c>
      <c r="K24" s="9">
        <v>12328</v>
      </c>
      <c r="L24" s="9">
        <v>12180</v>
      </c>
      <c r="M24" s="9">
        <v>13544</v>
      </c>
      <c r="N24" s="9">
        <v>13904</v>
      </c>
      <c r="O24" s="9">
        <v>13501</v>
      </c>
      <c r="P24" s="9">
        <v>13771</v>
      </c>
      <c r="Q24" s="9">
        <v>13538</v>
      </c>
      <c r="R24" s="9">
        <v>13629</v>
      </c>
      <c r="S24" s="9">
        <v>13514</v>
      </c>
      <c r="T24" s="9">
        <v>13365</v>
      </c>
      <c r="U24" s="9">
        <v>14596</v>
      </c>
      <c r="V24" s="9">
        <v>14709</v>
      </c>
    </row>
    <row r="25" spans="1:26" ht="15.75" customHeight="1"/>
    <row r="26" spans="1:26" ht="15.75" customHeight="1">
      <c r="A26" s="163" t="s">
        <v>283</v>
      </c>
      <c r="B26" s="163"/>
      <c r="C26" s="163"/>
      <c r="D26" s="163"/>
      <c r="E26" s="163"/>
      <c r="F26" s="163"/>
      <c r="G26" s="163"/>
      <c r="H26" s="163"/>
      <c r="I26" s="163"/>
      <c r="J26" s="163"/>
      <c r="K26" s="163"/>
      <c r="L26" s="163"/>
      <c r="M26" s="163"/>
      <c r="N26" s="163"/>
      <c r="O26" s="163"/>
      <c r="P26" s="163"/>
      <c r="Q26" s="163"/>
      <c r="R26" s="163"/>
      <c r="S26" s="163"/>
      <c r="T26" s="163"/>
      <c r="U26" s="163"/>
      <c r="V26" s="163"/>
      <c r="W26" s="163"/>
      <c r="X26" s="163"/>
      <c r="Y26" s="163"/>
      <c r="Z26" s="163"/>
    </row>
    <row r="27" spans="1:26" ht="88.5" customHeight="1">
      <c r="A27" s="4">
        <v>2017</v>
      </c>
      <c r="B27" s="4" t="s">
        <v>284</v>
      </c>
      <c r="C27" s="4" t="s">
        <v>285</v>
      </c>
      <c r="D27" s="4" t="s">
        <v>286</v>
      </c>
      <c r="E27" s="4" t="s">
        <v>287</v>
      </c>
      <c r="F27" s="4" t="s">
        <v>288</v>
      </c>
      <c r="G27" s="4" t="s">
        <v>289</v>
      </c>
      <c r="H27" s="166"/>
      <c r="I27" s="167" t="s">
        <v>290</v>
      </c>
      <c r="J27" s="167"/>
      <c r="K27" s="167"/>
      <c r="L27" s="167"/>
      <c r="M27" s="167"/>
      <c r="N27" s="167"/>
      <c r="O27" s="167"/>
      <c r="P27" s="167"/>
      <c r="Q27" s="167"/>
      <c r="R27" s="167"/>
      <c r="S27" s="167"/>
      <c r="T27" s="167"/>
      <c r="U27" s="167"/>
      <c r="V27" s="167"/>
      <c r="W27" s="167"/>
      <c r="X27" s="167"/>
      <c r="Y27" s="167"/>
      <c r="Z27" s="167"/>
    </row>
    <row r="28" spans="1:26" ht="15.75" customHeight="1">
      <c r="A28" s="2" t="str">
        <f>'DMRE 2017EB'!A33</f>
        <v>Industry Sector</v>
      </c>
      <c r="B28" s="166">
        <f>'DMRE 2017EB'!J33-B36</f>
        <v>275514.17</v>
      </c>
      <c r="C28" s="166">
        <f>B28/3.6</f>
        <v>76531.713888888888</v>
      </c>
      <c r="D28" s="166">
        <f>EskomSales!$C$39</f>
        <v>47854</v>
      </c>
      <c r="E28" s="166">
        <f>D28</f>
        <v>47854</v>
      </c>
      <c r="F28" s="166">
        <f>EskomSales!$C$59</f>
        <v>20247</v>
      </c>
      <c r="G28" s="166">
        <f>F28+E28</f>
        <v>68101</v>
      </c>
      <c r="H28" s="166">
        <f>G28*3.6</f>
        <v>245163.6</v>
      </c>
      <c r="I28" s="166">
        <f>G28</f>
        <v>68101</v>
      </c>
    </row>
    <row r="29" spans="1:26" ht="15.75" customHeight="1">
      <c r="A29" s="168" t="s">
        <v>291</v>
      </c>
      <c r="B29" s="166"/>
      <c r="C29" s="166"/>
      <c r="D29" s="166"/>
      <c r="E29" s="166"/>
      <c r="F29" s="166"/>
      <c r="G29" s="166"/>
      <c r="H29" s="166"/>
      <c r="I29" s="166"/>
    </row>
    <row r="30" spans="1:26" ht="15.75" customHeight="1">
      <c r="A30" s="168" t="s">
        <v>292</v>
      </c>
      <c r="B30" s="166"/>
      <c r="C30" s="166"/>
      <c r="D30" s="166"/>
      <c r="E30" s="166"/>
      <c r="F30" s="166"/>
      <c r="G30" s="166"/>
      <c r="H30" s="166"/>
      <c r="I30" s="166"/>
    </row>
    <row r="31" spans="1:26" ht="15.75" customHeight="1">
      <c r="A31" s="168" t="s">
        <v>293</v>
      </c>
      <c r="B31" s="166"/>
      <c r="C31" s="166"/>
      <c r="D31" s="166"/>
      <c r="E31" s="166"/>
      <c r="F31" s="166"/>
      <c r="G31" s="166"/>
      <c r="H31" s="166"/>
      <c r="I31" s="166"/>
    </row>
    <row r="32" spans="1:26" ht="15.75" customHeight="1">
      <c r="A32" s="168" t="s">
        <v>294</v>
      </c>
      <c r="B32" s="166"/>
      <c r="C32" s="166"/>
      <c r="D32" s="166"/>
      <c r="E32" s="166"/>
      <c r="F32" s="166"/>
      <c r="G32" s="166"/>
      <c r="H32" s="166"/>
      <c r="I32" s="166"/>
    </row>
    <row r="33" spans="1:9" ht="15.75" customHeight="1">
      <c r="A33" s="168" t="s">
        <v>295</v>
      </c>
      <c r="B33" s="166"/>
      <c r="C33" s="166"/>
      <c r="D33" s="166"/>
      <c r="E33" s="166"/>
      <c r="F33" s="166"/>
      <c r="G33" s="166"/>
      <c r="H33" s="166"/>
      <c r="I33" s="166"/>
    </row>
    <row r="34" spans="1:9" ht="15.75" customHeight="1">
      <c r="A34" s="168" t="s">
        <v>296</v>
      </c>
      <c r="B34" s="166"/>
      <c r="C34" s="166"/>
      <c r="D34" s="166"/>
      <c r="E34" s="166"/>
      <c r="F34" s="166"/>
      <c r="G34" s="166"/>
      <c r="H34" s="166"/>
      <c r="I34" s="166"/>
    </row>
    <row r="35" spans="1:9" ht="15.75" customHeight="1">
      <c r="A35" s="168" t="s">
        <v>297</v>
      </c>
      <c r="B35" s="166"/>
      <c r="C35" s="166"/>
      <c r="D35" s="166"/>
      <c r="E35" s="166"/>
      <c r="F35" s="166"/>
      <c r="G35" s="166"/>
      <c r="H35" s="166"/>
      <c r="I35" s="166"/>
    </row>
    <row r="36" spans="1:9" ht="15.75" customHeight="1">
      <c r="A36" s="168" t="s">
        <v>220</v>
      </c>
      <c r="B36" s="166">
        <f>'DMRE 2017EB'!J41</f>
        <v>110071.95</v>
      </c>
      <c r="C36" s="166">
        <f t="shared" ref="C36:C44" si="0">B36/3.6</f>
        <v>30575.541666666664</v>
      </c>
      <c r="D36" s="166">
        <f>EskomSales!$B$39</f>
        <v>30235</v>
      </c>
      <c r="E36" s="166">
        <f t="shared" ref="E36:E40" si="1">D36</f>
        <v>30235</v>
      </c>
      <c r="F36" s="166">
        <f>EskomSales!$B$59</f>
        <v>50</v>
      </c>
      <c r="G36" s="166">
        <f t="shared" ref="G36:G42" si="2">F36+E36</f>
        <v>30285</v>
      </c>
      <c r="H36" s="166">
        <f>G28+G36</f>
        <v>98386</v>
      </c>
      <c r="I36" s="166">
        <f t="shared" ref="I36:I40" si="3">G36</f>
        <v>30285</v>
      </c>
    </row>
    <row r="37" spans="1:9" ht="15.75" customHeight="1">
      <c r="A37" s="2" t="str">
        <f>'DMRE 2017EB'!A49</f>
        <v>Transport Sector</v>
      </c>
      <c r="B37" s="166">
        <f>'DMRE 2017EB'!J49</f>
        <v>11990.94</v>
      </c>
      <c r="C37" s="166">
        <f t="shared" si="0"/>
        <v>3330.8166666666666</v>
      </c>
      <c r="D37" s="166">
        <f>EskomSales!$E$39</f>
        <v>3148</v>
      </c>
      <c r="E37" s="166">
        <f t="shared" si="1"/>
        <v>3148</v>
      </c>
      <c r="F37" s="166">
        <f>EskomSales!$E$59</f>
        <v>334</v>
      </c>
      <c r="G37" s="166">
        <f t="shared" si="2"/>
        <v>3482</v>
      </c>
      <c r="H37" s="166"/>
      <c r="I37" s="166">
        <f t="shared" si="3"/>
        <v>3482</v>
      </c>
    </row>
    <row r="38" spans="1:9" ht="15.75" customHeight="1">
      <c r="A38" s="2" t="str">
        <f>'DMRE 2017EB'!A59</f>
        <v>Agriculture</v>
      </c>
      <c r="B38" s="166">
        <f>'DMRE 2017EB'!J59</f>
        <v>21484.799999999999</v>
      </c>
      <c r="C38" s="166">
        <f t="shared" si="0"/>
        <v>5968</v>
      </c>
      <c r="D38" s="166">
        <f>EskomSales!$F$39</f>
        <v>5711</v>
      </c>
      <c r="E38" s="166">
        <f t="shared" si="1"/>
        <v>5711</v>
      </c>
      <c r="F38" s="166">
        <f>EskomSales!$F$59</f>
        <v>59</v>
      </c>
      <c r="G38" s="166">
        <f t="shared" si="2"/>
        <v>5770</v>
      </c>
      <c r="H38" s="166"/>
      <c r="I38" s="166">
        <f t="shared" si="3"/>
        <v>5770</v>
      </c>
    </row>
    <row r="39" spans="1:9" ht="15.75" customHeight="1">
      <c r="A39" s="2" t="str">
        <f>'DMRE 2017EB'!A60</f>
        <v>Commerce and Public Services</v>
      </c>
      <c r="B39" s="166">
        <f>'DMRE 2017EB'!J60</f>
        <v>133200</v>
      </c>
      <c r="C39" s="166">
        <f t="shared" si="0"/>
        <v>37000</v>
      </c>
      <c r="D39" s="166">
        <f>EskomSales!$D$39</f>
        <v>10539</v>
      </c>
      <c r="E39" s="166">
        <f t="shared" si="1"/>
        <v>10539</v>
      </c>
      <c r="F39" s="166">
        <f>EskomSales!$D$59</f>
        <v>28083</v>
      </c>
      <c r="G39" s="166">
        <f t="shared" si="2"/>
        <v>38622</v>
      </c>
      <c r="H39" s="166"/>
      <c r="I39" s="166">
        <f t="shared" si="3"/>
        <v>38622</v>
      </c>
    </row>
    <row r="40" spans="1:9" ht="15.75" customHeight="1">
      <c r="A40" s="2" t="str">
        <f>'DMRE 2017EB'!A61</f>
        <v>Residential</v>
      </c>
      <c r="B40" s="166">
        <f>'DMRE 2017EB'!J61</f>
        <v>174682.8</v>
      </c>
      <c r="C40" s="166">
        <f t="shared" si="0"/>
        <v>48522.999999999993</v>
      </c>
      <c r="D40" s="166">
        <f>EskomSales!$G$39</f>
        <v>12302</v>
      </c>
      <c r="E40" s="166">
        <f t="shared" si="1"/>
        <v>12302</v>
      </c>
      <c r="F40" s="166">
        <f>EskomSales!$G$59</f>
        <v>28436</v>
      </c>
      <c r="G40" s="166">
        <f t="shared" si="2"/>
        <v>40738</v>
      </c>
      <c r="H40" s="166"/>
      <c r="I40" s="166">
        <f t="shared" si="3"/>
        <v>40738</v>
      </c>
    </row>
    <row r="41" spans="1:9" ht="15.75" customHeight="1">
      <c r="A41" s="2" t="str">
        <f>'DMRE 2017EB'!A62</f>
        <v>Non-specified (Other)</v>
      </c>
      <c r="B41" s="166">
        <f>'DMRE 2017EB'!J62</f>
        <v>2685.6</v>
      </c>
      <c r="C41" s="166">
        <f t="shared" si="0"/>
        <v>746</v>
      </c>
      <c r="D41" s="166"/>
      <c r="E41" s="166"/>
      <c r="F41" s="166"/>
      <c r="G41" s="166">
        <f t="shared" si="2"/>
        <v>0</v>
      </c>
      <c r="H41" s="166"/>
    </row>
    <row r="42" spans="1:9" ht="15.75" customHeight="1">
      <c r="A42" s="1" t="s">
        <v>68</v>
      </c>
      <c r="B42" s="166">
        <f>-'DMRE 2017EB'!J6</f>
        <v>59576.4</v>
      </c>
      <c r="C42" s="166">
        <f t="shared" si="0"/>
        <v>16549</v>
      </c>
      <c r="D42" s="166">
        <f>EskomSales!$I$39</f>
        <v>15268</v>
      </c>
      <c r="E42" s="166">
        <f>D42</f>
        <v>15268</v>
      </c>
      <c r="F42" s="166"/>
      <c r="G42" s="166">
        <f t="shared" si="2"/>
        <v>15268</v>
      </c>
      <c r="H42" s="166"/>
    </row>
    <row r="43" spans="1:9" ht="15.75" customHeight="1">
      <c r="A43" s="1" t="s">
        <v>298</v>
      </c>
      <c r="B43" s="166"/>
      <c r="C43" s="166">
        <f t="shared" si="0"/>
        <v>0</v>
      </c>
      <c r="D43" s="166">
        <f>EskomSales!$H$39</f>
        <v>87133</v>
      </c>
      <c r="E43" s="166">
        <f>EskomSales!$H$42</f>
        <v>77209</v>
      </c>
      <c r="F43" s="166"/>
      <c r="G43" s="166"/>
      <c r="H43" s="166"/>
    </row>
    <row r="44" spans="1:9" ht="15.75" customHeight="1">
      <c r="A44" s="1" t="s">
        <v>299</v>
      </c>
      <c r="B44" s="166"/>
      <c r="C44" s="166">
        <f t="shared" si="0"/>
        <v>0</v>
      </c>
      <c r="D44" s="166">
        <v>607</v>
      </c>
      <c r="E44" s="166">
        <v>607</v>
      </c>
      <c r="F44" s="166"/>
      <c r="G44" s="166">
        <f>F44+E44</f>
        <v>607</v>
      </c>
      <c r="H44" s="166"/>
    </row>
    <row r="45" spans="1:9" ht="15.75" customHeight="1">
      <c r="A45" s="1" t="s">
        <v>24</v>
      </c>
      <c r="B45" s="166">
        <f t="shared" ref="B45:F45" si="4">SUM(B28:B43)</f>
        <v>789206.65999999992</v>
      </c>
      <c r="C45" s="166">
        <f t="shared" si="4"/>
        <v>219224.07222222222</v>
      </c>
      <c r="D45" s="166">
        <f t="shared" si="4"/>
        <v>212190</v>
      </c>
      <c r="E45" s="166">
        <f t="shared" si="4"/>
        <v>202266</v>
      </c>
      <c r="F45" s="166">
        <f t="shared" si="4"/>
        <v>77209</v>
      </c>
      <c r="G45" s="166">
        <f>SUM(G28:G44)</f>
        <v>202873</v>
      </c>
      <c r="H45" s="166"/>
    </row>
    <row r="46" spans="1:9" ht="15.75" customHeight="1">
      <c r="A46" s="2" t="str">
        <f>'DMRE 2017EB'!A5</f>
        <v>Import</v>
      </c>
      <c r="B46" s="169">
        <f>-'DMRE 2017EB'!J5</f>
        <v>-37998</v>
      </c>
      <c r="C46" s="10">
        <f>B46/3.6</f>
        <v>-10555</v>
      </c>
      <c r="D46" s="169"/>
      <c r="E46" s="169"/>
      <c r="G46" s="170"/>
      <c r="H46" s="166"/>
    </row>
    <row r="47" spans="1:9" ht="15.75" customHeight="1">
      <c r="D47" s="166">
        <f t="shared" ref="D47:E47" si="5">SUM(D28:D40)</f>
        <v>109789</v>
      </c>
      <c r="E47" s="166">
        <f t="shared" si="5"/>
        <v>109789</v>
      </c>
      <c r="G47" s="166">
        <f>SUM(G28:G40)</f>
        <v>186998</v>
      </c>
      <c r="I47" s="166">
        <f>SUM(I28:I40)</f>
        <v>186998</v>
      </c>
    </row>
    <row r="48" spans="1:9" ht="15.75" customHeight="1"/>
    <row r="49" spans="1:26" ht="15.75" customHeight="1"/>
    <row r="50" spans="1:26" ht="15.75" customHeight="1">
      <c r="A50" s="163" t="s">
        <v>300</v>
      </c>
      <c r="B50" s="163"/>
      <c r="C50" s="163"/>
      <c r="D50" s="163"/>
      <c r="E50" s="163"/>
      <c r="F50" s="163"/>
      <c r="G50" s="163"/>
      <c r="H50" s="163"/>
      <c r="I50" s="163"/>
      <c r="J50" s="163"/>
      <c r="K50" s="163"/>
      <c r="L50" s="163"/>
      <c r="M50" s="163"/>
      <c r="N50" s="163"/>
      <c r="O50" s="163"/>
      <c r="P50" s="163"/>
      <c r="Q50" s="163"/>
      <c r="R50" s="163"/>
      <c r="S50" s="163"/>
      <c r="T50" s="163"/>
      <c r="U50" s="163"/>
      <c r="V50" s="163"/>
      <c r="W50" s="163"/>
      <c r="X50" s="163"/>
      <c r="Y50" s="163"/>
      <c r="Z50" s="163"/>
    </row>
    <row r="51" spans="1:26" ht="15.75" customHeight="1"/>
    <row r="52" spans="1:26" ht="15.75" customHeight="1">
      <c r="A52" s="165" t="s">
        <v>301</v>
      </c>
      <c r="B52" s="165" t="s">
        <v>302</v>
      </c>
      <c r="C52" s="165" t="s">
        <v>303</v>
      </c>
    </row>
    <row r="53" spans="1:26" ht="15.75" customHeight="1">
      <c r="A53" s="1" t="s">
        <v>304</v>
      </c>
      <c r="B53" s="166">
        <f>'DMRE 2017EB'!J14</f>
        <v>839410.31</v>
      </c>
      <c r="C53" s="166">
        <f t="shared" ref="C53:C57" si="6">B53/3.6</f>
        <v>233169.53055555557</v>
      </c>
    </row>
    <row r="54" spans="1:26" ht="15.75" customHeight="1">
      <c r="A54" s="1" t="s">
        <v>305</v>
      </c>
      <c r="B54" s="166">
        <f>'DMRE 2017EB'!J15</f>
        <v>72201.31</v>
      </c>
      <c r="C54" s="166">
        <f t="shared" si="6"/>
        <v>20055.919444444444</v>
      </c>
    </row>
    <row r="55" spans="1:26" ht="15.75" customHeight="1">
      <c r="A55" s="1" t="s">
        <v>306</v>
      </c>
      <c r="B55" s="166">
        <f>'DMRE 2017EB'!J23</f>
        <v>44655.41</v>
      </c>
      <c r="C55" s="166">
        <f t="shared" si="6"/>
        <v>12404.280555555557</v>
      </c>
    </row>
    <row r="56" spans="1:26" ht="15.75" customHeight="1">
      <c r="A56" s="1" t="s">
        <v>307</v>
      </c>
      <c r="B56" s="166">
        <f>'DMRE 2017EB'!J29</f>
        <v>75909.61</v>
      </c>
      <c r="C56" s="166">
        <f t="shared" si="6"/>
        <v>21086.002777777776</v>
      </c>
    </row>
    <row r="57" spans="1:26" ht="15.75" customHeight="1">
      <c r="A57" s="1" t="s">
        <v>308</v>
      </c>
      <c r="B57" s="166">
        <f>'DMRE 2017EB'!J31</f>
        <v>729630.26</v>
      </c>
      <c r="C57" s="166">
        <f t="shared" si="6"/>
        <v>202675.07222222222</v>
      </c>
    </row>
    <row r="58" spans="1:26" ht="15.75" customHeight="1"/>
    <row r="59" spans="1:26" ht="15.75" customHeight="1">
      <c r="A59" s="163"/>
      <c r="B59" s="163"/>
      <c r="C59" s="163"/>
      <c r="D59" s="163"/>
      <c r="E59" s="163"/>
      <c r="F59" s="163"/>
      <c r="G59" s="163"/>
      <c r="H59" s="163"/>
      <c r="I59" s="163"/>
      <c r="J59" s="163"/>
      <c r="K59" s="163"/>
      <c r="L59" s="163"/>
      <c r="M59" s="163"/>
      <c r="N59" s="163"/>
      <c r="O59" s="163"/>
      <c r="P59" s="163"/>
      <c r="Q59" s="163"/>
      <c r="R59" s="163"/>
      <c r="S59" s="163"/>
      <c r="T59" s="163"/>
      <c r="U59" s="163"/>
      <c r="V59" s="163"/>
      <c r="W59" s="163"/>
      <c r="X59" s="163"/>
      <c r="Y59" s="163"/>
      <c r="Z59" s="163"/>
    </row>
    <row r="60" spans="1:26" ht="15.75" customHeight="1"/>
    <row r="61" spans="1:26" ht="15.75" customHeight="1"/>
    <row r="62" spans="1:26" ht="15.75" customHeight="1"/>
    <row r="63" spans="1:26" ht="15.75" customHeight="1"/>
    <row r="64" spans="1:26"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E91"/>
  <sheetViews>
    <sheetView workbookViewId="0"/>
  </sheetViews>
  <sheetFormatPr defaultColWidth="11.21875" defaultRowHeight="15" customHeight="1"/>
  <sheetData>
    <row r="1" spans="1:57">
      <c r="A1" s="171" t="s">
        <v>309</v>
      </c>
      <c r="B1" s="172" t="s">
        <v>310</v>
      </c>
      <c r="C1" s="172" t="s">
        <v>311</v>
      </c>
      <c r="D1" s="172" t="s">
        <v>312</v>
      </c>
      <c r="E1" s="172" t="s">
        <v>313</v>
      </c>
      <c r="F1" s="172" t="s">
        <v>314</v>
      </c>
      <c r="G1" s="172" t="s">
        <v>315</v>
      </c>
      <c r="H1" s="172" t="s">
        <v>316</v>
      </c>
      <c r="I1" s="172" t="s">
        <v>317</v>
      </c>
      <c r="J1" s="172" t="s">
        <v>318</v>
      </c>
      <c r="K1" s="172" t="s">
        <v>319</v>
      </c>
      <c r="L1" s="171" t="s">
        <v>320</v>
      </c>
      <c r="M1" s="173"/>
      <c r="N1" s="173"/>
      <c r="O1" s="434" t="s">
        <v>321</v>
      </c>
      <c r="P1" s="435"/>
      <c r="Q1" s="174"/>
      <c r="R1" s="173"/>
      <c r="S1" s="173"/>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row>
    <row r="2" spans="1:57">
      <c r="A2" s="175">
        <v>1980</v>
      </c>
      <c r="B2" s="176">
        <v>25882</v>
      </c>
      <c r="C2" s="176">
        <v>29373</v>
      </c>
      <c r="D2" s="177">
        <v>987</v>
      </c>
      <c r="E2" s="176">
        <v>4455</v>
      </c>
      <c r="F2" s="177">
        <v>1495</v>
      </c>
      <c r="G2" s="176">
        <v>906</v>
      </c>
      <c r="H2" s="176">
        <v>26923</v>
      </c>
      <c r="I2" s="176">
        <v>0</v>
      </c>
      <c r="J2" s="176">
        <v>0</v>
      </c>
      <c r="K2" s="176">
        <v>90021</v>
      </c>
      <c r="L2" s="436" t="s">
        <v>322</v>
      </c>
      <c r="M2" s="173"/>
      <c r="N2" s="173"/>
      <c r="O2" s="178" t="s">
        <v>323</v>
      </c>
      <c r="P2" s="179" t="s">
        <v>324</v>
      </c>
      <c r="Q2" s="174"/>
      <c r="R2" s="173"/>
      <c r="S2" s="173"/>
      <c r="T2" s="173"/>
      <c r="U2" s="173"/>
      <c r="V2" s="173"/>
      <c r="W2" s="173"/>
      <c r="X2" s="173"/>
      <c r="Y2" s="173"/>
      <c r="Z2" s="173"/>
      <c r="AA2" s="173"/>
      <c r="AB2" s="173"/>
      <c r="AC2" s="173"/>
      <c r="AD2" s="173"/>
      <c r="AE2" s="173"/>
      <c r="AF2" s="173"/>
      <c r="AG2" s="173"/>
      <c r="AH2" s="173"/>
      <c r="AI2" s="173"/>
      <c r="AJ2" s="173"/>
      <c r="AK2" s="173"/>
      <c r="AL2" s="173"/>
      <c r="AM2" s="173"/>
      <c r="AN2" s="173"/>
      <c r="AO2" s="173"/>
      <c r="AP2" s="173"/>
      <c r="AQ2" s="173"/>
      <c r="AR2" s="173"/>
      <c r="AS2" s="173"/>
      <c r="AT2" s="173"/>
      <c r="AU2" s="173"/>
      <c r="AV2" s="173"/>
      <c r="AW2" s="173"/>
      <c r="AX2" s="173"/>
      <c r="AY2" s="173"/>
      <c r="AZ2" s="173"/>
      <c r="BA2" s="173"/>
      <c r="BB2" s="173"/>
      <c r="BC2" s="173"/>
      <c r="BD2" s="173"/>
      <c r="BE2" s="173"/>
    </row>
    <row r="3" spans="1:57">
      <c r="A3" s="175">
        <v>1981</v>
      </c>
      <c r="B3" s="176">
        <v>27131</v>
      </c>
      <c r="C3" s="176">
        <v>31091</v>
      </c>
      <c r="D3" s="177">
        <v>1566</v>
      </c>
      <c r="E3" s="176">
        <v>4660</v>
      </c>
      <c r="F3" s="177">
        <v>1704</v>
      </c>
      <c r="G3" s="176">
        <v>1002</v>
      </c>
      <c r="H3" s="176">
        <v>29961</v>
      </c>
      <c r="I3" s="176">
        <v>0</v>
      </c>
      <c r="J3" s="176">
        <v>0</v>
      </c>
      <c r="K3" s="176">
        <v>97115</v>
      </c>
      <c r="L3" s="437"/>
      <c r="M3" s="173"/>
      <c r="N3" s="173"/>
      <c r="O3" s="180">
        <v>0.18</v>
      </c>
      <c r="P3" s="179" t="s">
        <v>56</v>
      </c>
      <c r="Q3" s="181" t="s">
        <v>325</v>
      </c>
      <c r="R3" s="173"/>
      <c r="S3" s="173"/>
      <c r="T3" s="173"/>
      <c r="U3" s="173"/>
      <c r="V3" s="173"/>
      <c r="W3" s="173"/>
      <c r="X3" s="173"/>
      <c r="Y3" s="173"/>
      <c r="Z3" s="173"/>
      <c r="AA3" s="173"/>
      <c r="AB3" s="173"/>
      <c r="AC3" s="173"/>
      <c r="AD3" s="173"/>
      <c r="AE3" s="173"/>
      <c r="AF3" s="173"/>
      <c r="AG3" s="173"/>
      <c r="AH3" s="173"/>
      <c r="AI3" s="173"/>
      <c r="AJ3" s="173"/>
      <c r="AK3" s="173"/>
      <c r="AL3" s="173"/>
      <c r="AM3" s="173"/>
      <c r="AN3" s="173"/>
      <c r="AO3" s="173"/>
      <c r="AP3" s="173"/>
      <c r="AQ3" s="173"/>
      <c r="AR3" s="173"/>
      <c r="AS3" s="173"/>
      <c r="AT3" s="173"/>
      <c r="AU3" s="173"/>
      <c r="AV3" s="173"/>
      <c r="AW3" s="173"/>
      <c r="AX3" s="173"/>
      <c r="AY3" s="173"/>
      <c r="AZ3" s="173"/>
      <c r="BA3" s="173"/>
      <c r="BB3" s="173"/>
      <c r="BC3" s="173"/>
      <c r="BD3" s="173"/>
      <c r="BE3" s="173"/>
    </row>
    <row r="4" spans="1:57">
      <c r="A4" s="175">
        <v>1982</v>
      </c>
      <c r="B4" s="176">
        <v>27372</v>
      </c>
      <c r="C4" s="176">
        <v>30959</v>
      </c>
      <c r="D4" s="177">
        <v>599</v>
      </c>
      <c r="E4" s="176">
        <v>4436</v>
      </c>
      <c r="F4" s="177">
        <v>1915</v>
      </c>
      <c r="G4" s="176">
        <v>1020</v>
      </c>
      <c r="H4" s="176">
        <v>32349</v>
      </c>
      <c r="I4" s="176">
        <v>0</v>
      </c>
      <c r="J4" s="176">
        <v>0</v>
      </c>
      <c r="K4" s="176">
        <v>98650</v>
      </c>
      <c r="L4" s="437"/>
      <c r="M4" s="173"/>
      <c r="N4" s="173"/>
      <c r="O4" s="180">
        <v>0.09</v>
      </c>
      <c r="P4" s="179" t="s">
        <v>326</v>
      </c>
      <c r="Q4" s="181" t="s">
        <v>327</v>
      </c>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c r="BA4" s="173"/>
      <c r="BB4" s="173"/>
      <c r="BC4" s="173"/>
      <c r="BD4" s="173"/>
      <c r="BE4" s="173"/>
    </row>
    <row r="5" spans="1:57">
      <c r="A5" s="175">
        <v>1983</v>
      </c>
      <c r="B5" s="176">
        <v>28021</v>
      </c>
      <c r="C5" s="176">
        <v>32286</v>
      </c>
      <c r="D5" s="177">
        <v>619</v>
      </c>
      <c r="E5" s="176">
        <v>4137</v>
      </c>
      <c r="F5" s="177">
        <v>2051</v>
      </c>
      <c r="G5" s="176">
        <v>1078</v>
      </c>
      <c r="H5" s="176">
        <v>32729</v>
      </c>
      <c r="I5" s="176">
        <v>0</v>
      </c>
      <c r="J5" s="176">
        <v>0</v>
      </c>
      <c r="K5" s="176">
        <v>100921</v>
      </c>
      <c r="L5" s="437"/>
      <c r="M5" s="173"/>
      <c r="N5" s="173"/>
      <c r="O5" s="180">
        <v>0.13</v>
      </c>
      <c r="P5" s="179" t="s">
        <v>41</v>
      </c>
      <c r="Q5" s="181" t="s">
        <v>328</v>
      </c>
      <c r="R5" s="173"/>
      <c r="S5" s="173"/>
      <c r="T5" s="173"/>
      <c r="U5" s="173"/>
      <c r="V5" s="173"/>
      <c r="W5" s="173"/>
      <c r="X5" s="173"/>
      <c r="Y5" s="173"/>
      <c r="Z5" s="173"/>
      <c r="AA5" s="173"/>
      <c r="AB5" s="173"/>
      <c r="AC5" s="173"/>
      <c r="AD5" s="173"/>
      <c r="AE5" s="173"/>
      <c r="AF5" s="173"/>
      <c r="AG5" s="173"/>
      <c r="AH5" s="173"/>
      <c r="AI5" s="173"/>
      <c r="AJ5" s="173"/>
      <c r="AK5" s="173"/>
      <c r="AL5" s="173"/>
      <c r="AM5" s="173"/>
      <c r="AN5" s="173"/>
      <c r="AO5" s="173"/>
      <c r="AP5" s="173"/>
      <c r="AQ5" s="173"/>
      <c r="AR5" s="173"/>
      <c r="AS5" s="173"/>
      <c r="AT5" s="173"/>
      <c r="AU5" s="173"/>
      <c r="AV5" s="173"/>
      <c r="AW5" s="173"/>
      <c r="AX5" s="173"/>
      <c r="AY5" s="173"/>
      <c r="AZ5" s="173"/>
      <c r="BA5" s="173"/>
      <c r="BB5" s="173"/>
      <c r="BC5" s="173"/>
      <c r="BD5" s="173"/>
      <c r="BE5" s="173"/>
    </row>
    <row r="6" spans="1:57">
      <c r="A6" s="175">
        <v>1984</v>
      </c>
      <c r="B6" s="176">
        <v>29506</v>
      </c>
      <c r="C6" s="176">
        <v>36119</v>
      </c>
      <c r="D6" s="177">
        <v>662</v>
      </c>
      <c r="E6" s="176">
        <v>4595</v>
      </c>
      <c r="F6" s="177">
        <v>2295</v>
      </c>
      <c r="G6" s="176">
        <v>1144</v>
      </c>
      <c r="H6" s="176">
        <v>35541</v>
      </c>
      <c r="I6" s="176">
        <v>0</v>
      </c>
      <c r="J6" s="176">
        <v>0</v>
      </c>
      <c r="K6" s="176">
        <v>109862</v>
      </c>
      <c r="L6" s="437"/>
      <c r="M6" s="173"/>
      <c r="N6" s="173"/>
      <c r="O6" s="180">
        <v>0.05</v>
      </c>
      <c r="P6" s="179" t="s">
        <v>329</v>
      </c>
      <c r="Q6" s="181" t="s">
        <v>330</v>
      </c>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row>
    <row r="7" spans="1:57">
      <c r="A7" s="175">
        <v>1985</v>
      </c>
      <c r="B7" s="176">
        <v>30849</v>
      </c>
      <c r="C7" s="176">
        <v>38215</v>
      </c>
      <c r="D7" s="177">
        <v>472</v>
      </c>
      <c r="E7" s="176">
        <v>4587</v>
      </c>
      <c r="F7" s="177">
        <v>2665</v>
      </c>
      <c r="G7" s="176">
        <v>1204</v>
      </c>
      <c r="H7" s="176">
        <v>37451</v>
      </c>
      <c r="I7" s="176">
        <v>0</v>
      </c>
      <c r="J7" s="176">
        <v>0</v>
      </c>
      <c r="K7" s="176">
        <v>115443</v>
      </c>
      <c r="L7" s="437"/>
      <c r="M7" s="173"/>
      <c r="N7" s="173"/>
      <c r="O7" s="180">
        <v>0.04</v>
      </c>
      <c r="P7" s="179" t="s">
        <v>57</v>
      </c>
      <c r="Q7" s="181" t="s">
        <v>331</v>
      </c>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c r="BA7" s="173"/>
      <c r="BB7" s="173"/>
      <c r="BC7" s="173"/>
      <c r="BD7" s="173"/>
      <c r="BE7" s="173"/>
    </row>
    <row r="8" spans="1:57">
      <c r="A8" s="175">
        <v>1986</v>
      </c>
      <c r="B8" s="176">
        <v>31860</v>
      </c>
      <c r="C8" s="176">
        <v>39170</v>
      </c>
      <c r="D8" s="177">
        <v>462</v>
      </c>
      <c r="E8" s="176">
        <v>4501</v>
      </c>
      <c r="F8" s="177">
        <v>2863</v>
      </c>
      <c r="G8" s="176">
        <v>1252</v>
      </c>
      <c r="H8" s="176">
        <v>40570</v>
      </c>
      <c r="I8" s="176">
        <v>0</v>
      </c>
      <c r="J8" s="176">
        <v>0</v>
      </c>
      <c r="K8" s="176">
        <v>120678</v>
      </c>
      <c r="L8" s="437"/>
      <c r="M8" s="173"/>
      <c r="N8" s="173"/>
      <c r="O8" s="174"/>
      <c r="P8" s="173"/>
      <c r="Q8" s="174"/>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c r="BA8" s="173"/>
      <c r="BB8" s="173"/>
      <c r="BC8" s="173"/>
      <c r="BD8" s="173"/>
      <c r="BE8" s="173"/>
    </row>
    <row r="9" spans="1:57">
      <c r="A9" s="175">
        <v>1987</v>
      </c>
      <c r="B9" s="176">
        <v>32849</v>
      </c>
      <c r="C9" s="176">
        <v>35262</v>
      </c>
      <c r="D9" s="177">
        <v>461</v>
      </c>
      <c r="E9" s="176">
        <v>4049</v>
      </c>
      <c r="F9" s="176">
        <v>3022</v>
      </c>
      <c r="G9" s="176">
        <v>1279</v>
      </c>
      <c r="H9" s="176">
        <v>45418</v>
      </c>
      <c r="I9" s="176">
        <v>0</v>
      </c>
      <c r="J9" s="176">
        <v>645</v>
      </c>
      <c r="K9" s="176">
        <v>122985</v>
      </c>
      <c r="L9" s="437"/>
      <c r="M9" s="173"/>
      <c r="N9" s="173"/>
      <c r="O9" s="182">
        <v>8.8800000000000004E-2</v>
      </c>
      <c r="P9" s="173"/>
      <c r="Q9" s="181">
        <v>186998.1</v>
      </c>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c r="BA9" s="173"/>
      <c r="BB9" s="173"/>
      <c r="BC9" s="173"/>
      <c r="BD9" s="173"/>
      <c r="BE9" s="173"/>
    </row>
    <row r="10" spans="1:57">
      <c r="A10" s="175">
        <v>1988</v>
      </c>
      <c r="B10" s="176">
        <v>34229</v>
      </c>
      <c r="C10" s="183">
        <v>36016</v>
      </c>
      <c r="D10" s="176">
        <v>450</v>
      </c>
      <c r="E10" s="176">
        <v>4138</v>
      </c>
      <c r="F10" s="176">
        <v>3151</v>
      </c>
      <c r="G10" s="176">
        <v>1357</v>
      </c>
      <c r="H10" s="176">
        <v>49812</v>
      </c>
      <c r="I10" s="176">
        <v>0</v>
      </c>
      <c r="J10" s="176">
        <v>467</v>
      </c>
      <c r="K10" s="176">
        <v>129620</v>
      </c>
      <c r="L10" s="438"/>
      <c r="M10" s="173"/>
      <c r="N10" s="173"/>
      <c r="O10" s="180">
        <v>0.2</v>
      </c>
      <c r="P10" s="178" t="s">
        <v>107</v>
      </c>
      <c r="Q10" s="181">
        <v>6897.2690000000002</v>
      </c>
      <c r="R10" s="173"/>
      <c r="S10" s="173"/>
      <c r="T10" s="173"/>
      <c r="U10" s="173"/>
      <c r="V10" s="173"/>
      <c r="W10" s="173"/>
      <c r="X10" s="173"/>
      <c r="Y10" s="173"/>
      <c r="Z10" s="173"/>
      <c r="AA10" s="173"/>
      <c r="AB10" s="173"/>
      <c r="AC10" s="173"/>
      <c r="AD10" s="173"/>
      <c r="AE10" s="173"/>
      <c r="AF10" s="173"/>
      <c r="AG10" s="173"/>
      <c r="AH10" s="173"/>
      <c r="AI10" s="173"/>
      <c r="AJ10" s="173"/>
      <c r="AK10" s="173"/>
      <c r="AL10" s="173"/>
      <c r="AM10" s="173"/>
      <c r="AN10" s="173"/>
      <c r="AO10" s="173"/>
      <c r="AP10" s="173"/>
      <c r="AQ10" s="173"/>
      <c r="AR10" s="173"/>
      <c r="AS10" s="173"/>
      <c r="AT10" s="173"/>
      <c r="AU10" s="173"/>
      <c r="AV10" s="173"/>
      <c r="AW10" s="173"/>
      <c r="AX10" s="173"/>
      <c r="AY10" s="173"/>
      <c r="AZ10" s="173"/>
      <c r="BA10" s="173"/>
      <c r="BB10" s="173"/>
      <c r="BC10" s="173"/>
      <c r="BD10" s="173"/>
      <c r="BE10" s="173"/>
    </row>
    <row r="11" spans="1:57">
      <c r="A11" s="175">
        <v>1989</v>
      </c>
      <c r="B11" s="184">
        <v>34661</v>
      </c>
      <c r="C11" s="185">
        <v>35452</v>
      </c>
      <c r="D11" s="184">
        <v>368</v>
      </c>
      <c r="E11" s="184">
        <v>4229</v>
      </c>
      <c r="F11" s="184">
        <v>3438</v>
      </c>
      <c r="G11" s="184">
        <v>1221</v>
      </c>
      <c r="H11" s="184">
        <v>54422</v>
      </c>
      <c r="I11" s="184">
        <v>0</v>
      </c>
      <c r="J11" s="184">
        <v>556</v>
      </c>
      <c r="K11" s="184">
        <v>134347</v>
      </c>
      <c r="L11" s="439" t="s">
        <v>332</v>
      </c>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c r="AS11" s="173"/>
      <c r="AT11" s="173"/>
      <c r="AU11" s="173"/>
      <c r="AV11" s="173"/>
      <c r="AW11" s="173"/>
      <c r="AX11" s="173"/>
      <c r="AY11" s="173"/>
      <c r="AZ11" s="173"/>
      <c r="BA11" s="173"/>
      <c r="BB11" s="173"/>
      <c r="BC11" s="173"/>
      <c r="BD11" s="173"/>
      <c r="BE11" s="173"/>
    </row>
    <row r="12" spans="1:57">
      <c r="A12" s="175">
        <v>1990</v>
      </c>
      <c r="B12" s="184">
        <v>33363</v>
      </c>
      <c r="C12" s="185">
        <v>34152</v>
      </c>
      <c r="D12" s="184">
        <v>340</v>
      </c>
      <c r="E12" s="184">
        <v>3958</v>
      </c>
      <c r="F12" s="184">
        <v>3641</v>
      </c>
      <c r="G12" s="184">
        <v>1081</v>
      </c>
      <c r="H12" s="184">
        <v>59076</v>
      </c>
      <c r="I12" s="184">
        <v>0</v>
      </c>
      <c r="J12" s="184">
        <v>557</v>
      </c>
      <c r="K12" s="184">
        <v>136168</v>
      </c>
      <c r="L12" s="437"/>
      <c r="M12" s="173"/>
      <c r="N12" s="173"/>
      <c r="O12" s="173"/>
      <c r="P12" s="173"/>
      <c r="Q12" s="179" t="s">
        <v>272</v>
      </c>
      <c r="R12" s="173"/>
      <c r="S12" s="179" t="s">
        <v>333</v>
      </c>
      <c r="T12" s="173"/>
      <c r="U12" s="432" t="s">
        <v>334</v>
      </c>
      <c r="V12" s="433"/>
      <c r="W12" s="433"/>
      <c r="X12" s="433"/>
      <c r="Y12" s="173"/>
      <c r="Z12" s="173"/>
      <c r="AA12" s="173"/>
      <c r="AB12" s="173"/>
      <c r="AC12" s="173"/>
      <c r="AD12" s="173"/>
      <c r="AE12" s="173"/>
      <c r="AF12" s="173"/>
      <c r="AG12" s="173"/>
      <c r="AH12" s="173"/>
      <c r="AI12" s="173"/>
      <c r="AJ12" s="173"/>
      <c r="AK12" s="173"/>
      <c r="AL12" s="173"/>
      <c r="AM12" s="173"/>
      <c r="AN12" s="173"/>
      <c r="AO12" s="173"/>
      <c r="AP12" s="173"/>
      <c r="AQ12" s="173"/>
      <c r="AR12" s="173"/>
      <c r="AS12" s="173"/>
      <c r="AT12" s="173"/>
      <c r="AU12" s="173"/>
      <c r="AV12" s="173"/>
      <c r="AW12" s="173"/>
      <c r="AX12" s="173"/>
      <c r="AY12" s="173"/>
      <c r="AZ12" s="173"/>
      <c r="BA12" s="173"/>
      <c r="BB12" s="173"/>
      <c r="BC12" s="173"/>
      <c r="BD12" s="173"/>
      <c r="BE12" s="173"/>
    </row>
    <row r="13" spans="1:57">
      <c r="A13" s="175">
        <v>1991</v>
      </c>
      <c r="B13" s="184">
        <v>31366</v>
      </c>
      <c r="C13" s="185">
        <v>35470</v>
      </c>
      <c r="D13" s="184">
        <v>344</v>
      </c>
      <c r="E13" s="184">
        <v>3685</v>
      </c>
      <c r="F13" s="184">
        <v>3711</v>
      </c>
      <c r="G13" s="184">
        <v>1138</v>
      </c>
      <c r="H13" s="184">
        <v>62482</v>
      </c>
      <c r="I13" s="184">
        <v>0</v>
      </c>
      <c r="J13" s="184">
        <v>491</v>
      </c>
      <c r="K13" s="184">
        <v>138687</v>
      </c>
      <c r="L13" s="437"/>
      <c r="M13" s="173"/>
      <c r="N13" s="173"/>
      <c r="O13" s="173"/>
      <c r="P13" s="173"/>
      <c r="Q13" s="179" t="s">
        <v>303</v>
      </c>
      <c r="R13" s="179" t="s">
        <v>335</v>
      </c>
      <c r="S13" s="179" t="s">
        <v>303</v>
      </c>
      <c r="T13" s="179" t="s">
        <v>335</v>
      </c>
      <c r="U13" s="173"/>
      <c r="V13" s="432" t="s">
        <v>336</v>
      </c>
      <c r="W13" s="433"/>
      <c r="X13" s="433"/>
      <c r="Y13" s="173"/>
      <c r="Z13" s="173"/>
      <c r="AA13" s="173"/>
      <c r="AB13" s="173"/>
      <c r="AC13" s="173"/>
      <c r="AD13" s="173"/>
      <c r="AE13" s="173"/>
      <c r="AF13" s="173"/>
      <c r="AG13" s="173"/>
      <c r="AH13" s="173"/>
      <c r="AI13" s="173"/>
      <c r="AJ13" s="173"/>
      <c r="AK13" s="173"/>
      <c r="AL13" s="173"/>
      <c r="AM13" s="173"/>
      <c r="AN13" s="173"/>
      <c r="AO13" s="173"/>
      <c r="AP13" s="173"/>
      <c r="AQ13" s="173"/>
      <c r="AR13" s="173"/>
      <c r="AS13" s="173"/>
      <c r="AT13" s="173"/>
      <c r="AU13" s="173"/>
      <c r="AV13" s="173"/>
      <c r="AW13" s="173"/>
      <c r="AX13" s="173"/>
      <c r="AY13" s="173"/>
      <c r="AZ13" s="173"/>
      <c r="BA13" s="173"/>
      <c r="BB13" s="173"/>
      <c r="BC13" s="173"/>
      <c r="BD13" s="173"/>
      <c r="BE13" s="173"/>
    </row>
    <row r="14" spans="1:57">
      <c r="A14" s="175">
        <v>1992</v>
      </c>
      <c r="B14" s="184">
        <v>30840</v>
      </c>
      <c r="C14" s="185">
        <v>34034</v>
      </c>
      <c r="D14" s="184">
        <v>379</v>
      </c>
      <c r="E14" s="184">
        <v>3568</v>
      </c>
      <c r="F14" s="184">
        <v>4038</v>
      </c>
      <c r="G14" s="184">
        <v>1604</v>
      </c>
      <c r="H14" s="184">
        <v>62417</v>
      </c>
      <c r="I14" s="184">
        <v>776</v>
      </c>
      <c r="J14" s="184">
        <v>470</v>
      </c>
      <c r="K14" s="184">
        <v>138126</v>
      </c>
      <c r="L14" s="437"/>
      <c r="M14" s="173"/>
      <c r="N14" s="173"/>
      <c r="O14" s="173"/>
      <c r="P14" s="179" t="s">
        <v>56</v>
      </c>
      <c r="Q14" s="28" t="s">
        <v>337</v>
      </c>
      <c r="R14" s="186">
        <v>0.18</v>
      </c>
      <c r="S14" s="28" t="s">
        <v>338</v>
      </c>
      <c r="T14" s="187">
        <v>0.19</v>
      </c>
      <c r="U14" s="188">
        <v>0.255</v>
      </c>
      <c r="V14" s="188">
        <v>0.22600000000000001</v>
      </c>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c r="AS14" s="173"/>
      <c r="AT14" s="173"/>
      <c r="AU14" s="173"/>
      <c r="AV14" s="173"/>
      <c r="AW14" s="173"/>
      <c r="AX14" s="173"/>
      <c r="AY14" s="173"/>
      <c r="AZ14" s="173"/>
      <c r="BA14" s="173"/>
      <c r="BB14" s="173"/>
      <c r="BC14" s="173"/>
      <c r="BD14" s="173"/>
      <c r="BE14" s="173"/>
    </row>
    <row r="15" spans="1:57">
      <c r="A15" s="175">
        <v>1993</v>
      </c>
      <c r="B15" s="189">
        <v>30998</v>
      </c>
      <c r="C15" s="190">
        <v>37467</v>
      </c>
      <c r="D15" s="189">
        <v>493</v>
      </c>
      <c r="E15" s="190">
        <v>3365</v>
      </c>
      <c r="F15" s="190">
        <v>3149</v>
      </c>
      <c r="G15" s="190">
        <v>2778</v>
      </c>
      <c r="H15" s="28">
        <v>63591</v>
      </c>
      <c r="I15" s="28">
        <v>1565</v>
      </c>
      <c r="J15" s="28">
        <v>394</v>
      </c>
      <c r="K15" s="28">
        <v>143800</v>
      </c>
      <c r="L15" s="437"/>
      <c r="M15" s="173"/>
      <c r="N15" s="173"/>
      <c r="O15" s="173"/>
      <c r="P15" s="179" t="s">
        <v>326</v>
      </c>
      <c r="Q15" s="28" t="s">
        <v>339</v>
      </c>
      <c r="R15" s="186">
        <v>0.09</v>
      </c>
      <c r="S15" s="28" t="s">
        <v>340</v>
      </c>
      <c r="T15" s="191">
        <v>0.1</v>
      </c>
      <c r="U15" s="188">
        <v>0.16</v>
      </c>
      <c r="V15" s="188">
        <v>0.13100000000000001</v>
      </c>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c r="BD15" s="173"/>
      <c r="BE15" s="173"/>
    </row>
    <row r="16" spans="1:57">
      <c r="A16" s="175">
        <v>1994</v>
      </c>
      <c r="B16" s="190">
        <v>31619</v>
      </c>
      <c r="C16" s="190">
        <v>40394</v>
      </c>
      <c r="D16" s="189">
        <v>478</v>
      </c>
      <c r="E16" s="190">
        <v>3494</v>
      </c>
      <c r="F16" s="190">
        <v>3255</v>
      </c>
      <c r="G16" s="190">
        <v>3660</v>
      </c>
      <c r="H16" s="28">
        <v>64584</v>
      </c>
      <c r="I16" s="28">
        <v>1583</v>
      </c>
      <c r="J16" s="28">
        <v>376</v>
      </c>
      <c r="K16" s="28">
        <v>149443</v>
      </c>
      <c r="L16" s="437"/>
      <c r="M16" s="173"/>
      <c r="N16" s="173"/>
      <c r="O16" s="173"/>
      <c r="P16" s="179" t="s">
        <v>41</v>
      </c>
      <c r="Q16" s="28" t="s">
        <v>341</v>
      </c>
      <c r="R16" s="186">
        <v>0.13</v>
      </c>
      <c r="S16" s="173"/>
      <c r="T16" s="191">
        <v>0.13</v>
      </c>
      <c r="U16" s="188">
        <v>0.191</v>
      </c>
      <c r="V16" s="188">
        <v>0.13</v>
      </c>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c r="BE16" s="173"/>
    </row>
    <row r="17" spans="1:57">
      <c r="A17" s="175">
        <v>1995</v>
      </c>
      <c r="B17" s="190">
        <v>31293</v>
      </c>
      <c r="C17" s="190">
        <v>42244</v>
      </c>
      <c r="D17" s="189">
        <v>579</v>
      </c>
      <c r="E17" s="190">
        <v>3522</v>
      </c>
      <c r="F17" s="190">
        <v>3383</v>
      </c>
      <c r="G17" s="190">
        <v>3906</v>
      </c>
      <c r="H17" s="28">
        <v>66421</v>
      </c>
      <c r="I17" s="28">
        <v>1832</v>
      </c>
      <c r="J17" s="28">
        <v>367</v>
      </c>
      <c r="K17" s="28">
        <v>153547</v>
      </c>
      <c r="L17" s="437"/>
      <c r="M17" s="173"/>
      <c r="N17" s="173"/>
      <c r="O17" s="173"/>
      <c r="P17" s="179" t="s">
        <v>329</v>
      </c>
      <c r="Q17" s="28" t="s">
        <v>342</v>
      </c>
      <c r="R17" s="186">
        <v>0.05</v>
      </c>
      <c r="S17" s="28" t="s">
        <v>343</v>
      </c>
      <c r="T17" s="191">
        <v>0.06</v>
      </c>
      <c r="U17" s="188">
        <v>0.11799999999999999</v>
      </c>
      <c r="V17" s="188">
        <v>6.4000000000000001E-2</v>
      </c>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c r="BE17" s="173"/>
    </row>
    <row r="18" spans="1:57">
      <c r="A18" s="175">
        <v>1996</v>
      </c>
      <c r="B18" s="190">
        <v>31188</v>
      </c>
      <c r="C18" s="190">
        <v>47451</v>
      </c>
      <c r="D18" s="189">
        <v>654</v>
      </c>
      <c r="E18" s="190">
        <v>3458</v>
      </c>
      <c r="F18" s="190">
        <v>3239</v>
      </c>
      <c r="G18" s="190">
        <v>4753</v>
      </c>
      <c r="H18" s="28">
        <v>69905</v>
      </c>
      <c r="I18" s="28">
        <v>4441</v>
      </c>
      <c r="J18" s="28">
        <v>281</v>
      </c>
      <c r="K18" s="28">
        <v>165370</v>
      </c>
      <c r="L18" s="437"/>
      <c r="M18" s="173"/>
      <c r="N18" s="173"/>
      <c r="O18" s="173"/>
      <c r="P18" s="179" t="s">
        <v>57</v>
      </c>
      <c r="Q18" s="28" t="s">
        <v>344</v>
      </c>
      <c r="R18" s="186">
        <v>0.04</v>
      </c>
      <c r="S18" s="28">
        <v>334</v>
      </c>
      <c r="T18" s="191">
        <v>0.04</v>
      </c>
      <c r="U18" s="188">
        <v>0.1</v>
      </c>
      <c r="V18" s="188">
        <v>4.9000000000000002E-2</v>
      </c>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row>
    <row r="19" spans="1:57">
      <c r="A19" s="175">
        <v>1997</v>
      </c>
      <c r="B19" s="190">
        <v>33077</v>
      </c>
      <c r="C19" s="190">
        <v>52236</v>
      </c>
      <c r="D19" s="189">
        <v>979</v>
      </c>
      <c r="E19" s="190">
        <v>3406</v>
      </c>
      <c r="F19" s="190">
        <v>3402</v>
      </c>
      <c r="G19" s="190">
        <v>5494</v>
      </c>
      <c r="H19" s="28">
        <v>68109</v>
      </c>
      <c r="I19" s="28">
        <v>5513</v>
      </c>
      <c r="J19" s="28">
        <v>334</v>
      </c>
      <c r="K19" s="28">
        <v>172550</v>
      </c>
      <c r="L19" s="437"/>
      <c r="M19" s="173"/>
      <c r="N19" s="173"/>
      <c r="O19" s="173"/>
      <c r="P19" s="179" t="s">
        <v>107</v>
      </c>
      <c r="Q19" s="28" t="s">
        <v>345</v>
      </c>
      <c r="R19" s="186">
        <v>0.2</v>
      </c>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3"/>
    </row>
    <row r="20" spans="1:57">
      <c r="A20" s="175">
        <v>1998</v>
      </c>
      <c r="B20" s="190">
        <v>31645</v>
      </c>
      <c r="C20" s="190">
        <v>53683</v>
      </c>
      <c r="D20" s="189">
        <v>801</v>
      </c>
      <c r="E20" s="190">
        <v>3439</v>
      </c>
      <c r="F20" s="190">
        <v>3725</v>
      </c>
      <c r="G20" s="190">
        <v>5989</v>
      </c>
      <c r="H20" s="28">
        <v>68666</v>
      </c>
      <c r="I20" s="28">
        <v>3197</v>
      </c>
      <c r="J20" s="28">
        <v>309</v>
      </c>
      <c r="K20" s="28">
        <v>171454</v>
      </c>
      <c r="L20" s="437"/>
      <c r="M20" s="173"/>
      <c r="N20" s="173"/>
      <c r="O20" s="173"/>
      <c r="P20" s="179" t="s">
        <v>346</v>
      </c>
      <c r="Q20" s="28" t="s">
        <v>347</v>
      </c>
      <c r="R20" s="188">
        <v>5.7000000000000002E-2</v>
      </c>
      <c r="S20" s="173"/>
      <c r="T20" s="173"/>
      <c r="U20" s="173"/>
      <c r="V20" s="173"/>
      <c r="W20" s="173"/>
      <c r="X20" s="173"/>
      <c r="Y20" s="173"/>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c r="BE20" s="173"/>
    </row>
    <row r="21" spans="1:57">
      <c r="A21" s="175">
        <v>1999</v>
      </c>
      <c r="B21" s="190">
        <v>31505</v>
      </c>
      <c r="C21" s="190">
        <v>54240</v>
      </c>
      <c r="D21" s="189">
        <v>768</v>
      </c>
      <c r="E21" s="190">
        <v>3180</v>
      </c>
      <c r="F21" s="190">
        <v>3890</v>
      </c>
      <c r="G21" s="190">
        <v>6057</v>
      </c>
      <c r="H21" s="28">
        <v>69374</v>
      </c>
      <c r="I21" s="28">
        <v>4099</v>
      </c>
      <c r="J21" s="28">
        <v>309</v>
      </c>
      <c r="K21" s="28">
        <v>173422</v>
      </c>
      <c r="L21" s="437"/>
      <c r="M21" s="173"/>
      <c r="N21" s="173"/>
      <c r="O21" s="173"/>
      <c r="P21" s="179" t="s">
        <v>348</v>
      </c>
      <c r="Q21" s="28" t="s">
        <v>349</v>
      </c>
      <c r="R21" s="188">
        <v>8.5000000000000006E-2</v>
      </c>
      <c r="S21" s="173"/>
      <c r="T21" s="173"/>
      <c r="U21" s="173"/>
      <c r="V21" s="173"/>
      <c r="W21" s="173"/>
      <c r="X21" s="173"/>
      <c r="Y21" s="173"/>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c r="BE21" s="173"/>
    </row>
    <row r="22" spans="1:57">
      <c r="A22" s="175">
        <v>2000</v>
      </c>
      <c r="B22" s="190">
        <v>31402</v>
      </c>
      <c r="C22" s="190">
        <v>55878</v>
      </c>
      <c r="D22" s="189">
        <v>792</v>
      </c>
      <c r="E22" s="190">
        <v>3329</v>
      </c>
      <c r="F22" s="190">
        <v>3813</v>
      </c>
      <c r="G22" s="190">
        <v>6308</v>
      </c>
      <c r="H22" s="28">
        <v>72307</v>
      </c>
      <c r="I22" s="28">
        <v>4095</v>
      </c>
      <c r="J22" s="28">
        <v>268</v>
      </c>
      <c r="K22" s="28">
        <v>178192</v>
      </c>
      <c r="L22" s="437"/>
      <c r="M22" s="173"/>
      <c r="N22" s="173"/>
      <c r="O22" s="173"/>
      <c r="P22" s="179" t="s">
        <v>350</v>
      </c>
      <c r="Q22" s="28" t="s">
        <v>351</v>
      </c>
      <c r="R22" s="188">
        <v>7.2999999999999995E-2</v>
      </c>
      <c r="S22" s="28" t="s">
        <v>352</v>
      </c>
      <c r="T22" s="173"/>
      <c r="U22" s="173"/>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row>
    <row r="23" spans="1:57">
      <c r="A23" s="175">
        <v>2001</v>
      </c>
      <c r="B23" s="190">
        <v>31923</v>
      </c>
      <c r="C23" s="190">
        <v>48664</v>
      </c>
      <c r="D23" s="190">
        <v>6407</v>
      </c>
      <c r="E23" s="190">
        <v>3481</v>
      </c>
      <c r="F23" s="190">
        <v>4224</v>
      </c>
      <c r="G23" s="190">
        <v>7301</v>
      </c>
      <c r="H23" s="28">
        <v>72189</v>
      </c>
      <c r="I23" s="28">
        <v>6996</v>
      </c>
      <c r="J23" s="28">
        <v>326</v>
      </c>
      <c r="K23" s="28">
        <v>181511</v>
      </c>
      <c r="L23" s="437"/>
      <c r="M23" s="173"/>
      <c r="N23" s="173"/>
      <c r="O23" s="173"/>
      <c r="P23" s="179" t="s">
        <v>353</v>
      </c>
      <c r="Q23" s="173"/>
      <c r="R23" s="188">
        <v>3.9E-2</v>
      </c>
      <c r="S23" s="173"/>
      <c r="T23" s="173"/>
      <c r="U23" s="173"/>
      <c r="V23" s="173"/>
      <c r="W23" s="173"/>
      <c r="X23" s="173"/>
      <c r="Y23" s="173"/>
      <c r="Z23" s="173"/>
      <c r="AA23" s="173"/>
      <c r="AB23" s="173"/>
      <c r="AC23" s="173"/>
      <c r="AD23" s="173"/>
      <c r="AE23" s="173"/>
      <c r="AF23" s="173"/>
      <c r="AG23" s="173"/>
      <c r="AH23" s="173"/>
      <c r="AI23" s="173"/>
      <c r="AJ23" s="173"/>
      <c r="AK23" s="173"/>
      <c r="AL23" s="173"/>
      <c r="AM23" s="173"/>
      <c r="AN23" s="173"/>
      <c r="AO23" s="173"/>
      <c r="AP23" s="173"/>
      <c r="AQ23" s="173"/>
      <c r="AR23" s="173"/>
      <c r="AS23" s="173"/>
      <c r="AT23" s="173"/>
      <c r="AU23" s="173"/>
      <c r="AV23" s="173"/>
      <c r="AW23" s="173"/>
      <c r="AX23" s="173"/>
      <c r="AY23" s="173"/>
      <c r="AZ23" s="173"/>
      <c r="BA23" s="173"/>
      <c r="BB23" s="173"/>
      <c r="BC23" s="173"/>
      <c r="BD23" s="173"/>
      <c r="BE23" s="173"/>
    </row>
    <row r="24" spans="1:57">
      <c r="A24" s="175">
        <v>2002</v>
      </c>
      <c r="B24" s="190">
        <v>32549</v>
      </c>
      <c r="C24" s="190">
        <v>51581</v>
      </c>
      <c r="D24" s="190">
        <v>6483</v>
      </c>
      <c r="E24" s="190">
        <v>3259</v>
      </c>
      <c r="F24" s="190">
        <v>4009</v>
      </c>
      <c r="G24" s="190">
        <v>7888</v>
      </c>
      <c r="H24" s="28">
        <v>74636</v>
      </c>
      <c r="I24" s="28">
        <v>7184</v>
      </c>
      <c r="J24" s="28">
        <v>368</v>
      </c>
      <c r="K24" s="28">
        <v>187957</v>
      </c>
      <c r="L24" s="438"/>
      <c r="M24" s="173"/>
      <c r="N24" s="173"/>
      <c r="O24" s="173"/>
      <c r="P24" s="179" t="s">
        <v>354</v>
      </c>
      <c r="Q24" s="173"/>
      <c r="R24" s="188">
        <v>0.115</v>
      </c>
      <c r="S24" s="173"/>
      <c r="T24" s="188">
        <v>0.114</v>
      </c>
      <c r="U24" s="173"/>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row>
    <row r="25" spans="1:57">
      <c r="A25" s="175">
        <v>2003</v>
      </c>
      <c r="B25" s="28">
        <v>33372</v>
      </c>
      <c r="C25" s="28">
        <v>53657</v>
      </c>
      <c r="D25" s="28">
        <v>6993</v>
      </c>
      <c r="E25" s="28">
        <v>3182</v>
      </c>
      <c r="F25" s="28">
        <v>4358</v>
      </c>
      <c r="G25" s="28">
        <v>8015</v>
      </c>
      <c r="H25" s="28">
        <v>76825</v>
      </c>
      <c r="I25" s="28">
        <v>10173</v>
      </c>
      <c r="J25" s="28">
        <v>404</v>
      </c>
      <c r="K25" s="28">
        <v>196980</v>
      </c>
      <c r="L25" s="440" t="s">
        <v>355</v>
      </c>
      <c r="M25" s="173"/>
      <c r="N25" s="173"/>
      <c r="O25" s="179" t="s">
        <v>333</v>
      </c>
      <c r="P25" s="173"/>
      <c r="Q25" s="173"/>
      <c r="R25" s="173"/>
      <c r="S25" s="179" t="s">
        <v>356</v>
      </c>
      <c r="T25" s="188">
        <v>0.114</v>
      </c>
      <c r="U25" s="173"/>
      <c r="V25" s="432" t="s">
        <v>357</v>
      </c>
      <c r="W25" s="433"/>
      <c r="X25" s="433"/>
      <c r="Y25" s="433"/>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row>
    <row r="26" spans="1:57">
      <c r="A26" s="175">
        <v>2004</v>
      </c>
      <c r="B26" s="28">
        <v>32863</v>
      </c>
      <c r="C26" s="28">
        <v>57298</v>
      </c>
      <c r="D26" s="28">
        <v>7300</v>
      </c>
      <c r="E26" s="28">
        <v>3189</v>
      </c>
      <c r="F26" s="28">
        <v>4381</v>
      </c>
      <c r="G26" s="28">
        <v>8289</v>
      </c>
      <c r="H26" s="28">
        <v>80514</v>
      </c>
      <c r="I26" s="28">
        <v>12966</v>
      </c>
      <c r="J26" s="28">
        <v>400</v>
      </c>
      <c r="K26" s="28">
        <v>207200</v>
      </c>
      <c r="L26" s="437"/>
      <c r="M26" s="173"/>
      <c r="N26" s="432" t="s">
        <v>358</v>
      </c>
      <c r="O26" s="433"/>
      <c r="P26" s="433"/>
      <c r="Q26" s="173"/>
      <c r="R26" s="173"/>
      <c r="S26" s="173"/>
      <c r="T26" s="173"/>
      <c r="U26" s="173"/>
      <c r="V26" s="433"/>
      <c r="W26" s="433"/>
      <c r="X26" s="433"/>
      <c r="Y26" s="433"/>
      <c r="Z26" s="433"/>
      <c r="AA26" s="433"/>
      <c r="AB26" s="433"/>
      <c r="AC26" s="433"/>
      <c r="AD26" s="433"/>
      <c r="AE26" s="433"/>
      <c r="AF26" s="433"/>
      <c r="AG26" s="43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row>
    <row r="27" spans="1:57">
      <c r="A27" s="175">
        <v>2005</v>
      </c>
      <c r="B27" s="28">
        <v>31609</v>
      </c>
      <c r="C27" s="28">
        <v>56724</v>
      </c>
      <c r="D27" s="28">
        <v>7409</v>
      </c>
      <c r="E27" s="28">
        <v>3158</v>
      </c>
      <c r="F27" s="28">
        <v>4501</v>
      </c>
      <c r="G27" s="28">
        <v>8565</v>
      </c>
      <c r="H27" s="28">
        <v>81261</v>
      </c>
      <c r="I27" s="28">
        <v>12983</v>
      </c>
      <c r="J27" s="28">
        <v>397</v>
      </c>
      <c r="K27" s="28">
        <v>206607</v>
      </c>
      <c r="L27" s="437"/>
      <c r="M27" s="173"/>
      <c r="N27" s="173"/>
      <c r="O27" s="173"/>
      <c r="P27" s="432" t="s">
        <v>56</v>
      </c>
      <c r="Q27" s="433"/>
      <c r="R27" s="173"/>
      <c r="S27" s="173"/>
      <c r="T27" s="173"/>
      <c r="U27" s="173"/>
      <c r="V27" s="433"/>
      <c r="W27" s="433"/>
      <c r="X27" s="433"/>
      <c r="Y27" s="433"/>
      <c r="Z27" s="433"/>
      <c r="AA27" s="433"/>
      <c r="AB27" s="433"/>
      <c r="AC27" s="433"/>
      <c r="AD27" s="433"/>
      <c r="AE27" s="433"/>
      <c r="AF27" s="433"/>
      <c r="AG27" s="43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3"/>
    </row>
    <row r="28" spans="1:57">
      <c r="A28" s="175">
        <v>2006</v>
      </c>
      <c r="B28" s="28">
        <v>32491</v>
      </c>
      <c r="C28" s="28">
        <v>58909</v>
      </c>
      <c r="D28" s="28">
        <v>7602</v>
      </c>
      <c r="E28" s="28">
        <v>3052</v>
      </c>
      <c r="F28" s="28">
        <v>4435</v>
      </c>
      <c r="G28" s="28">
        <v>9674</v>
      </c>
      <c r="H28" s="28">
        <v>85774</v>
      </c>
      <c r="I28" s="28">
        <v>13420</v>
      </c>
      <c r="J28" s="28">
        <v>448</v>
      </c>
      <c r="K28" s="28">
        <v>215805</v>
      </c>
      <c r="L28" s="437"/>
      <c r="M28" s="173"/>
      <c r="N28" s="173"/>
      <c r="O28" s="173"/>
      <c r="P28" s="432" t="s">
        <v>326</v>
      </c>
      <c r="Q28" s="433"/>
      <c r="R28" s="173"/>
      <c r="S28" s="173"/>
      <c r="T28" s="173"/>
      <c r="U28" s="173"/>
      <c r="V28" s="433"/>
      <c r="W28" s="433"/>
      <c r="X28" s="433"/>
      <c r="Y28" s="433"/>
      <c r="Z28" s="433"/>
      <c r="AA28" s="433"/>
      <c r="AB28" s="433"/>
      <c r="AC28" s="433"/>
      <c r="AD28" s="433"/>
      <c r="AE28" s="433"/>
      <c r="AF28" s="433"/>
      <c r="AG28" s="433"/>
      <c r="AH28" s="173"/>
      <c r="AI28" s="173"/>
      <c r="AJ28" s="173"/>
      <c r="AK28" s="173"/>
      <c r="AL28" s="173"/>
      <c r="AM28" s="173"/>
      <c r="AN28" s="173"/>
      <c r="AO28" s="173"/>
      <c r="AP28" s="173"/>
      <c r="AQ28" s="173"/>
      <c r="AR28" s="173"/>
      <c r="AS28" s="173"/>
      <c r="AT28" s="173"/>
      <c r="AU28" s="173"/>
      <c r="AV28" s="173"/>
      <c r="AW28" s="173"/>
      <c r="AX28" s="173"/>
      <c r="AY28" s="173"/>
      <c r="AZ28" s="173"/>
      <c r="BA28" s="173"/>
      <c r="BB28" s="173"/>
      <c r="BC28" s="173"/>
      <c r="BD28" s="173"/>
      <c r="BE28" s="173"/>
    </row>
    <row r="29" spans="1:57">
      <c r="A29" s="175">
        <v>2007</v>
      </c>
      <c r="B29" s="28">
        <v>32550</v>
      </c>
      <c r="C29" s="28">
        <v>62058</v>
      </c>
      <c r="D29" s="28">
        <v>8370</v>
      </c>
      <c r="E29" s="28">
        <v>3031</v>
      </c>
      <c r="F29" s="28">
        <v>4987</v>
      </c>
      <c r="G29" s="28">
        <v>10199</v>
      </c>
      <c r="H29" s="28">
        <v>89721</v>
      </c>
      <c r="I29" s="28">
        <v>13960</v>
      </c>
      <c r="J29" s="28">
        <v>450</v>
      </c>
      <c r="K29" s="28">
        <v>225326</v>
      </c>
      <c r="L29" s="437"/>
      <c r="M29" s="173"/>
      <c r="N29" s="173"/>
      <c r="O29" s="173"/>
      <c r="P29" s="432" t="s">
        <v>41</v>
      </c>
      <c r="Q29" s="433"/>
      <c r="R29" s="173"/>
      <c r="S29" s="173"/>
      <c r="T29" s="173"/>
      <c r="U29" s="173"/>
      <c r="V29" s="433"/>
      <c r="W29" s="433"/>
      <c r="X29" s="433"/>
      <c r="Y29" s="433"/>
      <c r="Z29" s="433"/>
      <c r="AA29" s="433"/>
      <c r="AB29" s="433"/>
      <c r="AC29" s="433"/>
      <c r="AD29" s="433"/>
      <c r="AE29" s="433"/>
      <c r="AF29" s="433"/>
      <c r="AG29" s="433"/>
      <c r="AH29" s="173"/>
      <c r="AI29" s="173"/>
      <c r="AJ29" s="173"/>
      <c r="AK29" s="173"/>
      <c r="AL29" s="173"/>
      <c r="AM29" s="173"/>
      <c r="AN29" s="173"/>
      <c r="AO29" s="173"/>
      <c r="AP29" s="173"/>
      <c r="AQ29" s="173"/>
      <c r="AR29" s="173"/>
      <c r="AS29" s="173"/>
      <c r="AT29" s="173"/>
      <c r="AU29" s="173"/>
      <c r="AV29" s="173"/>
      <c r="AW29" s="173"/>
      <c r="AX29" s="173"/>
      <c r="AY29" s="173"/>
      <c r="AZ29" s="173"/>
      <c r="BA29" s="173"/>
      <c r="BB29" s="173"/>
      <c r="BC29" s="173"/>
      <c r="BD29" s="173"/>
      <c r="BE29" s="173"/>
    </row>
    <row r="30" spans="1:57">
      <c r="A30" s="175">
        <v>2008</v>
      </c>
      <c r="B30" s="28">
        <v>32306</v>
      </c>
      <c r="C30" s="28">
        <v>58222</v>
      </c>
      <c r="D30" s="28">
        <v>8538</v>
      </c>
      <c r="E30" s="28">
        <v>2977</v>
      </c>
      <c r="F30" s="28">
        <v>4907</v>
      </c>
      <c r="G30" s="28">
        <v>10476</v>
      </c>
      <c r="H30" s="28">
        <v>88716</v>
      </c>
      <c r="I30" s="28">
        <v>13017</v>
      </c>
      <c r="J30" s="28">
        <v>354</v>
      </c>
      <c r="K30" s="28">
        <v>219512</v>
      </c>
      <c r="L30" s="437"/>
      <c r="M30" s="173"/>
      <c r="N30" s="173"/>
      <c r="O30" s="173"/>
      <c r="P30" s="179" t="s">
        <v>329</v>
      </c>
      <c r="Q30" s="173"/>
      <c r="R30" s="173"/>
      <c r="S30" s="173"/>
      <c r="T30" s="173"/>
      <c r="U30" s="173"/>
      <c r="V30" s="433"/>
      <c r="W30" s="433"/>
      <c r="X30" s="433"/>
      <c r="Y30" s="433"/>
      <c r="Z30" s="433"/>
      <c r="AA30" s="433"/>
      <c r="AB30" s="433"/>
      <c r="AC30" s="433"/>
      <c r="AD30" s="433"/>
      <c r="AE30" s="433"/>
      <c r="AF30" s="433"/>
      <c r="AG30" s="433"/>
      <c r="AH30" s="173"/>
      <c r="AI30" s="173"/>
      <c r="AJ30" s="173"/>
      <c r="AK30" s="173"/>
      <c r="AL30" s="173"/>
      <c r="AM30" s="173"/>
      <c r="AN30" s="173"/>
      <c r="AO30" s="173"/>
      <c r="AP30" s="173"/>
      <c r="AQ30" s="173"/>
      <c r="AR30" s="173"/>
      <c r="AS30" s="173"/>
      <c r="AT30" s="173"/>
      <c r="AU30" s="173"/>
      <c r="AV30" s="173"/>
      <c r="AW30" s="173"/>
      <c r="AX30" s="173"/>
      <c r="AY30" s="173"/>
      <c r="AZ30" s="173"/>
      <c r="BA30" s="173"/>
      <c r="BB30" s="173"/>
      <c r="BC30" s="173"/>
      <c r="BD30" s="173"/>
      <c r="BE30" s="173"/>
    </row>
    <row r="31" spans="1:57">
      <c r="A31" s="175">
        <v>2009</v>
      </c>
      <c r="B31" s="28">
        <v>31702</v>
      </c>
      <c r="C31" s="28">
        <v>52466</v>
      </c>
      <c r="D31" s="28">
        <v>8826</v>
      </c>
      <c r="E31" s="28">
        <v>2743</v>
      </c>
      <c r="F31" s="28">
        <v>4894</v>
      </c>
      <c r="G31" s="28">
        <v>10293</v>
      </c>
      <c r="H31" s="28">
        <v>89842</v>
      </c>
      <c r="I31" s="28">
        <v>12988</v>
      </c>
      <c r="J31" s="28">
        <v>385</v>
      </c>
      <c r="K31" s="28">
        <v>214140</v>
      </c>
      <c r="L31" s="437"/>
      <c r="M31" s="173"/>
      <c r="N31" s="173"/>
      <c r="O31" s="173"/>
      <c r="P31" s="179" t="s">
        <v>57</v>
      </c>
      <c r="Q31" s="173"/>
      <c r="R31" s="173"/>
      <c r="S31" s="173"/>
      <c r="T31" s="173"/>
      <c r="U31" s="173"/>
      <c r="V31" s="433"/>
      <c r="W31" s="433"/>
      <c r="X31" s="433"/>
      <c r="Y31" s="433"/>
      <c r="Z31" s="433"/>
      <c r="AA31" s="433"/>
      <c r="AB31" s="433"/>
      <c r="AC31" s="433"/>
      <c r="AD31" s="433"/>
      <c r="AE31" s="433"/>
      <c r="AF31" s="433"/>
      <c r="AG31" s="433"/>
      <c r="AH31" s="173"/>
      <c r="AI31" s="173"/>
      <c r="AJ31" s="173"/>
      <c r="AK31" s="173"/>
      <c r="AL31" s="173"/>
      <c r="AM31" s="173"/>
      <c r="AN31" s="173"/>
      <c r="AO31" s="173"/>
      <c r="AP31" s="173"/>
      <c r="AQ31" s="173"/>
      <c r="AR31" s="173"/>
      <c r="AS31" s="173"/>
      <c r="AT31" s="173"/>
      <c r="AU31" s="173"/>
      <c r="AV31" s="173"/>
      <c r="AW31" s="173"/>
      <c r="AX31" s="173"/>
      <c r="AY31" s="173"/>
      <c r="AZ31" s="173"/>
      <c r="BA31" s="173"/>
      <c r="BB31" s="173"/>
      <c r="BC31" s="173"/>
      <c r="BD31" s="173"/>
      <c r="BE31" s="173"/>
    </row>
    <row r="32" spans="1:57">
      <c r="A32" s="175">
        <v>2010</v>
      </c>
      <c r="B32" s="28">
        <v>32201</v>
      </c>
      <c r="C32" s="28">
        <v>59152</v>
      </c>
      <c r="D32" s="28">
        <v>8986</v>
      </c>
      <c r="E32" s="28">
        <v>2868</v>
      </c>
      <c r="F32" s="28">
        <v>5043</v>
      </c>
      <c r="G32" s="28">
        <v>10565</v>
      </c>
      <c r="H32" s="28">
        <v>91142</v>
      </c>
      <c r="I32" s="28">
        <v>13269</v>
      </c>
      <c r="J32" s="28">
        <v>352</v>
      </c>
      <c r="K32" s="28">
        <v>223580</v>
      </c>
      <c r="L32" s="437"/>
      <c r="M32" s="173"/>
      <c r="N32" s="173"/>
      <c r="O32" s="173"/>
      <c r="P32" s="179" t="s">
        <v>24</v>
      </c>
      <c r="Q32" s="173"/>
      <c r="R32" s="173"/>
      <c r="S32" s="173"/>
      <c r="T32" s="173"/>
      <c r="U32" s="173"/>
      <c r="V32" s="433"/>
      <c r="W32" s="433"/>
      <c r="X32" s="433"/>
      <c r="Y32" s="433"/>
      <c r="Z32" s="433"/>
      <c r="AA32" s="433"/>
      <c r="AB32" s="433"/>
      <c r="AC32" s="433"/>
      <c r="AD32" s="433"/>
      <c r="AE32" s="433"/>
      <c r="AF32" s="433"/>
      <c r="AG32" s="433"/>
      <c r="AH32" s="173"/>
      <c r="AI32" s="173"/>
      <c r="AJ32" s="173"/>
      <c r="AK32" s="173"/>
      <c r="AL32" s="173"/>
      <c r="AM32" s="173"/>
      <c r="AN32" s="173"/>
      <c r="AO32" s="173"/>
      <c r="AP32" s="173"/>
      <c r="AQ32" s="173"/>
      <c r="AR32" s="173"/>
      <c r="AS32" s="173"/>
      <c r="AT32" s="173"/>
      <c r="AU32" s="173"/>
      <c r="AV32" s="173"/>
      <c r="AW32" s="173"/>
      <c r="AX32" s="173"/>
      <c r="AY32" s="173"/>
      <c r="AZ32" s="173"/>
      <c r="BA32" s="173"/>
      <c r="BB32" s="173"/>
      <c r="BC32" s="173"/>
      <c r="BD32" s="173"/>
      <c r="BE32" s="173"/>
    </row>
    <row r="33" spans="1:57">
      <c r="A33" s="175">
        <v>2011</v>
      </c>
      <c r="B33" s="28">
        <v>32818</v>
      </c>
      <c r="C33" s="28">
        <v>59644</v>
      </c>
      <c r="D33" s="28">
        <v>9171</v>
      </c>
      <c r="E33" s="28">
        <v>3081</v>
      </c>
      <c r="F33" s="28">
        <v>4955</v>
      </c>
      <c r="G33" s="28">
        <v>10464</v>
      </c>
      <c r="H33" s="28">
        <v>92332</v>
      </c>
      <c r="I33" s="28">
        <v>13174</v>
      </c>
      <c r="J33" s="28">
        <v>412</v>
      </c>
      <c r="K33" s="28">
        <v>226052</v>
      </c>
      <c r="L33" s="437"/>
      <c r="M33" s="173"/>
      <c r="N33" s="173"/>
      <c r="O33" s="173"/>
      <c r="P33" s="173"/>
      <c r="Q33" s="173"/>
      <c r="R33" s="173"/>
      <c r="S33" s="173"/>
      <c r="T33" s="173"/>
      <c r="U33" s="173"/>
      <c r="V33" s="433"/>
      <c r="W33" s="433"/>
      <c r="X33" s="433"/>
      <c r="Y33" s="433"/>
      <c r="Z33" s="433"/>
      <c r="AA33" s="433"/>
      <c r="AB33" s="433"/>
      <c r="AC33" s="433"/>
      <c r="AD33" s="433"/>
      <c r="AE33" s="433"/>
      <c r="AF33" s="433"/>
      <c r="AG33" s="433"/>
      <c r="AH33" s="173"/>
      <c r="AI33" s="173"/>
      <c r="AJ33" s="173"/>
      <c r="AK33" s="173"/>
      <c r="AL33" s="173"/>
      <c r="AM33" s="173"/>
      <c r="AN33" s="173"/>
      <c r="AO33" s="173"/>
      <c r="AP33" s="173"/>
      <c r="AQ33" s="173"/>
      <c r="AR33" s="173"/>
      <c r="AS33" s="173"/>
      <c r="AT33" s="173"/>
      <c r="AU33" s="173"/>
      <c r="AV33" s="173"/>
      <c r="AW33" s="173"/>
      <c r="AX33" s="173"/>
      <c r="AY33" s="173"/>
      <c r="AZ33" s="173"/>
      <c r="BA33" s="173"/>
      <c r="BB33" s="173"/>
      <c r="BC33" s="173"/>
      <c r="BD33" s="173"/>
      <c r="BE33" s="173"/>
    </row>
    <row r="34" spans="1:57">
      <c r="A34" s="175">
        <v>2012</v>
      </c>
      <c r="B34" s="28">
        <v>31662</v>
      </c>
      <c r="C34" s="28">
        <v>53460</v>
      </c>
      <c r="D34" s="28">
        <v>9474</v>
      </c>
      <c r="E34" s="28">
        <v>3334</v>
      </c>
      <c r="F34" s="28">
        <v>5188</v>
      </c>
      <c r="G34" s="28">
        <v>10378</v>
      </c>
      <c r="H34" s="28">
        <v>91858</v>
      </c>
      <c r="I34" s="28">
        <v>13921</v>
      </c>
      <c r="J34" s="28">
        <v>462</v>
      </c>
      <c r="K34" s="28">
        <v>219738</v>
      </c>
      <c r="L34" s="437"/>
      <c r="M34" s="173"/>
      <c r="N34" s="173"/>
      <c r="O34" s="173"/>
      <c r="P34" s="173"/>
      <c r="Q34" s="173"/>
      <c r="R34" s="173"/>
      <c r="S34" s="173"/>
      <c r="T34" s="173"/>
      <c r="U34" s="173"/>
      <c r="V34" s="433"/>
      <c r="W34" s="433"/>
      <c r="X34" s="433"/>
      <c r="Y34" s="433"/>
      <c r="Z34" s="433"/>
      <c r="AA34" s="433"/>
      <c r="AB34" s="433"/>
      <c r="AC34" s="433"/>
      <c r="AD34" s="433"/>
      <c r="AE34" s="433"/>
      <c r="AF34" s="433"/>
      <c r="AG34" s="43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row>
    <row r="35" spans="1:57">
      <c r="A35" s="175">
        <v>2013</v>
      </c>
      <c r="B35" s="28">
        <v>31464</v>
      </c>
      <c r="C35" s="28">
        <v>52883</v>
      </c>
      <c r="D35" s="28">
        <v>9629</v>
      </c>
      <c r="E35" s="28">
        <v>2974</v>
      </c>
      <c r="F35" s="28">
        <v>5251</v>
      </c>
      <c r="G35" s="28">
        <v>10870</v>
      </c>
      <c r="H35" s="28">
        <v>91045</v>
      </c>
      <c r="I35" s="28">
        <v>12408</v>
      </c>
      <c r="J35" s="28">
        <v>463</v>
      </c>
      <c r="K35" s="28">
        <v>216987</v>
      </c>
      <c r="L35" s="437"/>
      <c r="M35" s="173"/>
      <c r="N35" s="173"/>
      <c r="O35" s="173"/>
      <c r="P35" s="173"/>
      <c r="Q35" s="173"/>
      <c r="R35" s="173"/>
      <c r="S35" s="173"/>
      <c r="T35" s="173"/>
      <c r="U35" s="173"/>
      <c r="V35" s="433"/>
      <c r="W35" s="433"/>
      <c r="X35" s="433"/>
      <c r="Y35" s="433"/>
      <c r="Z35" s="433"/>
      <c r="AA35" s="433"/>
      <c r="AB35" s="433"/>
      <c r="AC35" s="433"/>
      <c r="AD35" s="433"/>
      <c r="AE35" s="433"/>
      <c r="AF35" s="433"/>
      <c r="AG35" s="43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row>
    <row r="36" spans="1:57">
      <c r="A36" s="175">
        <v>2014</v>
      </c>
      <c r="B36" s="28">
        <v>29342</v>
      </c>
      <c r="C36" s="28">
        <v>54150</v>
      </c>
      <c r="D36" s="28">
        <v>9696</v>
      </c>
      <c r="E36" s="28">
        <v>3139</v>
      </c>
      <c r="F36" s="28">
        <v>5214</v>
      </c>
      <c r="G36" s="28">
        <v>11499</v>
      </c>
      <c r="H36" s="28">
        <v>91167</v>
      </c>
      <c r="I36" s="28">
        <v>12075</v>
      </c>
      <c r="J36" s="28">
        <v>573</v>
      </c>
      <c r="K36" s="28">
        <v>216855</v>
      </c>
      <c r="L36" s="437"/>
      <c r="M36" s="173"/>
      <c r="N36" s="173"/>
      <c r="O36" s="173"/>
      <c r="P36" s="173"/>
      <c r="Q36" s="173"/>
      <c r="R36" s="173"/>
      <c r="S36" s="173"/>
      <c r="T36" s="173"/>
      <c r="U36" s="173"/>
      <c r="V36" s="433"/>
      <c r="W36" s="433"/>
      <c r="X36" s="433"/>
      <c r="Y36" s="433"/>
      <c r="Z36" s="433"/>
      <c r="AA36" s="433"/>
      <c r="AB36" s="433"/>
      <c r="AC36" s="433"/>
      <c r="AD36" s="433"/>
      <c r="AE36" s="433"/>
      <c r="AF36" s="433"/>
      <c r="AG36" s="43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row>
    <row r="37" spans="1:57">
      <c r="A37" s="175">
        <v>2015</v>
      </c>
      <c r="B37" s="28">
        <v>30704</v>
      </c>
      <c r="C37" s="28">
        <v>51010</v>
      </c>
      <c r="D37" s="28">
        <v>9973</v>
      </c>
      <c r="E37" s="28">
        <v>2906</v>
      </c>
      <c r="F37" s="28">
        <v>5657</v>
      </c>
      <c r="G37" s="28">
        <v>11768</v>
      </c>
      <c r="H37" s="28">
        <v>89569</v>
      </c>
      <c r="I37" s="28">
        <v>12551</v>
      </c>
      <c r="J37" s="28">
        <v>746</v>
      </c>
      <c r="K37" s="28">
        <v>214885</v>
      </c>
      <c r="L37" s="437"/>
      <c r="M37" s="173"/>
      <c r="N37" s="173"/>
      <c r="O37" s="173"/>
      <c r="P37" s="173"/>
      <c r="Q37" s="173"/>
      <c r="R37" s="173"/>
      <c r="S37" s="173"/>
      <c r="T37" s="173"/>
      <c r="U37" s="173"/>
      <c r="V37" s="433"/>
      <c r="W37" s="433"/>
      <c r="X37" s="433"/>
      <c r="Y37" s="433"/>
      <c r="Z37" s="433"/>
      <c r="AA37" s="433"/>
      <c r="AB37" s="433"/>
      <c r="AC37" s="433"/>
      <c r="AD37" s="433"/>
      <c r="AE37" s="433"/>
      <c r="AF37" s="433"/>
      <c r="AG37" s="43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row>
    <row r="38" spans="1:57">
      <c r="A38" s="175">
        <v>2016</v>
      </c>
      <c r="B38" s="28">
        <v>30609</v>
      </c>
      <c r="C38" s="28">
        <v>48298</v>
      </c>
      <c r="D38" s="28">
        <v>10292</v>
      </c>
      <c r="E38" s="28">
        <v>2826</v>
      </c>
      <c r="F38" s="28">
        <v>5623</v>
      </c>
      <c r="G38" s="28">
        <v>12012</v>
      </c>
      <c r="H38" s="28">
        <v>90178</v>
      </c>
      <c r="I38" s="28">
        <v>15761</v>
      </c>
      <c r="J38" s="28">
        <v>607</v>
      </c>
      <c r="K38" s="28">
        <v>216206</v>
      </c>
      <c r="L38" s="438"/>
      <c r="M38" s="432" t="s">
        <v>359</v>
      </c>
      <c r="N38" s="433"/>
      <c r="O38" s="192" t="s">
        <v>360</v>
      </c>
      <c r="P38" s="173"/>
      <c r="Q38" s="173"/>
      <c r="R38" s="173"/>
      <c r="S38" s="173"/>
      <c r="T38" s="173"/>
      <c r="U38" s="173"/>
      <c r="V38" s="433"/>
      <c r="W38" s="433"/>
      <c r="X38" s="433"/>
      <c r="Y38" s="433"/>
      <c r="Z38" s="433"/>
      <c r="AA38" s="433"/>
      <c r="AB38" s="433"/>
      <c r="AC38" s="433"/>
      <c r="AD38" s="433"/>
      <c r="AE38" s="433"/>
      <c r="AF38" s="433"/>
      <c r="AG38" s="433"/>
      <c r="AH38" s="173"/>
      <c r="AI38" s="173"/>
      <c r="AJ38" s="173"/>
      <c r="AK38" s="173"/>
      <c r="AL38" s="173"/>
      <c r="AM38" s="173"/>
      <c r="AN38" s="173"/>
      <c r="AO38" s="173"/>
      <c r="AP38" s="173"/>
      <c r="AQ38" s="173"/>
      <c r="AR38" s="173"/>
      <c r="AS38" s="173"/>
      <c r="AT38" s="173"/>
      <c r="AU38" s="173"/>
      <c r="AV38" s="173"/>
      <c r="AW38" s="173"/>
      <c r="AX38" s="173"/>
      <c r="AY38" s="173"/>
      <c r="AZ38" s="173"/>
      <c r="BA38" s="173"/>
      <c r="BB38" s="173"/>
      <c r="BC38" s="173"/>
      <c r="BD38" s="173"/>
      <c r="BE38" s="173"/>
    </row>
    <row r="39" spans="1:57">
      <c r="A39" s="28">
        <v>2017</v>
      </c>
      <c r="B39" s="28">
        <v>30235</v>
      </c>
      <c r="C39" s="28">
        <v>47854</v>
      </c>
      <c r="D39" s="28">
        <v>10539</v>
      </c>
      <c r="E39" s="28">
        <v>3148</v>
      </c>
      <c r="F39" s="28">
        <v>5711</v>
      </c>
      <c r="G39" s="28">
        <v>12302</v>
      </c>
      <c r="H39" s="28">
        <v>87133</v>
      </c>
      <c r="I39" s="28">
        <v>15268</v>
      </c>
      <c r="J39" s="193">
        <v>607</v>
      </c>
      <c r="K39" s="28">
        <v>212797</v>
      </c>
      <c r="L39" s="173"/>
      <c r="M39" s="28" t="s">
        <v>361</v>
      </c>
      <c r="N39" s="173"/>
      <c r="O39" s="173"/>
      <c r="P39" s="173"/>
      <c r="Q39" s="173"/>
      <c r="R39" s="173"/>
      <c r="S39" s="173"/>
      <c r="T39" s="173"/>
      <c r="U39" s="173"/>
      <c r="V39" s="433"/>
      <c r="W39" s="433"/>
      <c r="X39" s="433"/>
      <c r="Y39" s="433"/>
      <c r="Z39" s="433"/>
      <c r="AA39" s="433"/>
      <c r="AB39" s="433"/>
      <c r="AC39" s="433"/>
      <c r="AD39" s="433"/>
      <c r="AE39" s="433"/>
      <c r="AF39" s="433"/>
      <c r="AG39" s="433"/>
      <c r="AH39" s="173"/>
      <c r="AI39" s="173"/>
      <c r="AJ39" s="173"/>
      <c r="AK39" s="173"/>
      <c r="AL39" s="173"/>
      <c r="AM39" s="173"/>
      <c r="AN39" s="173"/>
      <c r="AO39" s="173"/>
      <c r="AP39" s="173"/>
      <c r="AQ39" s="173"/>
      <c r="AR39" s="173"/>
      <c r="AS39" s="173"/>
      <c r="AT39" s="173"/>
      <c r="AU39" s="173"/>
      <c r="AV39" s="173"/>
      <c r="AW39" s="173"/>
      <c r="AX39" s="173"/>
      <c r="AY39" s="173"/>
      <c r="AZ39" s="173"/>
      <c r="BA39" s="173"/>
      <c r="BB39" s="173"/>
      <c r="BC39" s="173"/>
      <c r="BD39" s="173"/>
      <c r="BE39" s="173"/>
    </row>
    <row r="40" spans="1:57">
      <c r="A40" s="28">
        <v>2018</v>
      </c>
      <c r="B40" s="28">
        <v>28972</v>
      </c>
      <c r="C40" s="28">
        <v>48717</v>
      </c>
      <c r="D40" s="28">
        <v>10558</v>
      </c>
      <c r="E40" s="28">
        <v>2831</v>
      </c>
      <c r="F40" s="28">
        <v>5796</v>
      </c>
      <c r="G40" s="28">
        <v>11748</v>
      </c>
      <c r="H40" s="28">
        <v>87236</v>
      </c>
      <c r="I40" s="28">
        <v>12461</v>
      </c>
      <c r="J40" s="193">
        <v>607</v>
      </c>
      <c r="K40" s="28">
        <v>208926</v>
      </c>
      <c r="L40" s="173"/>
      <c r="M40" s="28" t="s">
        <v>362</v>
      </c>
      <c r="N40" s="194">
        <v>-5.4000000000000003E-3</v>
      </c>
      <c r="O40" s="432" t="s">
        <v>363</v>
      </c>
      <c r="P40" s="433"/>
      <c r="Q40" s="433"/>
      <c r="R40" s="173"/>
      <c r="S40" s="173"/>
      <c r="T40" s="173"/>
      <c r="U40" s="173"/>
      <c r="V40" s="173"/>
      <c r="W40" s="173"/>
      <c r="X40" s="173"/>
      <c r="Y40" s="173"/>
      <c r="Z40" s="173"/>
      <c r="AA40" s="173"/>
      <c r="AB40" s="173"/>
      <c r="AC40" s="173"/>
      <c r="AD40" s="173"/>
      <c r="AE40" s="173"/>
      <c r="AF40" s="173"/>
      <c r="AG40" s="173"/>
      <c r="AH40" s="173"/>
      <c r="AI40" s="173"/>
      <c r="AJ40" s="173"/>
      <c r="AK40" s="173"/>
      <c r="AL40" s="173"/>
      <c r="AM40" s="173"/>
      <c r="AN40" s="173"/>
      <c r="AO40" s="173"/>
      <c r="AP40" s="173"/>
      <c r="AQ40" s="173"/>
      <c r="AR40" s="173"/>
      <c r="AS40" s="173"/>
      <c r="AT40" s="173"/>
      <c r="AU40" s="173"/>
      <c r="AV40" s="173"/>
      <c r="AW40" s="173"/>
      <c r="AX40" s="173"/>
      <c r="AY40" s="173"/>
      <c r="AZ40" s="173"/>
      <c r="BA40" s="173"/>
      <c r="BB40" s="173"/>
      <c r="BC40" s="173"/>
      <c r="BD40" s="173"/>
      <c r="BE40" s="173"/>
    </row>
    <row r="41" spans="1:57">
      <c r="A41" s="173"/>
      <c r="B41" s="173"/>
      <c r="C41" s="173"/>
      <c r="D41" s="173"/>
      <c r="E41" s="173"/>
      <c r="F41" s="173"/>
      <c r="G41" s="173"/>
      <c r="H41" s="173"/>
      <c r="I41" s="173"/>
      <c r="J41" s="173"/>
      <c r="K41" s="173"/>
      <c r="L41" s="173"/>
      <c r="M41" s="173"/>
      <c r="N41" s="173"/>
      <c r="O41" s="173"/>
      <c r="P41" s="173"/>
      <c r="Q41" s="173"/>
      <c r="R41" s="173"/>
      <c r="S41" s="173"/>
      <c r="T41" s="173"/>
      <c r="U41" s="173"/>
      <c r="V41" s="173"/>
      <c r="W41" s="173"/>
      <c r="X41" s="173"/>
      <c r="Y41" s="173"/>
      <c r="Z41" s="173"/>
      <c r="AA41" s="173"/>
      <c r="AB41" s="173"/>
      <c r="AC41" s="173"/>
      <c r="AD41" s="173"/>
      <c r="AE41" s="173"/>
      <c r="AF41" s="173"/>
      <c r="AG41" s="173"/>
      <c r="AH41" s="173"/>
      <c r="AI41" s="173"/>
      <c r="AJ41" s="173"/>
      <c r="AK41" s="173"/>
      <c r="AL41" s="173"/>
      <c r="AM41" s="173"/>
      <c r="AN41" s="173"/>
      <c r="AO41" s="173"/>
      <c r="AP41" s="173"/>
      <c r="AQ41" s="173"/>
      <c r="AR41" s="173"/>
      <c r="AS41" s="173"/>
      <c r="AT41" s="173"/>
      <c r="AU41" s="173"/>
      <c r="AV41" s="173"/>
      <c r="AW41" s="173"/>
      <c r="AX41" s="173"/>
      <c r="AY41" s="173"/>
      <c r="AZ41" s="173"/>
      <c r="BA41" s="173"/>
      <c r="BB41" s="173"/>
      <c r="BC41" s="173"/>
      <c r="BD41" s="173"/>
      <c r="BE41" s="173"/>
    </row>
    <row r="42" spans="1:57">
      <c r="A42" s="179" t="s">
        <v>364</v>
      </c>
      <c r="B42" s="28">
        <v>28972</v>
      </c>
      <c r="C42" s="28">
        <v>48717</v>
      </c>
      <c r="D42" s="28">
        <v>10558</v>
      </c>
      <c r="E42" s="28">
        <v>2831</v>
      </c>
      <c r="F42" s="28">
        <v>5796</v>
      </c>
      <c r="G42" s="28">
        <v>11748</v>
      </c>
      <c r="H42" s="28">
        <v>77209</v>
      </c>
      <c r="I42" s="28">
        <v>12461</v>
      </c>
      <c r="J42" s="28">
        <v>607</v>
      </c>
      <c r="K42" s="28">
        <v>198899</v>
      </c>
      <c r="L42" s="173"/>
      <c r="M42" s="28" t="s">
        <v>365</v>
      </c>
      <c r="N42" s="173"/>
      <c r="O42" s="173"/>
      <c r="P42" s="173"/>
      <c r="Q42" s="173"/>
      <c r="R42" s="173"/>
      <c r="S42" s="173"/>
      <c r="T42" s="173"/>
      <c r="U42" s="173"/>
      <c r="V42" s="173"/>
      <c r="W42" s="173"/>
      <c r="X42" s="173"/>
      <c r="Y42" s="173"/>
      <c r="Z42" s="173"/>
      <c r="AA42" s="173"/>
      <c r="AB42" s="173"/>
      <c r="AC42" s="173"/>
      <c r="AD42" s="173"/>
      <c r="AE42" s="173"/>
      <c r="AF42" s="173"/>
      <c r="AG42" s="173"/>
      <c r="AH42" s="173"/>
      <c r="AI42" s="173"/>
      <c r="AJ42" s="173"/>
      <c r="AK42" s="173"/>
      <c r="AL42" s="173"/>
      <c r="AM42" s="173"/>
      <c r="AN42" s="173"/>
      <c r="AO42" s="173"/>
      <c r="AP42" s="173"/>
      <c r="AQ42" s="173"/>
      <c r="AR42" s="173"/>
      <c r="AS42" s="173"/>
      <c r="AT42" s="173"/>
      <c r="AU42" s="173"/>
      <c r="AV42" s="173"/>
      <c r="AW42" s="173"/>
      <c r="AX42" s="173"/>
      <c r="AY42" s="173"/>
      <c r="AZ42" s="173"/>
      <c r="BA42" s="173"/>
      <c r="BB42" s="173"/>
      <c r="BC42" s="173"/>
      <c r="BD42" s="173"/>
      <c r="BE42" s="173"/>
    </row>
    <row r="43" spans="1:57">
      <c r="A43" s="173"/>
      <c r="B43" s="188">
        <v>0.05</v>
      </c>
      <c r="C43" s="188">
        <v>0.05</v>
      </c>
      <c r="D43" s="188">
        <v>8.5999999999999993E-2</v>
      </c>
      <c r="E43" s="188">
        <v>4.2999999999999997E-2</v>
      </c>
      <c r="F43" s="188">
        <v>0.13</v>
      </c>
      <c r="G43" s="188">
        <v>0.184</v>
      </c>
      <c r="H43" s="188">
        <v>0.114</v>
      </c>
      <c r="I43" s="188">
        <v>0.2</v>
      </c>
      <c r="J43" s="188">
        <v>8.5999999999999993E-2</v>
      </c>
      <c r="K43" s="173"/>
      <c r="L43" s="173"/>
      <c r="M43" s="173"/>
      <c r="N43" s="173"/>
      <c r="O43" s="173"/>
      <c r="P43" s="173"/>
      <c r="Q43" s="173"/>
      <c r="R43" s="173"/>
      <c r="S43" s="173"/>
      <c r="T43" s="173"/>
      <c r="U43" s="173"/>
      <c r="V43" s="173"/>
      <c r="W43" s="173"/>
      <c r="X43" s="173"/>
      <c r="Y43" s="173"/>
      <c r="Z43" s="173"/>
      <c r="AA43" s="173"/>
      <c r="AB43" s="173"/>
      <c r="AC43" s="173"/>
      <c r="AD43" s="173"/>
      <c r="AE43" s="173"/>
      <c r="AF43" s="173"/>
      <c r="AG43" s="173"/>
      <c r="AH43" s="173"/>
      <c r="AI43" s="173"/>
      <c r="AJ43" s="173"/>
      <c r="AK43" s="173"/>
      <c r="AL43" s="173"/>
      <c r="AM43" s="173"/>
      <c r="AN43" s="173"/>
      <c r="AO43" s="173"/>
      <c r="AP43" s="173"/>
      <c r="AQ43" s="173"/>
      <c r="AR43" s="173"/>
      <c r="AS43" s="173"/>
      <c r="AT43" s="173"/>
      <c r="AU43" s="173"/>
      <c r="AV43" s="173"/>
      <c r="AW43" s="173"/>
      <c r="AX43" s="173"/>
      <c r="AY43" s="173"/>
      <c r="AZ43" s="173"/>
      <c r="BA43" s="173"/>
      <c r="BB43" s="173"/>
      <c r="BC43" s="173"/>
      <c r="BD43" s="173"/>
      <c r="BE43" s="173"/>
    </row>
    <row r="44" spans="1:57">
      <c r="A44" s="432" t="s">
        <v>366</v>
      </c>
      <c r="B44" s="433"/>
      <c r="C44" s="173"/>
      <c r="D44" s="173"/>
      <c r="E44" s="173"/>
      <c r="F44" s="173"/>
      <c r="G44" s="173"/>
      <c r="H44" s="188">
        <v>5.4600000000000003E-2</v>
      </c>
      <c r="I44" s="173"/>
      <c r="J44" s="173"/>
      <c r="K44" s="173"/>
      <c r="L44" s="173"/>
      <c r="M44" s="173"/>
      <c r="N44" s="173"/>
      <c r="O44" s="173"/>
      <c r="P44" s="173"/>
      <c r="Q44" s="173"/>
      <c r="R44" s="173"/>
      <c r="S44" s="173"/>
      <c r="T44" s="173"/>
      <c r="U44" s="173"/>
      <c r="V44" s="173"/>
      <c r="W44" s="173"/>
      <c r="X44" s="173"/>
      <c r="Y44" s="173"/>
      <c r="Z44" s="173"/>
      <c r="AA44" s="173"/>
      <c r="AB44" s="173"/>
      <c r="AC44" s="173"/>
      <c r="AD44" s="173"/>
      <c r="AE44" s="173"/>
      <c r="AF44" s="173"/>
      <c r="AG44" s="173"/>
      <c r="AH44" s="173"/>
      <c r="AI44" s="173"/>
      <c r="AJ44" s="173"/>
      <c r="AK44" s="173"/>
      <c r="AL44" s="173"/>
      <c r="AM44" s="173"/>
      <c r="AN44" s="173"/>
      <c r="AO44" s="173"/>
      <c r="AP44" s="173"/>
      <c r="AQ44" s="173"/>
      <c r="AR44" s="173"/>
      <c r="AS44" s="173"/>
      <c r="AT44" s="173"/>
      <c r="AU44" s="173"/>
      <c r="AV44" s="173"/>
      <c r="AW44" s="173"/>
      <c r="AX44" s="173"/>
      <c r="AY44" s="173"/>
      <c r="AZ44" s="173"/>
      <c r="BA44" s="173"/>
      <c r="BB44" s="173"/>
      <c r="BC44" s="173"/>
      <c r="BD44" s="173"/>
      <c r="BE44" s="173"/>
    </row>
    <row r="45" spans="1:57">
      <c r="A45" s="179" t="s">
        <v>367</v>
      </c>
      <c r="B45" s="28">
        <v>30494</v>
      </c>
      <c r="C45" s="28">
        <v>51276</v>
      </c>
      <c r="D45" s="28">
        <v>11547</v>
      </c>
      <c r="E45" s="28">
        <v>2958</v>
      </c>
      <c r="F45" s="28">
        <v>6659</v>
      </c>
      <c r="G45" s="28">
        <v>14392</v>
      </c>
      <c r="H45" s="28">
        <v>92168</v>
      </c>
      <c r="I45" s="28">
        <v>15576</v>
      </c>
      <c r="J45" s="28">
        <v>663</v>
      </c>
      <c r="K45" s="28">
        <v>225735</v>
      </c>
      <c r="L45" s="173"/>
      <c r="M45" s="173"/>
      <c r="N45" s="173"/>
      <c r="O45" s="173"/>
      <c r="P45" s="173"/>
      <c r="Q45" s="173"/>
      <c r="R45" s="173"/>
      <c r="S45" s="173"/>
      <c r="T45" s="173"/>
      <c r="U45" s="173"/>
      <c r="V45" s="173"/>
      <c r="W45" s="173"/>
      <c r="X45" s="173"/>
      <c r="Y45" s="173"/>
      <c r="Z45" s="173"/>
      <c r="AA45" s="173"/>
      <c r="AB45" s="173"/>
      <c r="AC45" s="173"/>
      <c r="AD45" s="173"/>
      <c r="AE45" s="173"/>
      <c r="AF45" s="173"/>
      <c r="AG45" s="173"/>
      <c r="AH45" s="173"/>
      <c r="AI45" s="173"/>
      <c r="AJ45" s="173"/>
      <c r="AK45" s="173"/>
      <c r="AL45" s="173"/>
      <c r="AM45" s="173"/>
      <c r="AN45" s="173"/>
      <c r="AO45" s="173"/>
      <c r="AP45" s="173"/>
      <c r="AQ45" s="173"/>
      <c r="AR45" s="173"/>
      <c r="AS45" s="173"/>
      <c r="AT45" s="173"/>
      <c r="AU45" s="173"/>
      <c r="AV45" s="173"/>
      <c r="AW45" s="173"/>
      <c r="AX45" s="173"/>
      <c r="AY45" s="173"/>
      <c r="AZ45" s="173"/>
      <c r="BA45" s="173"/>
      <c r="BB45" s="173"/>
      <c r="BC45" s="173"/>
      <c r="BD45" s="173"/>
      <c r="BE45" s="173"/>
    </row>
    <row r="46" spans="1:57">
      <c r="A46" s="179" t="s">
        <v>368</v>
      </c>
      <c r="B46" s="188">
        <v>3.9E-2</v>
      </c>
      <c r="C46" s="188">
        <v>3.9E-2</v>
      </c>
      <c r="D46" s="188">
        <v>3.9E-2</v>
      </c>
      <c r="E46" s="188">
        <v>3.9E-2</v>
      </c>
      <c r="F46" s="188">
        <v>3.9E-2</v>
      </c>
      <c r="G46" s="188">
        <v>3.9E-2</v>
      </c>
      <c r="H46" s="188">
        <v>3.9E-2</v>
      </c>
      <c r="I46" s="188">
        <v>3.9E-2</v>
      </c>
      <c r="J46" s="188">
        <v>3.9E-2</v>
      </c>
      <c r="K46" s="173"/>
      <c r="L46" s="173"/>
      <c r="M46" s="173"/>
      <c r="N46" s="173"/>
      <c r="O46" s="173"/>
      <c r="P46" s="173"/>
      <c r="Q46" s="173"/>
      <c r="R46" s="173"/>
      <c r="S46" s="173"/>
      <c r="T46" s="173"/>
      <c r="U46" s="173"/>
      <c r="V46" s="173"/>
      <c r="W46" s="173"/>
      <c r="X46" s="173"/>
      <c r="Y46" s="173"/>
      <c r="Z46" s="173"/>
      <c r="AA46" s="173"/>
      <c r="AB46" s="173"/>
      <c r="AC46" s="173"/>
      <c r="AD46" s="173"/>
      <c r="AE46" s="173"/>
      <c r="AF46" s="173"/>
      <c r="AG46" s="173"/>
      <c r="AH46" s="173"/>
      <c r="AI46" s="173"/>
      <c r="AJ46" s="173"/>
      <c r="AK46" s="173"/>
      <c r="AL46" s="173"/>
      <c r="AM46" s="173"/>
      <c r="AN46" s="173"/>
      <c r="AO46" s="173"/>
      <c r="AP46" s="173"/>
      <c r="AQ46" s="173"/>
      <c r="AR46" s="173"/>
      <c r="AS46" s="173"/>
      <c r="AT46" s="173"/>
      <c r="AU46" s="173"/>
      <c r="AV46" s="173"/>
      <c r="AW46" s="173"/>
      <c r="AX46" s="173"/>
      <c r="AY46" s="173"/>
      <c r="AZ46" s="173"/>
      <c r="BA46" s="173"/>
      <c r="BB46" s="173"/>
      <c r="BC46" s="173"/>
      <c r="BD46" s="173"/>
      <c r="BE46" s="173"/>
    </row>
    <row r="47" spans="1:57">
      <c r="A47" s="179" t="s">
        <v>369</v>
      </c>
      <c r="B47" s="28">
        <v>31732</v>
      </c>
      <c r="C47" s="28">
        <v>53357</v>
      </c>
      <c r="D47" s="28">
        <v>12016</v>
      </c>
      <c r="E47" s="28">
        <v>3078</v>
      </c>
      <c r="F47" s="28">
        <v>6929</v>
      </c>
      <c r="G47" s="28">
        <v>14977</v>
      </c>
      <c r="H47" s="28">
        <v>95908</v>
      </c>
      <c r="I47" s="28">
        <v>16208</v>
      </c>
      <c r="J47" s="28">
        <v>690</v>
      </c>
      <c r="K47" s="28">
        <v>234896</v>
      </c>
      <c r="L47" s="28">
        <v>235188</v>
      </c>
      <c r="M47" s="28">
        <v>291.62</v>
      </c>
      <c r="N47" s="173"/>
      <c r="O47" s="173"/>
      <c r="P47" s="173"/>
      <c r="Q47" s="173"/>
      <c r="R47" s="173"/>
      <c r="S47" s="173"/>
      <c r="T47" s="173"/>
      <c r="U47" s="173"/>
      <c r="V47" s="173"/>
      <c r="W47" s="173"/>
      <c r="X47" s="173"/>
      <c r="Y47" s="173"/>
      <c r="Z47" s="173"/>
      <c r="AA47" s="173"/>
      <c r="AB47" s="173"/>
      <c r="AC47" s="173"/>
      <c r="AD47" s="173"/>
      <c r="AE47" s="173"/>
      <c r="AF47" s="173"/>
      <c r="AG47" s="173"/>
      <c r="AH47" s="173"/>
      <c r="AI47" s="173"/>
      <c r="AJ47" s="173"/>
      <c r="AK47" s="173"/>
      <c r="AL47" s="173"/>
      <c r="AM47" s="173"/>
      <c r="AN47" s="173"/>
      <c r="AO47" s="173"/>
      <c r="AP47" s="173"/>
      <c r="AQ47" s="173"/>
      <c r="AR47" s="173"/>
      <c r="AS47" s="173"/>
      <c r="AT47" s="173"/>
      <c r="AU47" s="173"/>
      <c r="AV47" s="173"/>
      <c r="AW47" s="173"/>
      <c r="AX47" s="173"/>
      <c r="AY47" s="173"/>
      <c r="AZ47" s="173"/>
      <c r="BA47" s="173"/>
      <c r="BB47" s="173"/>
      <c r="BC47" s="173"/>
      <c r="BD47" s="173"/>
      <c r="BE47" s="173"/>
    </row>
    <row r="48" spans="1:57">
      <c r="A48" s="432" t="s">
        <v>370</v>
      </c>
      <c r="B48" s="433"/>
      <c r="C48" s="433"/>
      <c r="D48" s="433"/>
      <c r="E48" s="433"/>
      <c r="F48" s="433"/>
      <c r="G48" s="433"/>
      <c r="H48" s="433"/>
      <c r="I48" s="433"/>
      <c r="J48" s="433"/>
      <c r="K48" s="433"/>
      <c r="L48" s="433"/>
      <c r="M48" s="173"/>
      <c r="N48" s="173"/>
      <c r="O48" s="173"/>
      <c r="P48" s="173"/>
      <c r="Q48" s="173"/>
      <c r="R48" s="173"/>
      <c r="S48" s="173"/>
      <c r="T48" s="173"/>
      <c r="U48" s="173"/>
      <c r="V48" s="173"/>
      <c r="W48" s="173"/>
      <c r="X48" s="173"/>
      <c r="Y48" s="173"/>
      <c r="Z48" s="173"/>
      <c r="AA48" s="173"/>
      <c r="AB48" s="173"/>
      <c r="AC48" s="173"/>
      <c r="AD48" s="173"/>
      <c r="AE48" s="173"/>
      <c r="AF48" s="173"/>
      <c r="AG48" s="173"/>
      <c r="AH48" s="173"/>
      <c r="AI48" s="173"/>
      <c r="AJ48" s="173"/>
      <c r="AK48" s="173"/>
      <c r="AL48" s="173"/>
      <c r="AM48" s="173"/>
      <c r="AN48" s="173"/>
      <c r="AO48" s="173"/>
      <c r="AP48" s="173"/>
      <c r="AQ48" s="173"/>
      <c r="AR48" s="173"/>
      <c r="AS48" s="173"/>
      <c r="AT48" s="173"/>
      <c r="AU48" s="173"/>
      <c r="AV48" s="173"/>
      <c r="AW48" s="173"/>
      <c r="AX48" s="173"/>
      <c r="AY48" s="173"/>
      <c r="AZ48" s="173"/>
      <c r="BA48" s="173"/>
      <c r="BB48" s="173"/>
      <c r="BC48" s="173"/>
      <c r="BD48" s="173"/>
      <c r="BE48" s="173"/>
    </row>
    <row r="49" spans="1:57">
      <c r="A49" s="28">
        <v>2017</v>
      </c>
      <c r="B49" s="179" t="s">
        <v>371</v>
      </c>
      <c r="C49" s="179" t="s">
        <v>372</v>
      </c>
      <c r="D49" s="179" t="s">
        <v>42</v>
      </c>
      <c r="E49" s="179" t="s">
        <v>57</v>
      </c>
      <c r="F49" s="179" t="s">
        <v>41</v>
      </c>
      <c r="G49" s="432" t="s">
        <v>56</v>
      </c>
      <c r="H49" s="433"/>
      <c r="I49" s="173"/>
      <c r="J49" s="173"/>
      <c r="K49" s="173"/>
      <c r="L49" s="173"/>
      <c r="M49" s="173"/>
      <c r="N49" s="173"/>
      <c r="O49" s="173"/>
      <c r="P49" s="173"/>
      <c r="Q49" s="173"/>
      <c r="R49" s="173"/>
      <c r="S49" s="173"/>
      <c r="T49" s="173"/>
      <c r="U49" s="173"/>
      <c r="V49" s="173"/>
      <c r="W49" s="173"/>
      <c r="X49" s="173"/>
      <c r="Y49" s="173"/>
      <c r="Z49" s="173"/>
      <c r="AA49" s="173"/>
      <c r="AB49" s="173"/>
      <c r="AC49" s="173"/>
      <c r="AD49" s="173"/>
      <c r="AE49" s="173"/>
      <c r="AF49" s="173"/>
      <c r="AG49" s="173"/>
      <c r="AH49" s="173"/>
      <c r="AI49" s="173"/>
      <c r="AJ49" s="173"/>
      <c r="AK49" s="173"/>
      <c r="AL49" s="173"/>
      <c r="AM49" s="173"/>
      <c r="AN49" s="173"/>
      <c r="AO49" s="173"/>
      <c r="AP49" s="173"/>
      <c r="AQ49" s="173"/>
      <c r="AR49" s="173"/>
      <c r="AS49" s="173"/>
      <c r="AT49" s="173"/>
      <c r="AU49" s="173"/>
      <c r="AV49" s="173"/>
      <c r="AW49" s="173"/>
      <c r="AX49" s="173"/>
      <c r="AY49" s="173"/>
      <c r="AZ49" s="173"/>
      <c r="BA49" s="173"/>
      <c r="BB49" s="173"/>
      <c r="BC49" s="173"/>
      <c r="BD49" s="173"/>
      <c r="BE49" s="173"/>
    </row>
    <row r="50" spans="1:57">
      <c r="A50" s="179" t="s">
        <v>373</v>
      </c>
      <c r="B50" s="193">
        <v>30209</v>
      </c>
      <c r="C50" s="193">
        <v>47307</v>
      </c>
      <c r="D50" s="193">
        <v>9703</v>
      </c>
      <c r="E50" s="193">
        <v>3021</v>
      </c>
      <c r="F50" s="193">
        <v>5593</v>
      </c>
      <c r="G50" s="193">
        <v>11299</v>
      </c>
      <c r="H50" s="441" t="s">
        <v>374</v>
      </c>
      <c r="I50" s="433"/>
      <c r="J50" s="173"/>
      <c r="K50" s="28">
        <v>107132</v>
      </c>
      <c r="L50" s="28">
        <v>109789</v>
      </c>
      <c r="M50" s="173"/>
      <c r="N50" s="173"/>
      <c r="O50" s="173"/>
      <c r="P50" s="173"/>
      <c r="Q50" s="173"/>
      <c r="R50" s="173"/>
      <c r="S50" s="173"/>
      <c r="T50" s="173"/>
      <c r="U50" s="173"/>
      <c r="V50" s="173"/>
      <c r="W50" s="173"/>
      <c r="X50" s="173"/>
      <c r="Y50" s="173"/>
      <c r="Z50" s="173"/>
      <c r="AA50" s="173"/>
      <c r="AB50" s="173"/>
      <c r="AC50" s="173"/>
      <c r="AD50" s="173"/>
      <c r="AE50" s="173"/>
      <c r="AF50" s="173"/>
      <c r="AG50" s="173"/>
      <c r="AH50" s="173"/>
      <c r="AI50" s="173"/>
      <c r="AJ50" s="173"/>
      <c r="AK50" s="173"/>
      <c r="AL50" s="173"/>
      <c r="AM50" s="173"/>
      <c r="AN50" s="173"/>
      <c r="AO50" s="173"/>
      <c r="AP50" s="173"/>
      <c r="AQ50" s="173"/>
      <c r="AR50" s="173"/>
      <c r="AS50" s="173"/>
      <c r="AT50" s="173"/>
      <c r="AU50" s="173"/>
      <c r="AV50" s="173"/>
      <c r="AW50" s="173"/>
      <c r="AX50" s="173"/>
      <c r="AY50" s="173"/>
      <c r="AZ50" s="173"/>
      <c r="BA50" s="173"/>
      <c r="BB50" s="173"/>
      <c r="BC50" s="173"/>
      <c r="BD50" s="173"/>
      <c r="BE50" s="173"/>
    </row>
    <row r="51" spans="1:57">
      <c r="A51" s="179" t="s">
        <v>375</v>
      </c>
      <c r="B51" s="193">
        <v>26</v>
      </c>
      <c r="C51" s="193">
        <v>547</v>
      </c>
      <c r="D51" s="193">
        <v>836</v>
      </c>
      <c r="E51" s="193">
        <v>127</v>
      </c>
      <c r="F51" s="193">
        <v>118</v>
      </c>
      <c r="G51" s="193">
        <v>1003</v>
      </c>
      <c r="H51" s="173"/>
      <c r="I51" s="173"/>
      <c r="J51" s="173"/>
      <c r="K51" s="28">
        <v>2657</v>
      </c>
      <c r="L51" s="173"/>
      <c r="M51" s="173"/>
      <c r="N51" s="173"/>
      <c r="O51" s="173"/>
      <c r="P51" s="173"/>
      <c r="Q51" s="173"/>
      <c r="R51" s="173"/>
      <c r="S51" s="173"/>
      <c r="T51" s="173"/>
      <c r="U51" s="173"/>
      <c r="V51" s="173"/>
      <c r="W51" s="173"/>
      <c r="X51" s="173"/>
      <c r="Y51" s="173"/>
      <c r="Z51" s="173"/>
      <c r="AA51" s="173"/>
      <c r="AB51" s="173"/>
      <c r="AC51" s="173"/>
      <c r="AD51" s="173"/>
      <c r="AE51" s="173"/>
      <c r="AF51" s="173"/>
      <c r="AG51" s="173"/>
      <c r="AH51" s="173"/>
      <c r="AI51" s="173"/>
      <c r="AJ51" s="173"/>
      <c r="AK51" s="173"/>
      <c r="AL51" s="173"/>
      <c r="AM51" s="173"/>
      <c r="AN51" s="173"/>
      <c r="AO51" s="173"/>
      <c r="AP51" s="173"/>
      <c r="AQ51" s="173"/>
      <c r="AR51" s="173"/>
      <c r="AS51" s="173"/>
      <c r="AT51" s="173"/>
      <c r="AU51" s="173"/>
      <c r="AV51" s="173"/>
      <c r="AW51" s="173"/>
      <c r="AX51" s="173"/>
      <c r="AY51" s="173"/>
      <c r="AZ51" s="173"/>
      <c r="BA51" s="173"/>
      <c r="BB51" s="173"/>
      <c r="BC51" s="173"/>
      <c r="BD51" s="173"/>
      <c r="BE51" s="173"/>
    </row>
    <row r="52" spans="1:57">
      <c r="A52" s="179" t="s">
        <v>376</v>
      </c>
      <c r="B52" s="195"/>
      <c r="C52" s="196">
        <v>1252</v>
      </c>
      <c r="D52" s="196">
        <v>4499</v>
      </c>
      <c r="E52" s="195"/>
      <c r="F52" s="195"/>
      <c r="G52" s="196">
        <v>2944</v>
      </c>
      <c r="H52" s="195"/>
      <c r="I52" s="173"/>
      <c r="J52" s="173"/>
      <c r="K52" s="28">
        <v>8694</v>
      </c>
      <c r="L52" s="196">
        <v>77209.149999999994</v>
      </c>
      <c r="M52" s="173"/>
      <c r="N52" s="173"/>
      <c r="O52" s="173"/>
      <c r="P52" s="173"/>
      <c r="Q52" s="173"/>
      <c r="R52" s="173"/>
      <c r="S52" s="173"/>
      <c r="T52" s="173"/>
      <c r="U52" s="173"/>
      <c r="V52" s="173"/>
      <c r="W52" s="173"/>
      <c r="X52" s="173"/>
      <c r="Y52" s="173"/>
      <c r="Z52" s="173"/>
      <c r="AA52" s="173"/>
      <c r="AB52" s="173"/>
      <c r="AC52" s="173"/>
      <c r="AD52" s="173"/>
      <c r="AE52" s="173"/>
      <c r="AF52" s="173"/>
      <c r="AG52" s="173"/>
      <c r="AH52" s="173"/>
      <c r="AI52" s="173"/>
      <c r="AJ52" s="173"/>
      <c r="AK52" s="173"/>
      <c r="AL52" s="173"/>
      <c r="AM52" s="173"/>
      <c r="AN52" s="173"/>
      <c r="AO52" s="173"/>
      <c r="AP52" s="173"/>
      <c r="AQ52" s="173"/>
      <c r="AR52" s="173"/>
      <c r="AS52" s="173"/>
      <c r="AT52" s="173"/>
      <c r="AU52" s="173"/>
      <c r="AV52" s="173"/>
      <c r="AW52" s="173"/>
      <c r="AX52" s="173"/>
      <c r="AY52" s="173"/>
      <c r="AZ52" s="173"/>
      <c r="BA52" s="173"/>
      <c r="BB52" s="173"/>
      <c r="BC52" s="173"/>
      <c r="BD52" s="173"/>
      <c r="BE52" s="173"/>
    </row>
    <row r="53" spans="1:57">
      <c r="A53" s="179" t="s">
        <v>377</v>
      </c>
      <c r="B53" s="195"/>
      <c r="C53" s="196">
        <v>18495</v>
      </c>
      <c r="D53" s="196">
        <v>12509</v>
      </c>
      <c r="E53" s="196">
        <v>334</v>
      </c>
      <c r="F53" s="195"/>
      <c r="G53" s="196">
        <v>14417</v>
      </c>
      <c r="H53" s="195"/>
      <c r="I53" s="173"/>
      <c r="J53" s="173"/>
      <c r="K53" s="28">
        <v>45755</v>
      </c>
      <c r="L53" s="173"/>
      <c r="M53" s="173"/>
      <c r="N53" s="173"/>
      <c r="O53" s="173"/>
      <c r="P53" s="173"/>
      <c r="Q53" s="173"/>
      <c r="R53" s="173"/>
      <c r="S53" s="173"/>
      <c r="T53" s="173"/>
      <c r="U53" s="173"/>
      <c r="V53" s="173"/>
      <c r="W53" s="173"/>
      <c r="X53" s="173"/>
      <c r="Y53" s="173"/>
      <c r="Z53" s="173"/>
      <c r="AA53" s="173"/>
      <c r="AB53" s="173"/>
      <c r="AC53" s="173"/>
      <c r="AD53" s="173"/>
      <c r="AE53" s="173"/>
      <c r="AF53" s="173"/>
      <c r="AG53" s="173"/>
      <c r="AH53" s="173"/>
      <c r="AI53" s="173"/>
      <c r="AJ53" s="173"/>
      <c r="AK53" s="173"/>
      <c r="AL53" s="173"/>
      <c r="AM53" s="173"/>
      <c r="AN53" s="173"/>
      <c r="AO53" s="173"/>
      <c r="AP53" s="173"/>
      <c r="AQ53" s="173"/>
      <c r="AR53" s="173"/>
      <c r="AS53" s="173"/>
      <c r="AT53" s="173"/>
      <c r="AU53" s="173"/>
      <c r="AV53" s="173"/>
      <c r="AW53" s="173"/>
      <c r="AX53" s="173"/>
      <c r="AY53" s="173"/>
      <c r="AZ53" s="173"/>
      <c r="BA53" s="173"/>
      <c r="BB53" s="173"/>
      <c r="BC53" s="173"/>
      <c r="BD53" s="173"/>
      <c r="BE53" s="173"/>
    </row>
    <row r="54" spans="1:57">
      <c r="A54" s="179" t="s">
        <v>378</v>
      </c>
      <c r="B54" s="197">
        <v>50</v>
      </c>
      <c r="C54" s="198">
        <v>500</v>
      </c>
      <c r="D54" s="196">
        <v>11075</v>
      </c>
      <c r="E54" s="195"/>
      <c r="F54" s="196">
        <v>59</v>
      </c>
      <c r="G54" s="196">
        <v>11075</v>
      </c>
      <c r="H54" s="195"/>
      <c r="I54" s="173"/>
      <c r="J54" s="173"/>
      <c r="K54" s="28">
        <v>22760</v>
      </c>
      <c r="L54" s="173"/>
      <c r="M54" s="173"/>
      <c r="N54" s="173"/>
      <c r="O54" s="173"/>
      <c r="P54" s="173"/>
      <c r="Q54" s="173"/>
      <c r="R54" s="173"/>
      <c r="S54" s="173"/>
      <c r="T54" s="173"/>
      <c r="U54" s="173"/>
      <c r="V54" s="173"/>
      <c r="W54" s="173"/>
      <c r="X54" s="173"/>
      <c r="Y54" s="173"/>
      <c r="Z54" s="173"/>
      <c r="AA54" s="173"/>
      <c r="AB54" s="173"/>
      <c r="AC54" s="173"/>
      <c r="AD54" s="173"/>
      <c r="AE54" s="173"/>
      <c r="AF54" s="173"/>
      <c r="AG54" s="173"/>
      <c r="AH54" s="173"/>
      <c r="AI54" s="173"/>
      <c r="AJ54" s="173"/>
      <c r="AK54" s="173"/>
      <c r="AL54" s="173"/>
      <c r="AM54" s="173"/>
      <c r="AN54" s="173"/>
      <c r="AO54" s="173"/>
      <c r="AP54" s="173"/>
      <c r="AQ54" s="173"/>
      <c r="AR54" s="173"/>
      <c r="AS54" s="173"/>
      <c r="AT54" s="173"/>
      <c r="AU54" s="173"/>
      <c r="AV54" s="173"/>
      <c r="AW54" s="173"/>
      <c r="AX54" s="173"/>
      <c r="AY54" s="173"/>
      <c r="AZ54" s="173"/>
      <c r="BA54" s="173"/>
      <c r="BB54" s="173"/>
      <c r="BC54" s="173"/>
      <c r="BD54" s="173"/>
      <c r="BE54" s="173"/>
    </row>
    <row r="55" spans="1:57">
      <c r="A55" s="179" t="s">
        <v>24</v>
      </c>
      <c r="B55" s="28">
        <v>30285</v>
      </c>
      <c r="C55" s="28">
        <v>68101</v>
      </c>
      <c r="D55" s="28">
        <v>38622</v>
      </c>
      <c r="E55" s="28">
        <v>3482</v>
      </c>
      <c r="F55" s="28">
        <v>5770</v>
      </c>
      <c r="G55" s="28">
        <v>40738</v>
      </c>
      <c r="H55" s="173"/>
      <c r="I55" s="173"/>
      <c r="J55" s="173"/>
      <c r="K55" s="28">
        <v>186998</v>
      </c>
      <c r="L55" s="173"/>
      <c r="M55" s="173"/>
      <c r="N55" s="173"/>
      <c r="O55" s="173"/>
      <c r="P55" s="173"/>
      <c r="Q55" s="173"/>
      <c r="R55" s="173"/>
      <c r="S55" s="173"/>
      <c r="T55" s="173"/>
      <c r="U55" s="173"/>
      <c r="V55" s="173"/>
      <c r="W55" s="173"/>
      <c r="X55" s="173"/>
      <c r="Y55" s="173"/>
      <c r="Z55" s="173"/>
      <c r="AA55" s="173"/>
      <c r="AB55" s="173"/>
      <c r="AC55" s="173"/>
      <c r="AD55" s="173"/>
      <c r="AE55" s="173"/>
      <c r="AF55" s="173"/>
      <c r="AG55" s="173"/>
      <c r="AH55" s="173"/>
      <c r="AI55" s="173"/>
      <c r="AJ55" s="173"/>
      <c r="AK55" s="173"/>
      <c r="AL55" s="173"/>
      <c r="AM55" s="173"/>
      <c r="AN55" s="173"/>
      <c r="AO55" s="173"/>
      <c r="AP55" s="173"/>
      <c r="AQ55" s="173"/>
      <c r="AR55" s="173"/>
      <c r="AS55" s="173"/>
      <c r="AT55" s="173"/>
      <c r="AU55" s="173"/>
      <c r="AV55" s="173"/>
      <c r="AW55" s="173"/>
      <c r="AX55" s="173"/>
      <c r="AY55" s="173"/>
      <c r="AZ55" s="173"/>
      <c r="BA55" s="173"/>
      <c r="BB55" s="173"/>
      <c r="BC55" s="173"/>
      <c r="BD55" s="173"/>
      <c r="BE55" s="173"/>
    </row>
    <row r="56" spans="1:57">
      <c r="A56" s="173"/>
      <c r="B56" s="186">
        <v>0.16</v>
      </c>
      <c r="C56" s="186">
        <v>0.36</v>
      </c>
      <c r="D56" s="186">
        <v>0.21</v>
      </c>
      <c r="E56" s="186">
        <v>0.02</v>
      </c>
      <c r="F56" s="186">
        <v>0.03</v>
      </c>
      <c r="G56" s="186">
        <v>0.22</v>
      </c>
      <c r="H56" s="173"/>
      <c r="I56" s="173"/>
      <c r="J56" s="173"/>
      <c r="K56" s="173"/>
      <c r="L56" s="173"/>
      <c r="M56" s="28">
        <v>20027.412</v>
      </c>
      <c r="N56" s="173"/>
      <c r="O56" s="173"/>
      <c r="P56" s="173"/>
      <c r="Q56" s="173"/>
      <c r="R56" s="173"/>
      <c r="S56" s="173"/>
      <c r="T56" s="173"/>
      <c r="U56" s="173"/>
      <c r="V56" s="173"/>
      <c r="W56" s="173"/>
      <c r="X56" s="173"/>
      <c r="Y56" s="173"/>
      <c r="Z56" s="173"/>
      <c r="AA56" s="173"/>
      <c r="AB56" s="173"/>
      <c r="AC56" s="173"/>
      <c r="AD56" s="173"/>
      <c r="AE56" s="173"/>
      <c r="AF56" s="173"/>
      <c r="AG56" s="173"/>
      <c r="AH56" s="173"/>
      <c r="AI56" s="173"/>
      <c r="AJ56" s="173"/>
      <c r="AK56" s="173"/>
      <c r="AL56" s="173"/>
      <c r="AM56" s="173"/>
      <c r="AN56" s="173"/>
      <c r="AO56" s="173"/>
      <c r="AP56" s="173"/>
      <c r="AQ56" s="173"/>
      <c r="AR56" s="173"/>
      <c r="AS56" s="173"/>
      <c r="AT56" s="173"/>
      <c r="AU56" s="173"/>
      <c r="AV56" s="173"/>
      <c r="AW56" s="173"/>
      <c r="AX56" s="173"/>
      <c r="AY56" s="173"/>
      <c r="AZ56" s="173"/>
      <c r="BA56" s="173"/>
      <c r="BB56" s="173"/>
      <c r="BC56" s="173"/>
      <c r="BD56" s="173"/>
      <c r="BE56" s="173"/>
    </row>
    <row r="57" spans="1:57">
      <c r="A57" s="179" t="s">
        <v>379</v>
      </c>
      <c r="B57" s="28">
        <v>29893</v>
      </c>
      <c r="C57" s="28">
        <v>85388</v>
      </c>
      <c r="D57" s="28">
        <v>41620</v>
      </c>
      <c r="E57" s="28">
        <v>3148</v>
      </c>
      <c r="F57" s="28">
        <v>5547</v>
      </c>
      <c r="G57" s="28">
        <v>43946</v>
      </c>
      <c r="H57" s="173"/>
      <c r="I57" s="173"/>
      <c r="J57" s="173"/>
      <c r="K57" s="28">
        <v>209542</v>
      </c>
      <c r="L57" s="173"/>
      <c r="M57" s="28">
        <v>24319</v>
      </c>
      <c r="N57" s="173"/>
      <c r="O57" s="173"/>
      <c r="P57" s="173"/>
      <c r="Q57" s="173"/>
      <c r="R57" s="173"/>
      <c r="S57" s="173"/>
      <c r="T57" s="173"/>
      <c r="U57" s="173"/>
      <c r="V57" s="173"/>
      <c r="W57" s="173"/>
      <c r="X57" s="173"/>
      <c r="Y57" s="173"/>
      <c r="Z57" s="173"/>
      <c r="AA57" s="173"/>
      <c r="AB57" s="173"/>
      <c r="AC57" s="173"/>
      <c r="AD57" s="173"/>
      <c r="AE57" s="173"/>
      <c r="AF57" s="173"/>
      <c r="AG57" s="173"/>
      <c r="AH57" s="173"/>
      <c r="AI57" s="173"/>
      <c r="AJ57" s="173"/>
      <c r="AK57" s="173"/>
      <c r="AL57" s="173"/>
      <c r="AM57" s="173"/>
      <c r="AN57" s="173"/>
      <c r="AO57" s="173"/>
      <c r="AP57" s="173"/>
      <c r="AQ57" s="173"/>
      <c r="AR57" s="173"/>
      <c r="AS57" s="173"/>
      <c r="AT57" s="173"/>
      <c r="AU57" s="173"/>
      <c r="AV57" s="173"/>
      <c r="AW57" s="173"/>
      <c r="AX57" s="173"/>
      <c r="AY57" s="173"/>
      <c r="AZ57" s="173"/>
      <c r="BA57" s="173"/>
      <c r="BB57" s="173"/>
      <c r="BC57" s="173"/>
      <c r="BD57" s="173"/>
      <c r="BE57" s="173"/>
    </row>
    <row r="58" spans="1:57">
      <c r="A58" s="173"/>
      <c r="B58" s="186">
        <v>0.14000000000000001</v>
      </c>
      <c r="C58" s="186">
        <v>0.41</v>
      </c>
      <c r="D58" s="186">
        <v>0.2</v>
      </c>
      <c r="E58" s="186">
        <v>0.02</v>
      </c>
      <c r="F58" s="186">
        <v>0.03</v>
      </c>
      <c r="G58" s="186">
        <v>0.21</v>
      </c>
      <c r="H58" s="173"/>
      <c r="I58" s="173"/>
      <c r="J58" s="173"/>
      <c r="K58" s="173"/>
      <c r="L58" s="173"/>
      <c r="M58" s="173"/>
      <c r="N58" s="173"/>
      <c r="O58" s="173"/>
      <c r="P58" s="173"/>
      <c r="Q58" s="173"/>
      <c r="R58" s="173"/>
      <c r="S58" s="173"/>
      <c r="T58" s="173"/>
      <c r="U58" s="173"/>
      <c r="V58" s="173"/>
      <c r="W58" s="173"/>
      <c r="X58" s="173"/>
      <c r="Y58" s="173"/>
      <c r="Z58" s="173"/>
      <c r="AA58" s="173"/>
      <c r="AB58" s="173"/>
      <c r="AC58" s="173"/>
      <c r="AD58" s="173"/>
      <c r="AE58" s="173"/>
      <c r="AF58" s="173"/>
      <c r="AG58" s="173"/>
      <c r="AH58" s="173"/>
      <c r="AI58" s="173"/>
      <c r="AJ58" s="173"/>
      <c r="AK58" s="173"/>
      <c r="AL58" s="173"/>
      <c r="AM58" s="173"/>
      <c r="AN58" s="173"/>
      <c r="AO58" s="173"/>
      <c r="AP58" s="173"/>
      <c r="AQ58" s="173"/>
      <c r="AR58" s="173"/>
      <c r="AS58" s="173"/>
      <c r="AT58" s="173"/>
      <c r="AU58" s="173"/>
      <c r="AV58" s="173"/>
      <c r="AW58" s="173"/>
      <c r="AX58" s="173"/>
      <c r="AY58" s="173"/>
      <c r="AZ58" s="173"/>
      <c r="BA58" s="173"/>
      <c r="BB58" s="173"/>
      <c r="BC58" s="173"/>
      <c r="BD58" s="173"/>
      <c r="BE58" s="173"/>
    </row>
    <row r="59" spans="1:57">
      <c r="A59" s="179" t="s">
        <v>380</v>
      </c>
      <c r="B59" s="28">
        <v>50</v>
      </c>
      <c r="C59" s="28">
        <v>20247</v>
      </c>
      <c r="D59" s="28">
        <v>28083</v>
      </c>
      <c r="E59" s="28">
        <v>334</v>
      </c>
      <c r="F59" s="28">
        <v>59</v>
      </c>
      <c r="G59" s="28">
        <v>28436</v>
      </c>
      <c r="H59" s="173"/>
      <c r="I59" s="173"/>
      <c r="J59" s="173"/>
      <c r="K59" s="28">
        <v>77209</v>
      </c>
      <c r="L59" s="28">
        <v>186998</v>
      </c>
      <c r="M59" s="173"/>
      <c r="N59" s="173"/>
      <c r="O59" s="173"/>
      <c r="P59" s="173"/>
      <c r="Q59" s="173"/>
      <c r="R59" s="173"/>
      <c r="S59" s="173"/>
      <c r="T59" s="173"/>
      <c r="U59" s="173"/>
      <c r="V59" s="173"/>
      <c r="W59" s="173"/>
      <c r="X59" s="173"/>
      <c r="Y59" s="173"/>
      <c r="Z59" s="173"/>
      <c r="AA59" s="173"/>
      <c r="AB59" s="173"/>
      <c r="AC59" s="173"/>
      <c r="AD59" s="173"/>
      <c r="AE59" s="173"/>
      <c r="AF59" s="173"/>
      <c r="AG59" s="173"/>
      <c r="AH59" s="173"/>
      <c r="AI59" s="173"/>
      <c r="AJ59" s="173"/>
      <c r="AK59" s="173"/>
      <c r="AL59" s="173"/>
      <c r="AM59" s="173"/>
      <c r="AN59" s="173"/>
      <c r="AO59" s="173"/>
      <c r="AP59" s="173"/>
      <c r="AQ59" s="173"/>
      <c r="AR59" s="173"/>
      <c r="AS59" s="173"/>
      <c r="AT59" s="173"/>
      <c r="AU59" s="173"/>
      <c r="AV59" s="173"/>
      <c r="AW59" s="173"/>
      <c r="AX59" s="173"/>
      <c r="AY59" s="173"/>
      <c r="AZ59" s="173"/>
      <c r="BA59" s="173"/>
      <c r="BB59" s="173"/>
      <c r="BC59" s="173"/>
      <c r="BD59" s="173"/>
      <c r="BE59" s="173"/>
    </row>
    <row r="60" spans="1:57">
      <c r="A60" s="173"/>
      <c r="B60" s="173"/>
      <c r="C60" s="173"/>
      <c r="D60" s="173"/>
      <c r="E60" s="173"/>
      <c r="F60" s="173"/>
      <c r="G60" s="173"/>
      <c r="H60" s="173"/>
      <c r="I60" s="173"/>
      <c r="J60" s="173"/>
      <c r="K60" s="173"/>
      <c r="L60" s="173"/>
      <c r="M60" s="173"/>
      <c r="N60" s="173"/>
      <c r="O60" s="173"/>
      <c r="P60" s="173"/>
      <c r="Q60" s="173"/>
      <c r="R60" s="173"/>
      <c r="S60" s="173"/>
      <c r="T60" s="173"/>
      <c r="U60" s="173"/>
      <c r="V60" s="173"/>
      <c r="W60" s="173"/>
      <c r="X60" s="173"/>
      <c r="Y60" s="173"/>
      <c r="Z60" s="173"/>
      <c r="AA60" s="173"/>
      <c r="AB60" s="173"/>
      <c r="AC60" s="173"/>
      <c r="AD60" s="173"/>
      <c r="AE60" s="173"/>
      <c r="AF60" s="173"/>
      <c r="AG60" s="173"/>
      <c r="AH60" s="173"/>
      <c r="AI60" s="173"/>
      <c r="AJ60" s="173"/>
      <c r="AK60" s="173"/>
      <c r="AL60" s="173"/>
      <c r="AM60" s="173"/>
      <c r="AN60" s="173"/>
      <c r="AO60" s="173"/>
      <c r="AP60" s="173"/>
      <c r="AQ60" s="173"/>
      <c r="AR60" s="173"/>
      <c r="AS60" s="173"/>
      <c r="AT60" s="173"/>
      <c r="AU60" s="173"/>
      <c r="AV60" s="173"/>
      <c r="AW60" s="173"/>
      <c r="AX60" s="173"/>
      <c r="AY60" s="173"/>
      <c r="AZ60" s="173"/>
      <c r="BA60" s="173"/>
      <c r="BB60" s="173"/>
      <c r="BC60" s="173"/>
      <c r="BD60" s="173"/>
      <c r="BE60" s="173"/>
    </row>
    <row r="61" spans="1:57">
      <c r="A61" s="432" t="s">
        <v>381</v>
      </c>
      <c r="B61" s="433"/>
      <c r="C61" s="433"/>
      <c r="D61" s="173"/>
      <c r="E61" s="173"/>
      <c r="F61" s="173"/>
      <c r="G61" s="173"/>
      <c r="H61" s="173"/>
      <c r="I61" s="173"/>
      <c r="J61" s="173"/>
      <c r="K61" s="173"/>
      <c r="L61" s="173"/>
      <c r="M61" s="173"/>
      <c r="N61" s="173"/>
      <c r="O61" s="173"/>
      <c r="P61" s="173"/>
      <c r="Q61" s="173"/>
      <c r="R61" s="173"/>
      <c r="S61" s="173"/>
      <c r="T61" s="173"/>
      <c r="U61" s="173"/>
      <c r="V61" s="173"/>
      <c r="W61" s="173"/>
      <c r="X61" s="173"/>
      <c r="Y61" s="173"/>
      <c r="Z61" s="173"/>
      <c r="AA61" s="173"/>
      <c r="AB61" s="173"/>
      <c r="AC61" s="173"/>
      <c r="AD61" s="173"/>
      <c r="AE61" s="173"/>
      <c r="AF61" s="173"/>
      <c r="AG61" s="173"/>
      <c r="AH61" s="173"/>
      <c r="AI61" s="173"/>
      <c r="AJ61" s="173"/>
      <c r="AK61" s="173"/>
      <c r="AL61" s="173"/>
      <c r="AM61" s="173"/>
      <c r="AN61" s="173"/>
      <c r="AO61" s="173"/>
      <c r="AP61" s="173"/>
      <c r="AQ61" s="173"/>
      <c r="AR61" s="173"/>
      <c r="AS61" s="173"/>
      <c r="AT61" s="173"/>
      <c r="AU61" s="173"/>
      <c r="AV61" s="173"/>
      <c r="AW61" s="173"/>
      <c r="AX61" s="173"/>
      <c r="AY61" s="173"/>
      <c r="AZ61" s="173"/>
      <c r="BA61" s="173"/>
      <c r="BB61" s="173"/>
      <c r="BC61" s="173"/>
      <c r="BD61" s="173"/>
      <c r="BE61" s="173"/>
    </row>
    <row r="62" spans="1:57">
      <c r="A62" s="173"/>
      <c r="B62" s="173"/>
      <c r="C62" s="179" t="s">
        <v>329</v>
      </c>
      <c r="D62" s="179" t="s">
        <v>382</v>
      </c>
      <c r="E62" s="179" t="s">
        <v>57</v>
      </c>
      <c r="F62" s="179" t="s">
        <v>41</v>
      </c>
      <c r="G62" s="432" t="s">
        <v>56</v>
      </c>
      <c r="H62" s="433"/>
      <c r="I62" s="173"/>
      <c r="J62" s="173"/>
      <c r="K62" s="28">
        <v>186821</v>
      </c>
      <c r="L62" s="173"/>
      <c r="M62" s="173"/>
      <c r="N62" s="173"/>
      <c r="O62" s="173"/>
      <c r="P62" s="173"/>
      <c r="Q62" s="173"/>
      <c r="R62" s="173"/>
      <c r="S62" s="173"/>
      <c r="T62" s="173"/>
      <c r="U62" s="173"/>
      <c r="V62" s="173"/>
      <c r="W62" s="173"/>
      <c r="X62" s="173"/>
      <c r="Y62" s="173"/>
      <c r="Z62" s="173"/>
      <c r="AA62" s="173"/>
      <c r="AB62" s="173"/>
      <c r="AC62" s="173"/>
      <c r="AD62" s="173"/>
      <c r="AE62" s="173"/>
      <c r="AF62" s="173"/>
      <c r="AG62" s="173"/>
      <c r="AH62" s="173"/>
      <c r="AI62" s="173"/>
      <c r="AJ62" s="173"/>
      <c r="AK62" s="173"/>
      <c r="AL62" s="173"/>
      <c r="AM62" s="173"/>
      <c r="AN62" s="173"/>
      <c r="AO62" s="173"/>
      <c r="AP62" s="173"/>
      <c r="AQ62" s="173"/>
      <c r="AR62" s="173"/>
      <c r="AS62" s="173"/>
      <c r="AT62" s="173"/>
      <c r="AU62" s="173"/>
      <c r="AV62" s="173"/>
      <c r="AW62" s="173"/>
      <c r="AX62" s="173"/>
      <c r="AY62" s="173"/>
      <c r="AZ62" s="173"/>
      <c r="BA62" s="173"/>
      <c r="BB62" s="173"/>
      <c r="BC62" s="173"/>
      <c r="BD62" s="173"/>
      <c r="BE62" s="173"/>
    </row>
    <row r="63" spans="1:57">
      <c r="A63" s="179" t="s">
        <v>376</v>
      </c>
      <c r="B63" s="173"/>
      <c r="C63" s="28">
        <v>1942</v>
      </c>
      <c r="D63" s="28">
        <v>5335</v>
      </c>
      <c r="E63" s="28">
        <v>127</v>
      </c>
      <c r="F63" s="173"/>
      <c r="G63" s="28">
        <v>3947</v>
      </c>
      <c r="H63" s="173"/>
      <c r="I63" s="173"/>
      <c r="J63" s="173"/>
      <c r="K63" s="28">
        <v>11351</v>
      </c>
      <c r="L63" s="173"/>
      <c r="M63" s="173"/>
      <c r="N63" s="173"/>
      <c r="O63" s="173"/>
      <c r="P63" s="173"/>
      <c r="Q63" s="173"/>
      <c r="R63" s="173"/>
      <c r="S63" s="173"/>
      <c r="T63" s="173"/>
      <c r="U63" s="173"/>
      <c r="V63" s="173"/>
      <c r="W63" s="173"/>
      <c r="X63" s="173"/>
      <c r="Y63" s="173"/>
      <c r="Z63" s="173"/>
      <c r="AA63" s="173"/>
      <c r="AB63" s="173"/>
      <c r="AC63" s="173"/>
      <c r="AD63" s="173"/>
      <c r="AE63" s="173"/>
      <c r="AF63" s="173"/>
      <c r="AG63" s="173"/>
      <c r="AH63" s="173"/>
      <c r="AI63" s="173"/>
      <c r="AJ63" s="173"/>
      <c r="AK63" s="173"/>
      <c r="AL63" s="173"/>
      <c r="AM63" s="173"/>
      <c r="AN63" s="173"/>
      <c r="AO63" s="173"/>
      <c r="AP63" s="173"/>
      <c r="AQ63" s="173"/>
      <c r="AR63" s="173"/>
      <c r="AS63" s="173"/>
      <c r="AT63" s="173"/>
      <c r="AU63" s="173"/>
      <c r="AV63" s="173"/>
      <c r="AW63" s="173"/>
      <c r="AX63" s="173"/>
      <c r="AY63" s="173"/>
      <c r="AZ63" s="173"/>
      <c r="BA63" s="173"/>
      <c r="BB63" s="173"/>
      <c r="BC63" s="173"/>
      <c r="BD63" s="173"/>
      <c r="BE63" s="173"/>
    </row>
    <row r="64" spans="1:57">
      <c r="A64" s="179" t="s">
        <v>377</v>
      </c>
      <c r="B64" s="173"/>
      <c r="C64" s="28">
        <v>18495</v>
      </c>
      <c r="D64" s="28">
        <v>12509</v>
      </c>
      <c r="E64" s="28">
        <v>334</v>
      </c>
      <c r="F64" s="173"/>
      <c r="G64" s="28">
        <v>14417</v>
      </c>
      <c r="H64" s="173"/>
      <c r="I64" s="173"/>
      <c r="J64" s="173"/>
      <c r="K64" s="28">
        <v>45755</v>
      </c>
      <c r="L64" s="173"/>
      <c r="M64" s="173"/>
      <c r="N64" s="173"/>
      <c r="O64" s="173"/>
      <c r="P64" s="173"/>
      <c r="Q64" s="173"/>
      <c r="R64" s="173"/>
      <c r="S64" s="173"/>
      <c r="T64" s="173"/>
      <c r="U64" s="173"/>
      <c r="V64" s="173"/>
      <c r="W64" s="173"/>
      <c r="X64" s="173"/>
      <c r="Y64" s="173"/>
      <c r="Z64" s="173"/>
      <c r="AA64" s="173"/>
      <c r="AB64" s="173"/>
      <c r="AC64" s="173"/>
      <c r="AD64" s="173"/>
      <c r="AE64" s="173"/>
      <c r="AF64" s="173"/>
      <c r="AG64" s="173"/>
      <c r="AH64" s="173"/>
      <c r="AI64" s="173"/>
      <c r="AJ64" s="173"/>
      <c r="AK64" s="173"/>
      <c r="AL64" s="173"/>
      <c r="AM64" s="173"/>
      <c r="AN64" s="173"/>
      <c r="AO64" s="173"/>
      <c r="AP64" s="173"/>
      <c r="AQ64" s="173"/>
      <c r="AR64" s="173"/>
      <c r="AS64" s="173"/>
      <c r="AT64" s="173"/>
      <c r="AU64" s="173"/>
      <c r="AV64" s="173"/>
      <c r="AW64" s="173"/>
      <c r="AX64" s="173"/>
      <c r="AY64" s="173"/>
      <c r="AZ64" s="173"/>
      <c r="BA64" s="173"/>
      <c r="BB64" s="173"/>
      <c r="BC64" s="173"/>
      <c r="BD64" s="173"/>
      <c r="BE64" s="173"/>
    </row>
    <row r="65" spans="1:57">
      <c r="A65" s="179" t="s">
        <v>383</v>
      </c>
      <c r="B65" s="173"/>
      <c r="C65" s="28">
        <v>77949</v>
      </c>
      <c r="D65" s="28">
        <v>20778</v>
      </c>
      <c r="E65" s="28">
        <v>3021</v>
      </c>
      <c r="F65" s="28">
        <v>5593</v>
      </c>
      <c r="G65" s="28">
        <v>22374</v>
      </c>
      <c r="H65" s="28">
        <v>186821</v>
      </c>
      <c r="I65" s="173"/>
      <c r="J65" s="173"/>
      <c r="K65" s="28">
        <v>129715</v>
      </c>
      <c r="L65" s="173"/>
      <c r="M65" s="173"/>
      <c r="N65" s="173"/>
      <c r="O65" s="173"/>
      <c r="P65" s="173"/>
      <c r="Q65" s="173"/>
      <c r="R65" s="173"/>
      <c r="S65" s="173"/>
      <c r="T65" s="173"/>
      <c r="U65" s="173"/>
      <c r="V65" s="173"/>
      <c r="W65" s="173"/>
      <c r="X65" s="173"/>
      <c r="Y65" s="173"/>
      <c r="Z65" s="173"/>
      <c r="AA65" s="173"/>
      <c r="AB65" s="173"/>
      <c r="AC65" s="173"/>
      <c r="AD65" s="173"/>
      <c r="AE65" s="173"/>
      <c r="AF65" s="173"/>
      <c r="AG65" s="173"/>
      <c r="AH65" s="173"/>
      <c r="AI65" s="173"/>
      <c r="AJ65" s="173"/>
      <c r="AK65" s="173"/>
      <c r="AL65" s="173"/>
      <c r="AM65" s="173"/>
      <c r="AN65" s="173"/>
      <c r="AO65" s="173"/>
      <c r="AP65" s="173"/>
      <c r="AQ65" s="173"/>
      <c r="AR65" s="173"/>
      <c r="AS65" s="173"/>
      <c r="AT65" s="173"/>
      <c r="AU65" s="173"/>
      <c r="AV65" s="173"/>
      <c r="AW65" s="173"/>
      <c r="AX65" s="173"/>
      <c r="AY65" s="173"/>
      <c r="AZ65" s="173"/>
      <c r="BA65" s="173"/>
      <c r="BB65" s="173"/>
      <c r="BC65" s="173"/>
      <c r="BD65" s="173"/>
      <c r="BE65" s="173"/>
    </row>
    <row r="66" spans="1:57">
      <c r="A66" s="173"/>
      <c r="B66" s="173"/>
      <c r="C66" s="173"/>
      <c r="D66" s="173"/>
      <c r="E66" s="173"/>
      <c r="F66" s="173"/>
      <c r="G66" s="173"/>
      <c r="H66" s="173"/>
      <c r="I66" s="173"/>
      <c r="J66" s="173"/>
      <c r="K66" s="173"/>
      <c r="L66" s="173"/>
      <c r="M66" s="173"/>
      <c r="N66" s="173"/>
      <c r="O66" s="173"/>
      <c r="P66" s="173"/>
      <c r="Q66" s="173"/>
      <c r="R66" s="173"/>
      <c r="S66" s="173"/>
      <c r="T66" s="173"/>
      <c r="U66" s="173"/>
      <c r="V66" s="173"/>
      <c r="W66" s="173"/>
      <c r="X66" s="173"/>
      <c r="Y66" s="173"/>
      <c r="Z66" s="173"/>
      <c r="AA66" s="173"/>
      <c r="AB66" s="173"/>
      <c r="AC66" s="173"/>
      <c r="AD66" s="173"/>
      <c r="AE66" s="173"/>
      <c r="AF66" s="173"/>
      <c r="AG66" s="173"/>
      <c r="AH66" s="173"/>
      <c r="AI66" s="173"/>
      <c r="AJ66" s="173"/>
      <c r="AK66" s="173"/>
      <c r="AL66" s="173"/>
      <c r="AM66" s="173"/>
      <c r="AN66" s="173"/>
      <c r="AO66" s="173"/>
      <c r="AP66" s="173"/>
      <c r="AQ66" s="173"/>
      <c r="AR66" s="173"/>
      <c r="AS66" s="173"/>
      <c r="AT66" s="173"/>
      <c r="AU66" s="173"/>
      <c r="AV66" s="173"/>
      <c r="AW66" s="173"/>
      <c r="AX66" s="173"/>
      <c r="AY66" s="173"/>
      <c r="AZ66" s="173"/>
      <c r="BA66" s="173"/>
      <c r="BB66" s="173"/>
      <c r="BC66" s="173"/>
      <c r="BD66" s="173"/>
      <c r="BE66" s="173"/>
    </row>
    <row r="67" spans="1:57">
      <c r="A67" s="432" t="s">
        <v>384</v>
      </c>
      <c r="B67" s="433"/>
      <c r="C67" s="433"/>
      <c r="D67" s="173"/>
      <c r="E67" s="173"/>
      <c r="F67" s="173"/>
      <c r="G67" s="173"/>
      <c r="H67" s="173"/>
      <c r="I67" s="173"/>
      <c r="J67" s="173"/>
      <c r="K67" s="173"/>
      <c r="L67" s="173"/>
      <c r="M67" s="173"/>
      <c r="N67" s="173"/>
      <c r="O67" s="173"/>
      <c r="P67" s="173"/>
      <c r="Q67" s="173"/>
      <c r="R67" s="173"/>
      <c r="S67" s="173"/>
      <c r="T67" s="173"/>
      <c r="U67" s="173"/>
      <c r="V67" s="173"/>
      <c r="W67" s="173"/>
      <c r="X67" s="173"/>
      <c r="Y67" s="173"/>
      <c r="Z67" s="173"/>
      <c r="AA67" s="173"/>
      <c r="AB67" s="173"/>
      <c r="AC67" s="173"/>
      <c r="AD67" s="173"/>
      <c r="AE67" s="173"/>
      <c r="AF67" s="173"/>
      <c r="AG67" s="173"/>
      <c r="AH67" s="173"/>
      <c r="AI67" s="173"/>
      <c r="AJ67" s="173"/>
      <c r="AK67" s="173"/>
      <c r="AL67" s="173"/>
      <c r="AM67" s="173"/>
      <c r="AN67" s="173"/>
      <c r="AO67" s="173"/>
      <c r="AP67" s="173"/>
      <c r="AQ67" s="173"/>
      <c r="AR67" s="173"/>
      <c r="AS67" s="173"/>
      <c r="AT67" s="173"/>
      <c r="AU67" s="173"/>
      <c r="AV67" s="173"/>
      <c r="AW67" s="173"/>
      <c r="AX67" s="173"/>
      <c r="AY67" s="173"/>
      <c r="AZ67" s="173"/>
      <c r="BA67" s="173"/>
      <c r="BB67" s="173"/>
      <c r="BC67" s="173"/>
      <c r="BD67" s="173"/>
      <c r="BE67" s="173"/>
    </row>
    <row r="68" spans="1:57">
      <c r="A68" s="173"/>
      <c r="B68" s="173"/>
      <c r="C68" s="179" t="s">
        <v>329</v>
      </c>
      <c r="D68" s="179" t="s">
        <v>382</v>
      </c>
      <c r="E68" s="179" t="s">
        <v>57</v>
      </c>
      <c r="F68" s="179" t="s">
        <v>41</v>
      </c>
      <c r="G68" s="432" t="s">
        <v>56</v>
      </c>
      <c r="H68" s="433"/>
      <c r="I68" s="173"/>
      <c r="J68" s="173"/>
      <c r="K68" s="28">
        <v>185835</v>
      </c>
      <c r="L68" s="188">
        <v>-5.3E-3</v>
      </c>
      <c r="M68" s="173"/>
      <c r="N68" s="173"/>
      <c r="O68" s="173"/>
      <c r="P68" s="173"/>
      <c r="Q68" s="173"/>
      <c r="R68" s="173"/>
      <c r="S68" s="173"/>
      <c r="T68" s="173"/>
      <c r="U68" s="173"/>
      <c r="V68" s="173"/>
      <c r="W68" s="173"/>
      <c r="X68" s="173"/>
      <c r="Y68" s="173"/>
      <c r="Z68" s="173"/>
      <c r="AA68" s="173"/>
      <c r="AB68" s="173"/>
      <c r="AC68" s="173"/>
      <c r="AD68" s="173"/>
      <c r="AE68" s="173"/>
      <c r="AF68" s="173"/>
      <c r="AG68" s="173"/>
      <c r="AH68" s="173"/>
      <c r="AI68" s="173"/>
      <c r="AJ68" s="173"/>
      <c r="AK68" s="173"/>
      <c r="AL68" s="173"/>
      <c r="AM68" s="173"/>
      <c r="AN68" s="173"/>
      <c r="AO68" s="173"/>
      <c r="AP68" s="173"/>
      <c r="AQ68" s="173"/>
      <c r="AR68" s="173"/>
      <c r="AS68" s="173"/>
      <c r="AT68" s="173"/>
      <c r="AU68" s="173"/>
      <c r="AV68" s="173"/>
      <c r="AW68" s="173"/>
      <c r="AX68" s="173"/>
      <c r="AY68" s="173"/>
      <c r="AZ68" s="173"/>
      <c r="BA68" s="173"/>
      <c r="BB68" s="173"/>
      <c r="BC68" s="173"/>
      <c r="BD68" s="173"/>
      <c r="BE68" s="173"/>
    </row>
    <row r="69" spans="1:57">
      <c r="A69" s="179" t="s">
        <v>376</v>
      </c>
      <c r="B69" s="173"/>
      <c r="C69" s="28">
        <v>1912</v>
      </c>
      <c r="D69" s="28">
        <v>5169</v>
      </c>
      <c r="E69" s="28">
        <v>127</v>
      </c>
      <c r="F69" s="173"/>
      <c r="G69" s="28">
        <v>3838</v>
      </c>
      <c r="H69" s="173"/>
      <c r="I69" s="173"/>
      <c r="J69" s="173"/>
      <c r="K69" s="28">
        <v>11046</v>
      </c>
      <c r="L69" s="173"/>
      <c r="M69" s="173"/>
      <c r="N69" s="173"/>
      <c r="O69" s="173"/>
      <c r="P69" s="173"/>
      <c r="Q69" s="173"/>
      <c r="R69" s="173"/>
      <c r="S69" s="173"/>
      <c r="T69" s="173"/>
      <c r="U69" s="173"/>
      <c r="V69" s="173"/>
      <c r="W69" s="173"/>
      <c r="X69" s="173"/>
      <c r="Y69" s="173"/>
      <c r="Z69" s="173"/>
      <c r="AA69" s="173"/>
      <c r="AB69" s="173"/>
      <c r="AC69" s="173"/>
      <c r="AD69" s="173"/>
      <c r="AE69" s="173"/>
      <c r="AF69" s="173"/>
      <c r="AG69" s="173"/>
      <c r="AH69" s="173"/>
      <c r="AI69" s="173"/>
      <c r="AJ69" s="173"/>
      <c r="AK69" s="173"/>
      <c r="AL69" s="173"/>
      <c r="AM69" s="173"/>
      <c r="AN69" s="173"/>
      <c r="AO69" s="173"/>
      <c r="AP69" s="173"/>
      <c r="AQ69" s="173"/>
      <c r="AR69" s="173"/>
      <c r="AS69" s="173"/>
      <c r="AT69" s="173"/>
      <c r="AU69" s="173"/>
      <c r="AV69" s="173"/>
      <c r="AW69" s="173"/>
      <c r="AX69" s="173"/>
      <c r="AY69" s="173"/>
      <c r="AZ69" s="173"/>
      <c r="BA69" s="173"/>
      <c r="BB69" s="173"/>
      <c r="BC69" s="173"/>
      <c r="BD69" s="173"/>
      <c r="BE69" s="173"/>
    </row>
    <row r="70" spans="1:57">
      <c r="A70" s="179" t="s">
        <v>377</v>
      </c>
      <c r="B70" s="173"/>
      <c r="C70" s="28">
        <v>18495</v>
      </c>
      <c r="D70" s="28">
        <v>12696</v>
      </c>
      <c r="E70" s="28">
        <v>334</v>
      </c>
      <c r="F70" s="173"/>
      <c r="G70" s="28">
        <v>14417</v>
      </c>
      <c r="H70" s="173"/>
      <c r="I70" s="173"/>
      <c r="J70" s="173"/>
      <c r="K70" s="28">
        <v>45942</v>
      </c>
      <c r="L70" s="173"/>
      <c r="M70" s="173"/>
      <c r="N70" s="173"/>
      <c r="O70" s="28">
        <v>2012</v>
      </c>
      <c r="P70" s="179" t="s">
        <v>385</v>
      </c>
      <c r="Q70" s="28">
        <v>673</v>
      </c>
      <c r="R70" s="28">
        <v>10</v>
      </c>
      <c r="S70" s="28">
        <v>15</v>
      </c>
      <c r="T70" s="28">
        <v>942</v>
      </c>
      <c r="U70" s="28">
        <v>753</v>
      </c>
      <c r="V70" s="28">
        <v>633</v>
      </c>
      <c r="W70" s="28">
        <v>11</v>
      </c>
      <c r="X70" s="28">
        <v>11</v>
      </c>
      <c r="Y70" s="28">
        <v>274</v>
      </c>
      <c r="Z70" s="28">
        <v>847</v>
      </c>
      <c r="AA70" s="28">
        <v>2</v>
      </c>
      <c r="AB70" s="28">
        <v>257</v>
      </c>
      <c r="AC70" s="28">
        <v>56</v>
      </c>
      <c r="AD70" s="28">
        <v>89</v>
      </c>
      <c r="AE70" s="28">
        <v>2</v>
      </c>
      <c r="AF70" s="28">
        <v>1</v>
      </c>
      <c r="AG70" s="28">
        <v>317</v>
      </c>
      <c r="AH70" s="28">
        <v>1</v>
      </c>
      <c r="AI70" s="28">
        <v>952</v>
      </c>
      <c r="AJ70" s="28">
        <v>2</v>
      </c>
      <c r="AK70" s="28">
        <v>386</v>
      </c>
      <c r="AL70" s="28">
        <v>258</v>
      </c>
      <c r="AM70" s="28">
        <v>35</v>
      </c>
      <c r="AN70" s="28">
        <v>62</v>
      </c>
      <c r="AO70" s="28">
        <v>1</v>
      </c>
      <c r="AP70" s="28">
        <v>594</v>
      </c>
      <c r="AQ70" s="28">
        <v>355</v>
      </c>
      <c r="AR70" s="179" t="s">
        <v>105</v>
      </c>
      <c r="AS70" s="179" t="s">
        <v>105</v>
      </c>
      <c r="AT70" s="28">
        <v>726</v>
      </c>
      <c r="AU70" s="28">
        <v>322</v>
      </c>
      <c r="AV70" s="28">
        <v>794</v>
      </c>
      <c r="AW70" s="179" t="s">
        <v>105</v>
      </c>
      <c r="AX70" s="179" t="s">
        <v>105</v>
      </c>
      <c r="AY70" s="179" t="s">
        <v>386</v>
      </c>
      <c r="AZ70" s="28">
        <v>307</v>
      </c>
      <c r="BA70" s="28">
        <v>94</v>
      </c>
      <c r="BB70" s="173"/>
      <c r="BC70" s="173"/>
      <c r="BD70" s="173"/>
      <c r="BE70" s="173"/>
    </row>
    <row r="71" spans="1:57">
      <c r="A71" s="179" t="s">
        <v>383</v>
      </c>
      <c r="B71" s="173"/>
      <c r="C71" s="28">
        <v>77549</v>
      </c>
      <c r="D71" s="28">
        <v>20863</v>
      </c>
      <c r="E71" s="28">
        <v>3021</v>
      </c>
      <c r="F71" s="28">
        <v>5593</v>
      </c>
      <c r="G71" s="28">
        <v>21820</v>
      </c>
      <c r="H71" s="173"/>
      <c r="I71" s="173"/>
      <c r="J71" s="173"/>
      <c r="K71" s="28">
        <v>128846</v>
      </c>
      <c r="L71" s="173"/>
      <c r="M71" s="173"/>
      <c r="N71" s="173"/>
      <c r="O71" s="28">
        <v>2012</v>
      </c>
      <c r="P71" s="179" t="s">
        <v>387</v>
      </c>
      <c r="Q71" s="28">
        <v>490</v>
      </c>
      <c r="R71" s="28">
        <v>160</v>
      </c>
      <c r="S71" s="28">
        <v>3</v>
      </c>
      <c r="T71" s="28">
        <v>753</v>
      </c>
      <c r="U71" s="28">
        <v>872</v>
      </c>
      <c r="V71" s="28">
        <v>466</v>
      </c>
      <c r="W71" s="28">
        <v>843</v>
      </c>
      <c r="X71" s="28">
        <v>1</v>
      </c>
      <c r="Y71" s="28">
        <v>708</v>
      </c>
      <c r="Z71" s="28">
        <v>18</v>
      </c>
      <c r="AA71" s="28">
        <v>1</v>
      </c>
      <c r="AB71" s="28">
        <v>152</v>
      </c>
      <c r="AC71" s="28">
        <v>15</v>
      </c>
      <c r="AD71" s="28">
        <v>837</v>
      </c>
      <c r="AE71" s="179" t="s">
        <v>105</v>
      </c>
      <c r="AF71" s="179" t="s">
        <v>105</v>
      </c>
      <c r="AG71" s="28">
        <v>1</v>
      </c>
      <c r="AH71" s="28">
        <v>817</v>
      </c>
      <c r="AI71" s="28">
        <v>585</v>
      </c>
      <c r="AJ71" s="28">
        <v>781</v>
      </c>
      <c r="AK71" s="28">
        <v>17</v>
      </c>
      <c r="AL71" s="28">
        <v>948</v>
      </c>
      <c r="AM71" s="28">
        <v>1</v>
      </c>
      <c r="AN71" s="28">
        <v>236</v>
      </c>
      <c r="AO71" s="28">
        <v>388</v>
      </c>
      <c r="AP71" s="179" t="s">
        <v>105</v>
      </c>
      <c r="AQ71" s="179" t="s">
        <v>105</v>
      </c>
      <c r="AR71" s="28">
        <v>2</v>
      </c>
      <c r="AS71" s="28">
        <v>400</v>
      </c>
      <c r="AT71" s="28">
        <v>15</v>
      </c>
      <c r="AU71" s="28">
        <v>899</v>
      </c>
      <c r="AV71" s="179" t="s">
        <v>105</v>
      </c>
      <c r="AW71" s="179" t="s">
        <v>105</v>
      </c>
      <c r="AX71" s="179" t="s">
        <v>386</v>
      </c>
      <c r="AY71" s="28">
        <v>191</v>
      </c>
      <c r="AZ71" s="28">
        <v>949</v>
      </c>
      <c r="BA71" s="173"/>
      <c r="BB71" s="173"/>
      <c r="BC71" s="173"/>
      <c r="BD71" s="173"/>
      <c r="BE71" s="173"/>
    </row>
    <row r="72" spans="1:57">
      <c r="A72" s="179" t="s">
        <v>24</v>
      </c>
      <c r="B72" s="173"/>
      <c r="C72" s="28">
        <v>97955</v>
      </c>
      <c r="D72" s="28">
        <v>38729</v>
      </c>
      <c r="E72" s="28">
        <v>3482</v>
      </c>
      <c r="F72" s="28">
        <v>5593</v>
      </c>
      <c r="G72" s="28">
        <v>40075</v>
      </c>
      <c r="H72" s="173"/>
      <c r="I72" s="28">
        <v>12461</v>
      </c>
      <c r="J72" s="173"/>
      <c r="K72" s="28">
        <v>185835</v>
      </c>
      <c r="L72" s="173"/>
      <c r="M72" s="173"/>
      <c r="N72" s="173"/>
      <c r="O72" s="28">
        <v>2012</v>
      </c>
      <c r="P72" s="179" t="s">
        <v>388</v>
      </c>
      <c r="Q72" s="28">
        <v>1</v>
      </c>
      <c r="R72" s="28">
        <v>639</v>
      </c>
      <c r="S72" s="28">
        <v>607</v>
      </c>
      <c r="T72" s="28">
        <v>34</v>
      </c>
      <c r="U72" s="28">
        <v>348</v>
      </c>
      <c r="V72" s="28">
        <v>169</v>
      </c>
      <c r="W72" s="28">
        <v>1</v>
      </c>
      <c r="X72" s="28">
        <v>559</v>
      </c>
      <c r="Y72" s="28">
        <v>365</v>
      </c>
      <c r="Z72" s="28">
        <v>10</v>
      </c>
      <c r="AA72" s="28">
        <v>471</v>
      </c>
      <c r="AB72" s="28">
        <v>676</v>
      </c>
      <c r="AC72" s="28">
        <v>9</v>
      </c>
      <c r="AD72" s="28">
        <v>673</v>
      </c>
      <c r="AE72" s="28">
        <v>200</v>
      </c>
      <c r="AF72" s="28">
        <v>354</v>
      </c>
      <c r="AG72" s="28">
        <v>16</v>
      </c>
      <c r="AH72" s="28">
        <v>44</v>
      </c>
      <c r="AI72" s="28">
        <v>990</v>
      </c>
      <c r="AJ72" s="28">
        <v>10</v>
      </c>
      <c r="AK72" s="28">
        <v>199</v>
      </c>
      <c r="AL72" s="28">
        <v>11</v>
      </c>
      <c r="AM72" s="28">
        <v>800</v>
      </c>
      <c r="AN72" s="28">
        <v>466</v>
      </c>
      <c r="AO72" s="28">
        <v>57</v>
      </c>
      <c r="AP72" s="28">
        <v>601</v>
      </c>
      <c r="AQ72" s="28">
        <v>11</v>
      </c>
      <c r="AR72" s="28">
        <v>244</v>
      </c>
      <c r="AS72" s="28">
        <v>801</v>
      </c>
      <c r="AT72" s="179" t="s">
        <v>105</v>
      </c>
      <c r="AU72" s="179" t="s">
        <v>105</v>
      </c>
      <c r="AV72" s="28">
        <v>2</v>
      </c>
      <c r="AW72" s="28">
        <v>749</v>
      </c>
      <c r="AX72" s="28">
        <v>22</v>
      </c>
      <c r="AY72" s="28">
        <v>125</v>
      </c>
      <c r="AZ72" s="28">
        <v>4</v>
      </c>
      <c r="BA72" s="28">
        <v>74</v>
      </c>
      <c r="BB72" s="28">
        <v>908</v>
      </c>
      <c r="BC72" s="179" t="s">
        <v>386</v>
      </c>
      <c r="BD72" s="28">
        <v>488</v>
      </c>
      <c r="BE72" s="28">
        <v>849</v>
      </c>
    </row>
    <row r="73" spans="1:57">
      <c r="A73" s="179" t="s">
        <v>389</v>
      </c>
      <c r="B73" s="173"/>
      <c r="C73" s="188">
        <v>6.4000000000000001E-2</v>
      </c>
      <c r="D73" s="188">
        <v>0.13100000000000001</v>
      </c>
      <c r="E73" s="188">
        <v>4.9000000000000002E-2</v>
      </c>
      <c r="F73" s="188">
        <v>0.13</v>
      </c>
      <c r="G73" s="188">
        <v>0.22600000000000001</v>
      </c>
      <c r="H73" s="173"/>
      <c r="I73" s="188">
        <v>0.2</v>
      </c>
      <c r="J73" s="188">
        <v>0.09</v>
      </c>
      <c r="K73" s="173"/>
      <c r="L73" s="173"/>
      <c r="M73" s="173"/>
      <c r="N73" s="173"/>
      <c r="O73" s="28">
        <v>2012</v>
      </c>
      <c r="P73" s="179" t="s">
        <v>390</v>
      </c>
      <c r="Q73" s="28">
        <v>915</v>
      </c>
      <c r="R73" s="28">
        <v>114</v>
      </c>
      <c r="S73" s="28">
        <v>16</v>
      </c>
      <c r="T73" s="28">
        <v>102</v>
      </c>
      <c r="U73" s="28">
        <v>344</v>
      </c>
      <c r="V73" s="28">
        <v>843</v>
      </c>
      <c r="W73" s="28">
        <v>680</v>
      </c>
      <c r="X73" s="28">
        <v>4</v>
      </c>
      <c r="Y73" s="28">
        <v>646</v>
      </c>
      <c r="Z73" s="28">
        <v>220</v>
      </c>
      <c r="AA73" s="28">
        <v>96</v>
      </c>
      <c r="AB73" s="28">
        <v>9</v>
      </c>
      <c r="AC73" s="28">
        <v>934</v>
      </c>
      <c r="AD73" s="28">
        <v>4</v>
      </c>
      <c r="AE73" s="28">
        <v>3</v>
      </c>
      <c r="AF73" s="28">
        <v>141</v>
      </c>
      <c r="AG73" s="28">
        <v>2</v>
      </c>
      <c r="AH73" s="28">
        <v>803</v>
      </c>
      <c r="AI73" s="28">
        <v>7</v>
      </c>
      <c r="AJ73" s="28">
        <v>201</v>
      </c>
      <c r="AK73" s="28">
        <v>513</v>
      </c>
      <c r="AL73" s="28">
        <v>65</v>
      </c>
      <c r="AM73" s="28">
        <v>264</v>
      </c>
      <c r="AN73" s="28">
        <v>3</v>
      </c>
      <c r="AO73" s="28">
        <v>487</v>
      </c>
      <c r="AP73" s="28">
        <v>708</v>
      </c>
      <c r="AQ73" s="28">
        <v>3</v>
      </c>
      <c r="AR73" s="28">
        <v>173</v>
      </c>
      <c r="AS73" s="28">
        <v>987</v>
      </c>
      <c r="AT73" s="28">
        <v>3</v>
      </c>
      <c r="AU73" s="28">
        <v>264</v>
      </c>
      <c r="AV73" s="28">
        <v>143</v>
      </c>
      <c r="AW73" s="28">
        <v>197</v>
      </c>
      <c r="AX73" s="179" t="s">
        <v>105</v>
      </c>
      <c r="AY73" s="179" t="s">
        <v>105</v>
      </c>
      <c r="AZ73" s="179" t="s">
        <v>386</v>
      </c>
      <c r="BA73" s="28">
        <v>436</v>
      </c>
      <c r="BB73" s="28">
        <v>644</v>
      </c>
      <c r="BC73" s="173"/>
      <c r="BD73" s="173"/>
      <c r="BE73" s="173"/>
    </row>
    <row r="74" spans="1:57">
      <c r="A74" s="179" t="s">
        <v>367</v>
      </c>
      <c r="B74" s="173"/>
      <c r="C74" s="28">
        <v>104619</v>
      </c>
      <c r="D74" s="28">
        <v>44547</v>
      </c>
      <c r="E74" s="28">
        <v>3662</v>
      </c>
      <c r="F74" s="28">
        <v>6426</v>
      </c>
      <c r="G74" s="28">
        <v>51793</v>
      </c>
      <c r="H74" s="173"/>
      <c r="I74" s="28">
        <v>15576</v>
      </c>
      <c r="J74" s="173"/>
      <c r="K74" s="28">
        <v>211047</v>
      </c>
      <c r="L74" s="173"/>
      <c r="M74" s="173"/>
      <c r="N74" s="173"/>
      <c r="O74" s="28">
        <v>2012</v>
      </c>
      <c r="P74" s="179" t="s">
        <v>391</v>
      </c>
      <c r="Q74" s="28">
        <v>180</v>
      </c>
      <c r="R74" s="28">
        <v>701</v>
      </c>
      <c r="S74" s="28">
        <v>2</v>
      </c>
      <c r="T74" s="28">
        <v>612</v>
      </c>
      <c r="U74" s="28">
        <v>654</v>
      </c>
      <c r="V74" s="28">
        <v>160</v>
      </c>
      <c r="W74" s="28">
        <v>396</v>
      </c>
      <c r="X74" s="28">
        <v>1</v>
      </c>
      <c r="Y74" s="28">
        <v>308</v>
      </c>
      <c r="Z74" s="28">
        <v>978</v>
      </c>
      <c r="AA74" s="28">
        <v>5</v>
      </c>
      <c r="AB74" s="28">
        <v>289</v>
      </c>
      <c r="AC74" s="28">
        <v>175</v>
      </c>
      <c r="AD74" s="28">
        <v>169</v>
      </c>
      <c r="AE74" s="179" t="s">
        <v>105</v>
      </c>
      <c r="AF74" s="179" t="s">
        <v>105</v>
      </c>
      <c r="AG74" s="28">
        <v>3</v>
      </c>
      <c r="AH74" s="28">
        <v>722</v>
      </c>
      <c r="AI74" s="28">
        <v>618</v>
      </c>
      <c r="AJ74" s="28">
        <v>618</v>
      </c>
      <c r="AK74" s="28">
        <v>11</v>
      </c>
      <c r="AL74" s="28">
        <v>113</v>
      </c>
      <c r="AM74" s="28">
        <v>416</v>
      </c>
      <c r="AN74" s="28">
        <v>429</v>
      </c>
      <c r="AO74" s="28">
        <v>2</v>
      </c>
      <c r="AP74" s="28">
        <v>267</v>
      </c>
      <c r="AQ74" s="28">
        <v>179</v>
      </c>
      <c r="AR74" s="28">
        <v>25</v>
      </c>
      <c r="AS74" s="28">
        <v>393</v>
      </c>
      <c r="AT74" s="179" t="s">
        <v>105</v>
      </c>
      <c r="AU74" s="179" t="s">
        <v>105</v>
      </c>
      <c r="AV74" s="179" t="s">
        <v>386</v>
      </c>
      <c r="AW74" s="28">
        <v>67</v>
      </c>
      <c r="AX74" s="28">
        <v>800</v>
      </c>
      <c r="AY74" s="173"/>
      <c r="AZ74" s="173"/>
      <c r="BA74" s="173"/>
      <c r="BB74" s="173"/>
      <c r="BC74" s="173"/>
      <c r="BD74" s="173"/>
      <c r="BE74" s="173"/>
    </row>
    <row r="75" spans="1:57">
      <c r="A75" s="173"/>
      <c r="B75" s="173"/>
      <c r="C75" s="188">
        <v>3.9E-2</v>
      </c>
      <c r="D75" s="188">
        <v>3.9E-2</v>
      </c>
      <c r="E75" s="188">
        <v>3.9E-2</v>
      </c>
      <c r="F75" s="188">
        <v>3.9E-2</v>
      </c>
      <c r="G75" s="188">
        <v>3.9E-2</v>
      </c>
      <c r="H75" s="173"/>
      <c r="I75" s="173"/>
      <c r="J75" s="173"/>
      <c r="K75" s="173"/>
      <c r="L75" s="173"/>
      <c r="M75" s="173"/>
      <c r="N75" s="173"/>
      <c r="O75" s="28">
        <v>2012</v>
      </c>
      <c r="P75" s="179" t="s">
        <v>392</v>
      </c>
      <c r="Q75" s="28">
        <v>305</v>
      </c>
      <c r="R75" s="28">
        <v>426</v>
      </c>
      <c r="S75" s="28">
        <v>2</v>
      </c>
      <c r="T75" s="28">
        <v>851</v>
      </c>
      <c r="U75" s="28">
        <v>607</v>
      </c>
      <c r="V75" s="28">
        <v>293</v>
      </c>
      <c r="W75" s="28">
        <v>109</v>
      </c>
      <c r="X75" s="28">
        <v>1</v>
      </c>
      <c r="Y75" s="28">
        <v>187</v>
      </c>
      <c r="Z75" s="28">
        <v>675</v>
      </c>
      <c r="AA75" s="28">
        <v>353</v>
      </c>
      <c r="AB75" s="28">
        <v>22</v>
      </c>
      <c r="AC75" s="28">
        <v>759</v>
      </c>
      <c r="AD75" s="28">
        <v>1</v>
      </c>
      <c r="AE75" s="28">
        <v>14</v>
      </c>
      <c r="AF75" s="28">
        <v>842</v>
      </c>
      <c r="AG75" s="28">
        <v>996</v>
      </c>
      <c r="AH75" s="28">
        <v>500</v>
      </c>
      <c r="AI75" s="28">
        <v>737</v>
      </c>
      <c r="AJ75" s="28">
        <v>10</v>
      </c>
      <c r="AK75" s="28">
        <v>518</v>
      </c>
      <c r="AL75" s="28">
        <v>976</v>
      </c>
      <c r="AM75" s="28">
        <v>290</v>
      </c>
      <c r="AN75" s="28">
        <v>83</v>
      </c>
      <c r="AO75" s="28">
        <v>56</v>
      </c>
      <c r="AP75" s="28">
        <v>948</v>
      </c>
      <c r="AQ75" s="28">
        <v>366</v>
      </c>
      <c r="AR75" s="28">
        <v>16</v>
      </c>
      <c r="AS75" s="28">
        <v>793</v>
      </c>
      <c r="AT75" s="179" t="s">
        <v>105</v>
      </c>
      <c r="AU75" s="179" t="s">
        <v>105</v>
      </c>
      <c r="AV75" s="179" t="s">
        <v>386</v>
      </c>
      <c r="AW75" s="28">
        <v>75</v>
      </c>
      <c r="AX75" s="28">
        <v>563</v>
      </c>
      <c r="AY75" s="173"/>
      <c r="AZ75" s="173"/>
      <c r="BA75" s="173"/>
      <c r="BB75" s="173"/>
      <c r="BC75" s="173"/>
      <c r="BD75" s="173"/>
      <c r="BE75" s="173"/>
    </row>
    <row r="76" spans="1:57">
      <c r="A76" s="179" t="s">
        <v>369</v>
      </c>
      <c r="B76" s="173"/>
      <c r="C76" s="28">
        <v>108865</v>
      </c>
      <c r="D76" s="28">
        <v>46355</v>
      </c>
      <c r="E76" s="28">
        <v>3810</v>
      </c>
      <c r="F76" s="28">
        <v>6687</v>
      </c>
      <c r="G76" s="28">
        <v>53895</v>
      </c>
      <c r="H76" s="173"/>
      <c r="I76" s="28">
        <v>15576</v>
      </c>
      <c r="J76" s="173"/>
      <c r="K76" s="28">
        <v>235188</v>
      </c>
      <c r="L76" s="28">
        <v>235188</v>
      </c>
      <c r="M76" s="28">
        <v>0</v>
      </c>
      <c r="N76" s="173"/>
      <c r="O76" s="28">
        <v>2012</v>
      </c>
      <c r="P76" s="179" t="s">
        <v>393</v>
      </c>
      <c r="Q76" s="28">
        <v>144</v>
      </c>
      <c r="R76" s="28">
        <v>699</v>
      </c>
      <c r="S76" s="28">
        <v>1</v>
      </c>
      <c r="T76" s="28">
        <v>61</v>
      </c>
      <c r="U76" s="28">
        <v>979</v>
      </c>
      <c r="V76" s="28">
        <v>135</v>
      </c>
      <c r="W76" s="28">
        <v>11</v>
      </c>
      <c r="X76" s="28">
        <v>522</v>
      </c>
      <c r="Y76" s="28">
        <v>863</v>
      </c>
      <c r="Z76" s="28">
        <v>191</v>
      </c>
      <c r="AA76" s="28">
        <v>4</v>
      </c>
      <c r="AB76" s="28">
        <v>345</v>
      </c>
      <c r="AC76" s="28">
        <v>1</v>
      </c>
      <c r="AD76" s="28">
        <v>5</v>
      </c>
      <c r="AE76" s="28">
        <v>0</v>
      </c>
      <c r="AF76" s="28">
        <v>989</v>
      </c>
      <c r="AG76" s="28">
        <v>210</v>
      </c>
      <c r="AH76" s="28">
        <v>215</v>
      </c>
      <c r="AI76" s="28">
        <v>7</v>
      </c>
      <c r="AJ76" s="28">
        <v>956</v>
      </c>
      <c r="AK76" s="28">
        <v>220</v>
      </c>
      <c r="AL76" s="28">
        <v>619</v>
      </c>
      <c r="AM76" s="28">
        <v>17</v>
      </c>
      <c r="AN76" s="28">
        <v>4</v>
      </c>
      <c r="AO76" s="28">
        <v>271</v>
      </c>
      <c r="AP76" s="28">
        <v>534</v>
      </c>
      <c r="AQ76" s="28">
        <v>31</v>
      </c>
      <c r="AR76" s="28">
        <v>241</v>
      </c>
      <c r="AS76" s="179" t="s">
        <v>105</v>
      </c>
      <c r="AT76" s="179" t="s">
        <v>105</v>
      </c>
      <c r="AU76" s="179" t="s">
        <v>386</v>
      </c>
      <c r="AV76" s="28">
        <v>63</v>
      </c>
      <c r="AW76" s="28">
        <v>425</v>
      </c>
      <c r="AX76" s="173"/>
      <c r="AY76" s="173"/>
      <c r="AZ76" s="173"/>
      <c r="BA76" s="173"/>
      <c r="BB76" s="173"/>
      <c r="BC76" s="173"/>
      <c r="BD76" s="173"/>
      <c r="BE76" s="173"/>
    </row>
    <row r="77" spans="1:57">
      <c r="A77" s="173"/>
      <c r="B77" s="173"/>
      <c r="C77" s="173"/>
      <c r="D77" s="173"/>
      <c r="E77" s="173"/>
      <c r="F77" s="173"/>
      <c r="G77" s="173"/>
      <c r="H77" s="173"/>
      <c r="I77" s="173"/>
      <c r="J77" s="173"/>
      <c r="K77" s="173"/>
      <c r="L77" s="173"/>
      <c r="M77" s="173"/>
      <c r="N77" s="173"/>
      <c r="O77" s="28">
        <v>2012</v>
      </c>
      <c r="P77" s="179" t="s">
        <v>394</v>
      </c>
      <c r="Q77" s="28">
        <v>222</v>
      </c>
      <c r="R77" s="28">
        <v>677</v>
      </c>
      <c r="S77" s="28">
        <v>4</v>
      </c>
      <c r="T77" s="28">
        <v>268</v>
      </c>
      <c r="U77" s="28">
        <v>590</v>
      </c>
      <c r="V77" s="28">
        <v>198</v>
      </c>
      <c r="W77" s="28">
        <v>591</v>
      </c>
      <c r="X77" s="28">
        <v>1</v>
      </c>
      <c r="Y77" s="28">
        <v>218</v>
      </c>
      <c r="Z77" s="28">
        <v>326</v>
      </c>
      <c r="AA77" s="28">
        <v>2</v>
      </c>
      <c r="AB77" s="28">
        <v>316</v>
      </c>
      <c r="AC77" s="28">
        <v>52</v>
      </c>
      <c r="AD77" s="28">
        <v>590</v>
      </c>
      <c r="AE77" s="179" t="s">
        <v>105</v>
      </c>
      <c r="AF77" s="179" t="s">
        <v>105</v>
      </c>
      <c r="AG77" s="28">
        <v>2</v>
      </c>
      <c r="AH77" s="28">
        <v>66</v>
      </c>
      <c r="AI77" s="28">
        <v>549</v>
      </c>
      <c r="AJ77" s="28">
        <v>643</v>
      </c>
      <c r="AK77" s="28">
        <v>17</v>
      </c>
      <c r="AL77" s="28">
        <v>780</v>
      </c>
      <c r="AM77" s="28">
        <v>2</v>
      </c>
      <c r="AN77" s="28">
        <v>225</v>
      </c>
      <c r="AO77" s="28">
        <v>115</v>
      </c>
      <c r="AP77" s="179" t="s">
        <v>105</v>
      </c>
      <c r="AQ77" s="179" t="s">
        <v>105</v>
      </c>
      <c r="AR77" s="28">
        <v>1</v>
      </c>
      <c r="AS77" s="28">
        <v>952</v>
      </c>
      <c r="AT77" s="28">
        <v>76</v>
      </c>
      <c r="AU77" s="28">
        <v>144</v>
      </c>
      <c r="AV77" s="179" t="s">
        <v>105</v>
      </c>
      <c r="AW77" s="179" t="s">
        <v>105</v>
      </c>
      <c r="AX77" s="179" t="s">
        <v>386</v>
      </c>
      <c r="AY77" s="28">
        <v>146</v>
      </c>
      <c r="AZ77" s="28">
        <v>772</v>
      </c>
      <c r="BA77" s="173"/>
      <c r="BB77" s="173"/>
      <c r="BC77" s="173"/>
      <c r="BD77" s="173"/>
      <c r="BE77" s="173"/>
    </row>
    <row r="78" spans="1:57">
      <c r="A78" s="173"/>
      <c r="B78" s="173"/>
      <c r="C78" s="173"/>
      <c r="D78" s="173"/>
      <c r="E78" s="173"/>
      <c r="F78" s="173"/>
      <c r="G78" s="173"/>
      <c r="H78" s="173"/>
      <c r="I78" s="173"/>
      <c r="J78" s="173"/>
      <c r="K78" s="173"/>
      <c r="L78" s="173"/>
      <c r="M78" s="173"/>
      <c r="N78" s="173"/>
      <c r="O78" s="28">
        <v>2012</v>
      </c>
      <c r="P78" s="179" t="s">
        <v>395</v>
      </c>
      <c r="Q78" s="28">
        <v>983</v>
      </c>
      <c r="R78" s="28">
        <v>17</v>
      </c>
      <c r="S78" s="28">
        <v>15</v>
      </c>
      <c r="T78" s="28">
        <v>595</v>
      </c>
      <c r="U78" s="28">
        <v>621</v>
      </c>
      <c r="V78" s="28">
        <v>921</v>
      </c>
      <c r="W78" s="28">
        <v>319</v>
      </c>
      <c r="X78" s="28">
        <v>5</v>
      </c>
      <c r="Y78" s="28">
        <v>761</v>
      </c>
      <c r="Z78" s="28">
        <v>584</v>
      </c>
      <c r="AA78" s="28">
        <v>3</v>
      </c>
      <c r="AB78" s="28">
        <v>123</v>
      </c>
      <c r="AC78" s="28">
        <v>289</v>
      </c>
      <c r="AD78" s="28">
        <v>22</v>
      </c>
      <c r="AE78" s="179" t="s">
        <v>105</v>
      </c>
      <c r="AF78" s="179" t="s">
        <v>105</v>
      </c>
      <c r="AG78" s="28">
        <v>3</v>
      </c>
      <c r="AH78" s="28">
        <v>742</v>
      </c>
      <c r="AI78" s="28">
        <v>2</v>
      </c>
      <c r="AJ78" s="28">
        <v>696</v>
      </c>
      <c r="AK78" s="28">
        <v>940</v>
      </c>
      <c r="AL78" s="28">
        <v>54</v>
      </c>
      <c r="AM78" s="28">
        <v>361</v>
      </c>
      <c r="AN78" s="28">
        <v>6</v>
      </c>
      <c r="AO78" s="28">
        <v>312</v>
      </c>
      <c r="AP78" s="28">
        <v>930</v>
      </c>
      <c r="AQ78" s="28">
        <v>3</v>
      </c>
      <c r="AR78" s="28">
        <v>662</v>
      </c>
      <c r="AS78" s="28">
        <v>234</v>
      </c>
      <c r="AT78" s="28">
        <v>6</v>
      </c>
      <c r="AU78" s="28">
        <v>431</v>
      </c>
      <c r="AV78" s="28">
        <v>235</v>
      </c>
      <c r="AW78" s="28">
        <v>15</v>
      </c>
      <c r="AX78" s="28">
        <v>654</v>
      </c>
      <c r="AY78" s="179" t="s">
        <v>386</v>
      </c>
      <c r="AZ78" s="28">
        <v>512</v>
      </c>
      <c r="BA78" s="28">
        <v>398</v>
      </c>
      <c r="BB78" s="173"/>
      <c r="BC78" s="173"/>
      <c r="BD78" s="173"/>
      <c r="BE78" s="173"/>
    </row>
    <row r="79" spans="1:57">
      <c r="A79" s="173"/>
      <c r="B79" s="173"/>
      <c r="C79" s="173"/>
      <c r="D79" s="173"/>
      <c r="E79" s="173"/>
      <c r="F79" s="173"/>
      <c r="G79" s="173"/>
      <c r="H79" s="173"/>
      <c r="I79" s="173"/>
      <c r="J79" s="173"/>
      <c r="K79" s="173"/>
      <c r="L79" s="173"/>
      <c r="M79" s="173"/>
      <c r="N79" s="173"/>
      <c r="O79" s="173"/>
      <c r="P79" s="173"/>
      <c r="Q79" s="179" t="s">
        <v>396</v>
      </c>
      <c r="R79" s="179" t="s">
        <v>303</v>
      </c>
      <c r="S79" s="432" t="s">
        <v>397</v>
      </c>
      <c r="T79" s="433"/>
      <c r="U79" s="173"/>
      <c r="V79" s="173"/>
      <c r="W79" s="173"/>
      <c r="X79" s="173"/>
      <c r="Y79" s="173"/>
      <c r="Z79" s="173"/>
      <c r="AA79" s="173"/>
      <c r="AB79" s="173"/>
      <c r="AC79" s="173"/>
      <c r="AD79" s="173"/>
      <c r="AE79" s="173"/>
      <c r="AF79" s="173"/>
      <c r="AG79" s="173"/>
      <c r="AH79" s="173"/>
      <c r="AI79" s="173"/>
      <c r="AJ79" s="173"/>
      <c r="AK79" s="173"/>
      <c r="AL79" s="173"/>
      <c r="AM79" s="173"/>
      <c r="AN79" s="173"/>
      <c r="AO79" s="173"/>
      <c r="AP79" s="173"/>
      <c r="AQ79" s="173"/>
      <c r="AR79" s="173"/>
      <c r="AS79" s="173"/>
      <c r="AT79" s="173"/>
      <c r="AU79" s="173"/>
      <c r="AV79" s="173"/>
      <c r="AW79" s="173"/>
      <c r="AX79" s="173"/>
      <c r="AY79" s="173"/>
      <c r="AZ79" s="173"/>
      <c r="BA79" s="173"/>
      <c r="BB79" s="173"/>
      <c r="BC79" s="173"/>
      <c r="BD79" s="173"/>
      <c r="BE79" s="173"/>
    </row>
    <row r="80" spans="1:57">
      <c r="A80" s="173"/>
      <c r="B80" s="173"/>
      <c r="C80" s="173"/>
      <c r="D80" s="173"/>
      <c r="E80" s="173"/>
      <c r="F80" s="173"/>
      <c r="G80" s="173"/>
      <c r="H80" s="173"/>
      <c r="I80" s="173"/>
      <c r="J80" s="173"/>
      <c r="K80" s="173"/>
      <c r="L80" s="173"/>
      <c r="M80" s="173"/>
      <c r="N80" s="173"/>
      <c r="O80" s="28">
        <v>2012</v>
      </c>
      <c r="P80" s="179" t="s">
        <v>385</v>
      </c>
      <c r="Q80" s="28" t="s">
        <v>398</v>
      </c>
      <c r="R80" s="28" t="s">
        <v>399</v>
      </c>
      <c r="S80" s="186">
        <v>0.12</v>
      </c>
      <c r="T80" s="173"/>
      <c r="U80" s="173"/>
      <c r="V80" s="173"/>
      <c r="W80" s="173"/>
      <c r="X80" s="173"/>
      <c r="Y80" s="173"/>
      <c r="Z80" s="173"/>
      <c r="AA80" s="173"/>
      <c r="AB80" s="173"/>
      <c r="AC80" s="173"/>
      <c r="AD80" s="173"/>
      <c r="AE80" s="173"/>
      <c r="AF80" s="173"/>
      <c r="AG80" s="173"/>
      <c r="AH80" s="173"/>
      <c r="AI80" s="173"/>
      <c r="AJ80" s="173"/>
      <c r="AK80" s="173"/>
      <c r="AL80" s="173"/>
      <c r="AM80" s="173"/>
      <c r="AN80" s="173"/>
      <c r="AO80" s="173"/>
      <c r="AP80" s="173"/>
      <c r="AQ80" s="173"/>
      <c r="AR80" s="173"/>
      <c r="AS80" s="173"/>
      <c r="AT80" s="173"/>
      <c r="AU80" s="173"/>
      <c r="AV80" s="173"/>
      <c r="AW80" s="173"/>
      <c r="AX80" s="173"/>
      <c r="AY80" s="173"/>
      <c r="AZ80" s="173"/>
      <c r="BA80" s="173"/>
      <c r="BB80" s="173"/>
      <c r="BC80" s="173"/>
      <c r="BD80" s="173"/>
      <c r="BE80" s="173"/>
    </row>
    <row r="81" spans="1:57">
      <c r="A81" s="173"/>
      <c r="B81" s="173"/>
      <c r="C81" s="173"/>
      <c r="D81" s="173"/>
      <c r="E81" s="173"/>
      <c r="F81" s="173"/>
      <c r="G81" s="173"/>
      <c r="H81" s="173"/>
      <c r="I81" s="173"/>
      <c r="J81" s="173"/>
      <c r="K81" s="173"/>
      <c r="L81" s="173"/>
      <c r="M81" s="173"/>
      <c r="N81" s="173"/>
      <c r="O81" s="28">
        <v>2012</v>
      </c>
      <c r="P81" s="179" t="s">
        <v>387</v>
      </c>
      <c r="Q81" s="28" t="s">
        <v>400</v>
      </c>
      <c r="R81" s="28" t="s">
        <v>401</v>
      </c>
      <c r="S81" s="186">
        <v>0.14000000000000001</v>
      </c>
      <c r="T81" s="173"/>
      <c r="U81" s="173"/>
      <c r="V81" s="173"/>
      <c r="W81" s="173"/>
      <c r="X81" s="173"/>
      <c r="Y81" s="173"/>
      <c r="Z81" s="173"/>
      <c r="AA81" s="173"/>
      <c r="AB81" s="173"/>
      <c r="AC81" s="173"/>
      <c r="AD81" s="173"/>
      <c r="AE81" s="173"/>
      <c r="AF81" s="173"/>
      <c r="AG81" s="173"/>
      <c r="AH81" s="173"/>
      <c r="AI81" s="173"/>
      <c r="AJ81" s="173"/>
      <c r="AK81" s="173"/>
      <c r="AL81" s="173"/>
      <c r="AM81" s="173"/>
      <c r="AN81" s="173"/>
      <c r="AO81" s="173"/>
      <c r="AP81" s="173"/>
      <c r="AQ81" s="173"/>
      <c r="AR81" s="173"/>
      <c r="AS81" s="173"/>
      <c r="AT81" s="173"/>
      <c r="AU81" s="173"/>
      <c r="AV81" s="173"/>
      <c r="AW81" s="173"/>
      <c r="AX81" s="173"/>
      <c r="AY81" s="173"/>
      <c r="AZ81" s="173"/>
      <c r="BA81" s="173"/>
      <c r="BB81" s="173"/>
      <c r="BC81" s="173"/>
      <c r="BD81" s="173"/>
      <c r="BE81" s="173"/>
    </row>
    <row r="82" spans="1:57">
      <c r="A82" s="173"/>
      <c r="B82" s="173"/>
      <c r="C82" s="173"/>
      <c r="D82" s="173"/>
      <c r="E82" s="173"/>
      <c r="F82" s="173"/>
      <c r="G82" s="173"/>
      <c r="H82" s="173"/>
      <c r="I82" s="173"/>
      <c r="J82" s="173"/>
      <c r="K82" s="173"/>
      <c r="L82" s="173"/>
      <c r="M82" s="173"/>
      <c r="N82" s="173"/>
      <c r="O82" s="28">
        <v>2012</v>
      </c>
      <c r="P82" s="179" t="s">
        <v>388</v>
      </c>
      <c r="Q82" s="28" t="s">
        <v>402</v>
      </c>
      <c r="R82" s="28" t="s">
        <v>403</v>
      </c>
      <c r="S82" s="186">
        <v>0.14000000000000001</v>
      </c>
      <c r="T82" s="173"/>
      <c r="U82" s="173"/>
      <c r="V82" s="173"/>
      <c r="W82" s="173"/>
      <c r="X82" s="173"/>
      <c r="Y82" s="173"/>
      <c r="Z82" s="173"/>
      <c r="AA82" s="173"/>
      <c r="AB82" s="173"/>
      <c r="AC82" s="173"/>
      <c r="AD82" s="173"/>
      <c r="AE82" s="173"/>
      <c r="AF82" s="173"/>
      <c r="AG82" s="173"/>
      <c r="AH82" s="173"/>
      <c r="AI82" s="173"/>
      <c r="AJ82" s="173"/>
      <c r="AK82" s="173"/>
      <c r="AL82" s="173"/>
      <c r="AM82" s="173"/>
      <c r="AN82" s="173"/>
      <c r="AO82" s="173"/>
      <c r="AP82" s="173"/>
      <c r="AQ82" s="173"/>
      <c r="AR82" s="173"/>
      <c r="AS82" s="173"/>
      <c r="AT82" s="173"/>
      <c r="AU82" s="173"/>
      <c r="AV82" s="173"/>
      <c r="AW82" s="173"/>
      <c r="AX82" s="173"/>
      <c r="AY82" s="173"/>
      <c r="AZ82" s="173"/>
      <c r="BA82" s="173"/>
      <c r="BB82" s="173"/>
      <c r="BC82" s="173"/>
      <c r="BD82" s="173"/>
      <c r="BE82" s="173"/>
    </row>
    <row r="83" spans="1:57">
      <c r="A83" s="173"/>
      <c r="B83" s="173"/>
      <c r="C83" s="173"/>
      <c r="D83" s="173"/>
      <c r="E83" s="173"/>
      <c r="F83" s="173"/>
      <c r="G83" s="173"/>
      <c r="H83" s="173"/>
      <c r="I83" s="173"/>
      <c r="J83" s="173"/>
      <c r="K83" s="173"/>
      <c r="L83" s="173"/>
      <c r="M83" s="173"/>
      <c r="N83" s="173"/>
      <c r="O83" s="28">
        <v>2012</v>
      </c>
      <c r="P83" s="179" t="s">
        <v>390</v>
      </c>
      <c r="Q83" s="28" t="s">
        <v>404</v>
      </c>
      <c r="R83" s="28" t="s">
        <v>405</v>
      </c>
      <c r="S83" s="186">
        <v>0.09</v>
      </c>
      <c r="T83" s="173"/>
      <c r="U83" s="173"/>
      <c r="V83" s="173"/>
      <c r="W83" s="173"/>
      <c r="X83" s="173"/>
      <c r="Y83" s="173"/>
      <c r="Z83" s="173"/>
      <c r="AA83" s="173"/>
      <c r="AB83" s="173"/>
      <c r="AC83" s="173"/>
      <c r="AD83" s="173"/>
      <c r="AE83" s="173"/>
      <c r="AF83" s="173"/>
      <c r="AG83" s="173"/>
      <c r="AH83" s="173"/>
      <c r="AI83" s="173"/>
      <c r="AJ83" s="173"/>
      <c r="AK83" s="173"/>
      <c r="AL83" s="173"/>
      <c r="AM83" s="173"/>
      <c r="AN83" s="173"/>
      <c r="AO83" s="173"/>
      <c r="AP83" s="173"/>
      <c r="AQ83" s="173"/>
      <c r="AR83" s="173"/>
      <c r="AS83" s="173"/>
      <c r="AT83" s="173"/>
      <c r="AU83" s="173"/>
      <c r="AV83" s="173"/>
      <c r="AW83" s="173"/>
      <c r="AX83" s="173"/>
      <c r="AY83" s="173"/>
      <c r="AZ83" s="173"/>
      <c r="BA83" s="173"/>
      <c r="BB83" s="173"/>
      <c r="BC83" s="173"/>
      <c r="BD83" s="173"/>
      <c r="BE83" s="173"/>
    </row>
    <row r="84" spans="1:57">
      <c r="A84" s="173"/>
      <c r="B84" s="173"/>
      <c r="C84" s="173"/>
      <c r="D84" s="173"/>
      <c r="E84" s="173"/>
      <c r="F84" s="173"/>
      <c r="G84" s="173"/>
      <c r="H84" s="173"/>
      <c r="I84" s="173"/>
      <c r="J84" s="173"/>
      <c r="K84" s="173"/>
      <c r="L84" s="173"/>
      <c r="M84" s="173"/>
      <c r="N84" s="173"/>
      <c r="O84" s="28">
        <v>2012</v>
      </c>
      <c r="P84" s="179" t="s">
        <v>391</v>
      </c>
      <c r="Q84" s="28" t="s">
        <v>406</v>
      </c>
      <c r="R84" s="28" t="s">
        <v>407</v>
      </c>
      <c r="S84" s="186">
        <v>0.14000000000000001</v>
      </c>
      <c r="T84" s="173"/>
      <c r="U84" s="173"/>
      <c r="V84" s="173"/>
      <c r="W84" s="173"/>
      <c r="X84" s="173"/>
      <c r="Y84" s="173"/>
      <c r="Z84" s="173"/>
      <c r="AA84" s="173"/>
      <c r="AB84" s="173"/>
      <c r="AC84" s="173"/>
      <c r="AD84" s="173"/>
      <c r="AE84" s="173"/>
      <c r="AF84" s="173"/>
      <c r="AG84" s="173"/>
      <c r="AH84" s="173"/>
      <c r="AI84" s="173"/>
      <c r="AJ84" s="173"/>
      <c r="AK84" s="173"/>
      <c r="AL84" s="173"/>
      <c r="AM84" s="173"/>
      <c r="AN84" s="173"/>
      <c r="AO84" s="173"/>
      <c r="AP84" s="173"/>
      <c r="AQ84" s="173"/>
      <c r="AR84" s="173"/>
      <c r="AS84" s="173"/>
      <c r="AT84" s="173"/>
      <c r="AU84" s="173"/>
      <c r="AV84" s="173"/>
      <c r="AW84" s="173"/>
      <c r="AX84" s="173"/>
      <c r="AY84" s="173"/>
      <c r="AZ84" s="173"/>
      <c r="BA84" s="173"/>
      <c r="BB84" s="173"/>
      <c r="BC84" s="173"/>
      <c r="BD84" s="173"/>
      <c r="BE84" s="173"/>
    </row>
    <row r="85" spans="1:57">
      <c r="A85" s="173"/>
      <c r="B85" s="173"/>
      <c r="C85" s="173"/>
      <c r="D85" s="173"/>
      <c r="E85" s="173"/>
      <c r="F85" s="173"/>
      <c r="G85" s="173"/>
      <c r="H85" s="173"/>
      <c r="I85" s="173"/>
      <c r="J85" s="173"/>
      <c r="K85" s="173"/>
      <c r="L85" s="173"/>
      <c r="M85" s="173"/>
      <c r="N85" s="173"/>
      <c r="O85" s="28">
        <v>2012</v>
      </c>
      <c r="P85" s="179" t="s">
        <v>392</v>
      </c>
      <c r="Q85" s="28" t="s">
        <v>408</v>
      </c>
      <c r="R85" s="28" t="s">
        <v>409</v>
      </c>
      <c r="S85" s="186">
        <v>0.25</v>
      </c>
      <c r="T85" s="173"/>
      <c r="U85" s="173"/>
      <c r="V85" s="173"/>
      <c r="W85" s="173"/>
      <c r="X85" s="173"/>
      <c r="Y85" s="173"/>
      <c r="Z85" s="173"/>
      <c r="AA85" s="173"/>
      <c r="AB85" s="173"/>
      <c r="AC85" s="173"/>
      <c r="AD85" s="173"/>
      <c r="AE85" s="173"/>
      <c r="AF85" s="173"/>
      <c r="AG85" s="173"/>
      <c r="AH85" s="173"/>
      <c r="AI85" s="173"/>
      <c r="AJ85" s="173"/>
      <c r="AK85" s="173"/>
      <c r="AL85" s="173"/>
      <c r="AM85" s="173"/>
      <c r="AN85" s="173"/>
      <c r="AO85" s="173"/>
      <c r="AP85" s="173"/>
      <c r="AQ85" s="173"/>
      <c r="AR85" s="173"/>
      <c r="AS85" s="173"/>
      <c r="AT85" s="173"/>
      <c r="AU85" s="173"/>
      <c r="AV85" s="173"/>
      <c r="AW85" s="173"/>
      <c r="AX85" s="173"/>
      <c r="AY85" s="173"/>
      <c r="AZ85" s="173"/>
      <c r="BA85" s="173"/>
      <c r="BB85" s="173"/>
      <c r="BC85" s="173"/>
      <c r="BD85" s="173"/>
      <c r="BE85" s="173"/>
    </row>
    <row r="86" spans="1:57">
      <c r="A86" s="173"/>
      <c r="B86" s="173"/>
      <c r="C86" s="173"/>
      <c r="D86" s="173"/>
      <c r="E86" s="173"/>
      <c r="F86" s="173"/>
      <c r="G86" s="173"/>
      <c r="H86" s="173"/>
      <c r="I86" s="173"/>
      <c r="J86" s="173"/>
      <c r="K86" s="173"/>
      <c r="L86" s="173"/>
      <c r="M86" s="173"/>
      <c r="N86" s="173"/>
      <c r="O86" s="28">
        <v>2012</v>
      </c>
      <c r="P86" s="179" t="s">
        <v>393</v>
      </c>
      <c r="Q86" s="28" t="s">
        <v>410</v>
      </c>
      <c r="R86" s="28" t="s">
        <v>411</v>
      </c>
      <c r="S86" s="186">
        <v>0.19</v>
      </c>
      <c r="T86" s="173"/>
      <c r="U86" s="173"/>
      <c r="V86" s="173"/>
      <c r="W86" s="173"/>
      <c r="X86" s="173"/>
      <c r="Y86" s="173"/>
      <c r="Z86" s="173"/>
      <c r="AA86" s="173"/>
      <c r="AB86" s="173"/>
      <c r="AC86" s="173"/>
      <c r="AD86" s="173"/>
      <c r="AE86" s="173"/>
      <c r="AF86" s="173"/>
      <c r="AG86" s="173"/>
      <c r="AH86" s="173"/>
      <c r="AI86" s="173"/>
      <c r="AJ86" s="173"/>
      <c r="AK86" s="173"/>
      <c r="AL86" s="173"/>
      <c r="AM86" s="173"/>
      <c r="AN86" s="173"/>
      <c r="AO86" s="173"/>
      <c r="AP86" s="173"/>
      <c r="AQ86" s="173"/>
      <c r="AR86" s="173"/>
      <c r="AS86" s="173"/>
      <c r="AT86" s="173"/>
      <c r="AU86" s="173"/>
      <c r="AV86" s="173"/>
      <c r="AW86" s="173"/>
      <c r="AX86" s="173"/>
      <c r="AY86" s="173"/>
      <c r="AZ86" s="173"/>
      <c r="BA86" s="173"/>
      <c r="BB86" s="173"/>
      <c r="BC86" s="173"/>
      <c r="BD86" s="173"/>
      <c r="BE86" s="173"/>
    </row>
    <row r="87" spans="1:57">
      <c r="A87" s="173"/>
      <c r="B87" s="173"/>
      <c r="C87" s="173"/>
      <c r="D87" s="173"/>
      <c r="E87" s="173"/>
      <c r="F87" s="173"/>
      <c r="G87" s="173"/>
      <c r="H87" s="173"/>
      <c r="I87" s="173"/>
      <c r="J87" s="173"/>
      <c r="K87" s="173"/>
      <c r="L87" s="173"/>
      <c r="M87" s="173"/>
      <c r="N87" s="173"/>
      <c r="O87" s="28">
        <v>2012</v>
      </c>
      <c r="P87" s="179" t="s">
        <v>394</v>
      </c>
      <c r="Q87" s="28" t="s">
        <v>412</v>
      </c>
      <c r="R87" s="28" t="s">
        <v>413</v>
      </c>
      <c r="S87" s="186">
        <v>0.14000000000000001</v>
      </c>
      <c r="T87" s="173"/>
      <c r="U87" s="173"/>
      <c r="V87" s="173"/>
      <c r="W87" s="173"/>
      <c r="X87" s="173"/>
      <c r="Y87" s="173"/>
      <c r="Z87" s="173"/>
      <c r="AA87" s="173"/>
      <c r="AB87" s="173"/>
      <c r="AC87" s="173"/>
      <c r="AD87" s="173"/>
      <c r="AE87" s="173"/>
      <c r="AF87" s="173"/>
      <c r="AG87" s="173"/>
      <c r="AH87" s="173"/>
      <c r="AI87" s="173"/>
      <c r="AJ87" s="173"/>
      <c r="AK87" s="173"/>
      <c r="AL87" s="173"/>
      <c r="AM87" s="173"/>
      <c r="AN87" s="173"/>
      <c r="AO87" s="173"/>
      <c r="AP87" s="173"/>
      <c r="AQ87" s="173"/>
      <c r="AR87" s="173"/>
      <c r="AS87" s="173"/>
      <c r="AT87" s="173"/>
      <c r="AU87" s="173"/>
      <c r="AV87" s="173"/>
      <c r="AW87" s="173"/>
      <c r="AX87" s="173"/>
      <c r="AY87" s="173"/>
      <c r="AZ87" s="173"/>
      <c r="BA87" s="173"/>
      <c r="BB87" s="173"/>
      <c r="BC87" s="173"/>
      <c r="BD87" s="173"/>
      <c r="BE87" s="173"/>
    </row>
    <row r="88" spans="1:57">
      <c r="A88" s="173"/>
      <c r="B88" s="173"/>
      <c r="C88" s="173"/>
      <c r="D88" s="173"/>
      <c r="E88" s="173"/>
      <c r="F88" s="173"/>
      <c r="G88" s="173"/>
      <c r="H88" s="173"/>
      <c r="I88" s="173"/>
      <c r="J88" s="173"/>
      <c r="K88" s="173"/>
      <c r="L88" s="173"/>
      <c r="M88" s="173"/>
      <c r="N88" s="173"/>
      <c r="O88" s="28">
        <v>2012</v>
      </c>
      <c r="P88" s="179" t="s">
        <v>395</v>
      </c>
      <c r="Q88" s="28" t="s">
        <v>414</v>
      </c>
      <c r="R88" s="28" t="s">
        <v>415</v>
      </c>
      <c r="S88" s="186">
        <v>0.1</v>
      </c>
      <c r="T88" s="173"/>
      <c r="U88" s="173"/>
      <c r="V88" s="173"/>
      <c r="W88" s="173"/>
      <c r="X88" s="173"/>
      <c r="Y88" s="173"/>
      <c r="Z88" s="173"/>
      <c r="AA88" s="173"/>
      <c r="AB88" s="173"/>
      <c r="AC88" s="173"/>
      <c r="AD88" s="173"/>
      <c r="AE88" s="173"/>
      <c r="AF88" s="173"/>
      <c r="AG88" s="173"/>
      <c r="AH88" s="173"/>
      <c r="AI88" s="173"/>
      <c r="AJ88" s="173"/>
      <c r="AK88" s="173"/>
      <c r="AL88" s="173"/>
      <c r="AM88" s="173"/>
      <c r="AN88" s="173"/>
      <c r="AO88" s="173"/>
      <c r="AP88" s="173"/>
      <c r="AQ88" s="173"/>
      <c r="AR88" s="173"/>
      <c r="AS88" s="173"/>
      <c r="AT88" s="173"/>
      <c r="AU88" s="173"/>
      <c r="AV88" s="173"/>
      <c r="AW88" s="173"/>
      <c r="AX88" s="173"/>
      <c r="AY88" s="173"/>
      <c r="AZ88" s="173"/>
      <c r="BA88" s="173"/>
      <c r="BB88" s="173"/>
      <c r="BC88" s="173"/>
      <c r="BD88" s="173"/>
      <c r="BE88" s="173"/>
    </row>
    <row r="89" spans="1:57">
      <c r="A89" s="173"/>
      <c r="B89" s="173"/>
      <c r="C89" s="173"/>
      <c r="D89" s="173"/>
      <c r="E89" s="173"/>
      <c r="F89" s="173"/>
      <c r="G89" s="173"/>
      <c r="H89" s="173"/>
      <c r="I89" s="173"/>
      <c r="J89" s="173"/>
      <c r="K89" s="173"/>
      <c r="L89" s="173"/>
      <c r="M89" s="173"/>
      <c r="N89" s="173"/>
      <c r="O89" s="28">
        <v>2012</v>
      </c>
      <c r="P89" s="179" t="s">
        <v>416</v>
      </c>
      <c r="Q89" s="173"/>
      <c r="R89" s="28" t="s">
        <v>417</v>
      </c>
      <c r="S89" s="186">
        <v>0.03</v>
      </c>
      <c r="T89" s="173"/>
      <c r="U89" s="173"/>
      <c r="V89" s="173"/>
      <c r="W89" s="173"/>
      <c r="X89" s="173"/>
      <c r="Y89" s="173"/>
      <c r="Z89" s="173"/>
      <c r="AA89" s="173"/>
      <c r="AB89" s="173"/>
      <c r="AC89" s="173"/>
      <c r="AD89" s="173"/>
      <c r="AE89" s="173"/>
      <c r="AF89" s="173"/>
      <c r="AG89" s="173"/>
      <c r="AH89" s="173"/>
      <c r="AI89" s="173"/>
      <c r="AJ89" s="173"/>
      <c r="AK89" s="173"/>
      <c r="AL89" s="173"/>
      <c r="AM89" s="173"/>
      <c r="AN89" s="173"/>
      <c r="AO89" s="173"/>
      <c r="AP89" s="173"/>
      <c r="AQ89" s="173"/>
      <c r="AR89" s="173"/>
      <c r="AS89" s="173"/>
      <c r="AT89" s="173"/>
      <c r="AU89" s="173"/>
      <c r="AV89" s="173"/>
      <c r="AW89" s="173"/>
      <c r="AX89" s="173"/>
      <c r="AY89" s="173"/>
      <c r="AZ89" s="173"/>
      <c r="BA89" s="173"/>
      <c r="BB89" s="173"/>
      <c r="BC89" s="173"/>
      <c r="BD89" s="173"/>
      <c r="BE89" s="173"/>
    </row>
    <row r="90" spans="1:57">
      <c r="A90" s="173"/>
      <c r="B90" s="173"/>
      <c r="C90" s="173"/>
      <c r="D90" s="173"/>
      <c r="E90" s="173"/>
      <c r="F90" s="173"/>
      <c r="G90" s="173"/>
      <c r="H90" s="173"/>
      <c r="I90" s="173"/>
      <c r="J90" s="173"/>
      <c r="K90" s="173"/>
      <c r="L90" s="173"/>
      <c r="M90" s="173"/>
      <c r="N90" s="173"/>
      <c r="O90" s="173"/>
      <c r="P90" s="173"/>
      <c r="Q90" s="173"/>
      <c r="R90" s="28" t="s">
        <v>418</v>
      </c>
      <c r="S90" s="188">
        <v>0.114</v>
      </c>
      <c r="T90" s="173"/>
      <c r="U90" s="173"/>
      <c r="V90" s="173"/>
      <c r="W90" s="173"/>
      <c r="X90" s="173"/>
      <c r="Y90" s="173"/>
      <c r="Z90" s="173"/>
      <c r="AA90" s="173"/>
      <c r="AB90" s="173"/>
      <c r="AC90" s="173"/>
      <c r="AD90" s="173"/>
      <c r="AE90" s="173"/>
      <c r="AF90" s="173"/>
      <c r="AG90" s="173"/>
      <c r="AH90" s="173"/>
      <c r="AI90" s="173"/>
      <c r="AJ90" s="173"/>
      <c r="AK90" s="173"/>
      <c r="AL90" s="173"/>
      <c r="AM90" s="173"/>
      <c r="AN90" s="173"/>
      <c r="AO90" s="173"/>
      <c r="AP90" s="173"/>
      <c r="AQ90" s="173"/>
      <c r="AR90" s="173"/>
      <c r="AS90" s="173"/>
      <c r="AT90" s="173"/>
      <c r="AU90" s="173"/>
      <c r="AV90" s="173"/>
      <c r="AW90" s="173"/>
      <c r="AX90" s="173"/>
      <c r="AY90" s="173"/>
      <c r="AZ90" s="173"/>
      <c r="BA90" s="173"/>
      <c r="BB90" s="173"/>
      <c r="BC90" s="173"/>
      <c r="BD90" s="173"/>
      <c r="BE90" s="173"/>
    </row>
    <row r="91" spans="1:57">
      <c r="A91" s="173"/>
      <c r="B91" s="173"/>
      <c r="C91" s="173"/>
      <c r="D91" s="173"/>
      <c r="E91" s="173"/>
      <c r="F91" s="173"/>
      <c r="G91" s="173"/>
      <c r="H91" s="173"/>
      <c r="I91" s="173"/>
      <c r="J91" s="173"/>
      <c r="K91" s="173"/>
      <c r="L91" s="173"/>
      <c r="M91" s="173"/>
      <c r="N91" s="173"/>
      <c r="O91" s="173"/>
      <c r="P91" s="173"/>
      <c r="Q91" s="173"/>
      <c r="R91" s="432" t="s">
        <v>419</v>
      </c>
      <c r="S91" s="433"/>
      <c r="T91" s="433"/>
      <c r="U91" s="433"/>
      <c r="V91" s="433"/>
      <c r="W91" s="433"/>
      <c r="X91" s="433"/>
      <c r="Y91" s="433"/>
      <c r="Z91" s="173"/>
      <c r="AA91" s="173"/>
      <c r="AB91" s="173"/>
      <c r="AC91" s="173"/>
      <c r="AD91" s="173"/>
      <c r="AE91" s="173"/>
      <c r="AF91" s="173"/>
      <c r="AG91" s="173"/>
      <c r="AH91" s="173"/>
      <c r="AI91" s="173"/>
      <c r="AJ91" s="173"/>
      <c r="AK91" s="173"/>
      <c r="AL91" s="173"/>
      <c r="AM91" s="173"/>
      <c r="AN91" s="173"/>
      <c r="AO91" s="173"/>
      <c r="AP91" s="173"/>
      <c r="AQ91" s="173"/>
      <c r="AR91" s="173"/>
      <c r="AS91" s="173"/>
      <c r="AT91" s="173"/>
      <c r="AU91" s="173"/>
      <c r="AV91" s="173"/>
      <c r="AW91" s="173"/>
      <c r="AX91" s="173"/>
      <c r="AY91" s="173"/>
      <c r="AZ91" s="173"/>
      <c r="BA91" s="173"/>
      <c r="BB91" s="173"/>
      <c r="BC91" s="173"/>
      <c r="BD91" s="173"/>
      <c r="BE91" s="173"/>
    </row>
  </sheetData>
  <mergeCells count="24">
    <mergeCell ref="A61:C61"/>
    <mergeCell ref="A67:C67"/>
    <mergeCell ref="G68:H68"/>
    <mergeCell ref="L25:L38"/>
    <mergeCell ref="M38:N38"/>
    <mergeCell ref="A44:B44"/>
    <mergeCell ref="A48:L48"/>
    <mergeCell ref="G49:H49"/>
    <mergeCell ref="H50:I50"/>
    <mergeCell ref="G62:H62"/>
    <mergeCell ref="S79:T79"/>
    <mergeCell ref="R91:Y91"/>
    <mergeCell ref="O1:P1"/>
    <mergeCell ref="L2:L10"/>
    <mergeCell ref="L11:L24"/>
    <mergeCell ref="U12:X12"/>
    <mergeCell ref="V13:X13"/>
    <mergeCell ref="N26:P26"/>
    <mergeCell ref="P29:Q29"/>
    <mergeCell ref="V25:Y25"/>
    <mergeCell ref="V26:AG39"/>
    <mergeCell ref="P27:Q27"/>
    <mergeCell ref="P28:Q28"/>
    <mergeCell ref="O40:Q4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B1000"/>
  <sheetViews>
    <sheetView tabSelected="1" workbookViewId="0"/>
  </sheetViews>
  <sheetFormatPr defaultColWidth="11.21875" defaultRowHeight="15" customHeight="1"/>
  <cols>
    <col min="1" max="11" width="10.5546875" customWidth="1"/>
    <col min="12" max="12" width="20.88671875" customWidth="1"/>
    <col min="13" max="16" width="10.5546875" customWidth="1"/>
    <col min="17" max="17" width="2.88671875" customWidth="1"/>
    <col min="18" max="18" width="21" customWidth="1"/>
    <col min="19" max="19" width="17.77734375" customWidth="1"/>
    <col min="20" max="20" width="14" customWidth="1"/>
    <col min="21" max="28" width="10.5546875" customWidth="1"/>
  </cols>
  <sheetData>
    <row r="1" spans="1:28" ht="15.75" customHeight="1">
      <c r="A1" s="199" t="s">
        <v>25</v>
      </c>
    </row>
    <row r="2" spans="1:28" ht="15.75" customHeight="1">
      <c r="A2" s="1" t="s">
        <v>420</v>
      </c>
    </row>
    <row r="3" spans="1:28" ht="15.75" customHeight="1">
      <c r="A3" s="200" t="s">
        <v>421</v>
      </c>
      <c r="B3" s="200"/>
      <c r="C3" s="448" t="s">
        <v>422</v>
      </c>
      <c r="D3" s="449"/>
      <c r="E3" s="449"/>
      <c r="F3" s="449"/>
      <c r="G3" s="449"/>
      <c r="H3" s="449"/>
      <c r="I3" s="449"/>
      <c r="J3" s="450"/>
      <c r="K3" s="14" t="s">
        <v>423</v>
      </c>
      <c r="R3" s="15" t="s">
        <v>424</v>
      </c>
    </row>
    <row r="4" spans="1:28" ht="46.5" customHeight="1">
      <c r="A4" s="167"/>
      <c r="B4" s="201"/>
      <c r="C4" s="201" t="str">
        <f>'DMRE 2017EB'!AJ2</f>
        <v>Natural Gas</v>
      </c>
      <c r="D4" s="201" t="str">
        <f>'DMRE 2017EB'!AA2</f>
        <v>Gasworks Gas</v>
      </c>
      <c r="E4" s="201" t="str">
        <f>'DMRE 2017EB'!AB2</f>
        <v>Coke oven Gas</v>
      </c>
      <c r="F4" s="201" t="str">
        <f>'DMRE 2017EB'!AC2</f>
        <v>Blast Furnace Gas</v>
      </c>
      <c r="G4" s="201" t="str">
        <f>'DMRE 2017EB'!AD2</f>
        <v>Oxygen Furnace Gas</v>
      </c>
      <c r="H4" s="201" t="str">
        <f>'DMRE 2017EB'!AQ2</f>
        <v>Refinery Gas</v>
      </c>
      <c r="I4" s="201" t="str">
        <f>'DMRE 2017EB'!AR2</f>
        <v>Ethane</v>
      </c>
      <c r="J4" s="6" t="str">
        <f>'DMRE 2017EB'!E2</f>
        <v>Gas</v>
      </c>
      <c r="K4" s="202" t="s">
        <v>425</v>
      </c>
      <c r="M4" s="167"/>
      <c r="N4" s="167"/>
      <c r="O4" s="167"/>
      <c r="P4" s="167"/>
      <c r="Q4" s="167"/>
      <c r="T4" s="203" t="s">
        <v>426</v>
      </c>
      <c r="U4" s="14" t="s">
        <v>427</v>
      </c>
      <c r="V4" s="14" t="s">
        <v>320</v>
      </c>
      <c r="W4" s="203" t="s">
        <v>428</v>
      </c>
      <c r="X4" s="203" t="s">
        <v>429</v>
      </c>
      <c r="Y4" s="167"/>
      <c r="Z4" s="167"/>
      <c r="AA4" s="167"/>
      <c r="AB4" s="167"/>
    </row>
    <row r="5" spans="1:28" ht="33.75" customHeight="1">
      <c r="A5" s="10" t="str">
        <f>'DMRE 2017EB'!N4</f>
        <v>Indigenous Production</v>
      </c>
      <c r="B5" s="201"/>
      <c r="C5" s="204">
        <f t="array" ref="C5">SUMPRODUCT('DMRE 2017EB'!$Y$4:$AS$101*('DMRE 2017EB'!$N$4:$N$101=$A5)*('DMRE 2017EB'!$Y$2:$AS$2=C$4))</f>
        <v>25570.8125</v>
      </c>
      <c r="D5" s="204">
        <f t="array" ref="D5">SUMPRODUCT('DMRE 2017EB'!$Y$4:$AS$101*('DMRE 2017EB'!$N$4:$N$101=$A5)*('DMRE 2017EB'!$Y$2:$AS$2=D$4))</f>
        <v>0</v>
      </c>
      <c r="E5" s="204">
        <f t="array" ref="E5">SUMPRODUCT('DMRE 2017EB'!$Y$4:$AS$101*('DMRE 2017EB'!$N$4:$N$101=$A5)*('DMRE 2017EB'!$Y$2:$AS$2=E$4))</f>
        <v>0</v>
      </c>
      <c r="F5" s="204">
        <f t="array" ref="F5">SUMPRODUCT('DMRE 2017EB'!$Y$4:$AS$101*('DMRE 2017EB'!$N$4:$N$101=$A5)*('DMRE 2017EB'!$Y$2:$AS$2=F$4))</f>
        <v>0</v>
      </c>
      <c r="G5" s="204">
        <f t="array" ref="G5">SUMPRODUCT('DMRE 2017EB'!$Y$4:$AS$101*('DMRE 2017EB'!$N$4:$N$101=$A5)*('DMRE 2017EB'!$Y$2:$AS$2=G$4))</f>
        <v>0</v>
      </c>
      <c r="H5" s="204">
        <f t="array" ref="H5">SUMPRODUCT('DMRE 2017EB'!$Y$4:$AS$101*('DMRE 2017EB'!$N$4:$N$101=$A5)*('DMRE 2017EB'!$Y$2:$AS$2=H$4))</f>
        <v>0</v>
      </c>
      <c r="I5" s="204">
        <f t="array" ref="I5">SUMPRODUCT('DMRE 2017EB'!$Y$4:$AS$101*('DMRE 2017EB'!$N$4:$N$101=$A5)*('DMRE 2017EB'!$Y$2:$AS$2=I$4))</f>
        <v>0</v>
      </c>
      <c r="J5" s="204">
        <f>SUMIF('DMRE 2017EB'!$A$4:$A$80,gas!A5,'DMRE 2017EB'!$E$4:$E$80)</f>
        <v>25570.81</v>
      </c>
      <c r="K5" s="167"/>
      <c r="M5" s="167"/>
      <c r="N5" s="167"/>
      <c r="O5" s="167"/>
      <c r="P5" s="167"/>
      <c r="Q5" s="167"/>
      <c r="R5" s="15" t="s">
        <v>104</v>
      </c>
      <c r="S5" s="205"/>
      <c r="T5" s="206">
        <f t="shared" ref="T5:U5" si="0">T6+T7</f>
        <v>25.570812499999999</v>
      </c>
      <c r="U5" s="206">
        <f t="shared" si="0"/>
        <v>50.152312499999994</v>
      </c>
      <c r="W5" s="203"/>
      <c r="X5" s="203"/>
      <c r="Y5" s="203"/>
      <c r="Z5" s="203"/>
      <c r="AA5" s="203"/>
      <c r="AB5" s="203"/>
    </row>
    <row r="6" spans="1:28" ht="15.75" customHeight="1">
      <c r="A6" s="10" t="str">
        <f>'DMRE 2017EB'!N5</f>
        <v>Import</v>
      </c>
      <c r="C6" s="204">
        <f t="array" ref="C6">SUMPRODUCT('DMRE 2017EB'!$Y$4:$AS$101*('DMRE 2017EB'!$N$4:$N$101=$A6)*('DMRE 2017EB'!$Y$2:$AS$2=C$4))</f>
        <v>124124.4375</v>
      </c>
      <c r="D6" s="204">
        <f t="array" ref="D6">SUMPRODUCT('DMRE 2017EB'!$Y$4:$AS$101*('DMRE 2017EB'!$N$4:$N$101=$A6)*('DMRE 2017EB'!$Y$2:$AS$2=D$4))</f>
        <v>0</v>
      </c>
      <c r="E6" s="204">
        <f t="array" ref="E6">SUMPRODUCT('DMRE 2017EB'!$Y$4:$AS$101*('DMRE 2017EB'!$N$4:$N$101=$A6)*('DMRE 2017EB'!$Y$2:$AS$2=E$4))</f>
        <v>0</v>
      </c>
      <c r="F6" s="204">
        <f t="array" ref="F6">SUMPRODUCT('DMRE 2017EB'!$Y$4:$AS$101*('DMRE 2017EB'!$N$4:$N$101=$A6)*('DMRE 2017EB'!$Y$2:$AS$2=F$4))</f>
        <v>0</v>
      </c>
      <c r="G6" s="204">
        <f t="array" ref="G6">SUMPRODUCT('DMRE 2017EB'!$Y$4:$AS$101*('DMRE 2017EB'!$N$4:$N$101=$A6)*('DMRE 2017EB'!$Y$2:$AS$2=G$4))</f>
        <v>0</v>
      </c>
      <c r="H6" s="204">
        <f t="array" ref="H6">SUMPRODUCT('DMRE 2017EB'!$Y$4:$AS$101*('DMRE 2017EB'!$N$4:$N$101=$A6)*('DMRE 2017EB'!$Y$2:$AS$2=H$4))</f>
        <v>0</v>
      </c>
      <c r="I6" s="204">
        <f t="array" ref="I6">SUMPRODUCT('DMRE 2017EB'!$Y$4:$AS$101*('DMRE 2017EB'!$N$4:$N$101=$A6)*('DMRE 2017EB'!$Y$2:$AS$2=I$4))</f>
        <v>0</v>
      </c>
      <c r="J6" s="204">
        <f>SUMIF('DMRE 2017EB'!$A$4:$A$80,gas!A6,'DMRE 2017EB'!$E$4:$E$80)</f>
        <v>124124.44</v>
      </c>
      <c r="K6" s="1"/>
      <c r="S6" s="14" t="s">
        <v>430</v>
      </c>
      <c r="T6" s="207">
        <f>C5/1000</f>
        <v>25.570812499999999</v>
      </c>
      <c r="U6" s="207">
        <f>T6</f>
        <v>25.570812499999999</v>
      </c>
      <c r="V6" s="14" t="s">
        <v>25</v>
      </c>
    </row>
    <row r="7" spans="1:28" ht="15.75" customHeight="1">
      <c r="A7" s="10" t="str">
        <f>'DMRE 2017EB'!N6</f>
        <v>Export</v>
      </c>
      <c r="C7" s="204">
        <f t="array" ref="C7">SUMPRODUCT('DMRE 2017EB'!$Y$4:$AS$101*('DMRE 2017EB'!$N$4:$N$101=$A7)*('DMRE 2017EB'!$Y$2:$AS$2=C$4))</f>
        <v>-498.75</v>
      </c>
      <c r="D7" s="204">
        <f t="array" ref="D7">SUMPRODUCT('DMRE 2017EB'!$Y$4:$AS$101*('DMRE 2017EB'!$N$4:$N$101=$A7)*('DMRE 2017EB'!$Y$2:$AS$2=D$4))</f>
        <v>0</v>
      </c>
      <c r="E7" s="204">
        <f t="array" ref="E7">SUMPRODUCT('DMRE 2017EB'!$Y$4:$AS$101*('DMRE 2017EB'!$N$4:$N$101=$A7)*('DMRE 2017EB'!$Y$2:$AS$2=E$4))</f>
        <v>0</v>
      </c>
      <c r="F7" s="204">
        <f t="array" ref="F7">SUMPRODUCT('DMRE 2017EB'!$Y$4:$AS$101*('DMRE 2017EB'!$N$4:$N$101=$A7)*('DMRE 2017EB'!$Y$2:$AS$2=F$4))</f>
        <v>0</v>
      </c>
      <c r="G7" s="204">
        <f t="array" ref="G7">SUMPRODUCT('DMRE 2017EB'!$Y$4:$AS$101*('DMRE 2017EB'!$N$4:$N$101=$A7)*('DMRE 2017EB'!$Y$2:$AS$2=G$4))</f>
        <v>0</v>
      </c>
      <c r="H7" s="204">
        <f t="array" ref="H7">SUMPRODUCT('DMRE 2017EB'!$Y$4:$AS$101*('DMRE 2017EB'!$N$4:$N$101=$A7)*('DMRE 2017EB'!$Y$2:$AS$2=H$4))</f>
        <v>0</v>
      </c>
      <c r="I7" s="204">
        <f t="array" ref="I7">SUMPRODUCT('DMRE 2017EB'!$Y$4:$AS$101*('DMRE 2017EB'!$N$4:$N$101=$A7)*('DMRE 2017EB'!$Y$2:$AS$2=I$4))</f>
        <v>0</v>
      </c>
      <c r="J7" s="204">
        <f>SUMIF('DMRE 2017EB'!$A$4:$A$80,gas!A7,'DMRE 2017EB'!$E$4:$E$80)</f>
        <v>-498.75</v>
      </c>
      <c r="K7" s="1"/>
      <c r="S7" s="14" t="s">
        <v>431</v>
      </c>
      <c r="T7" s="14">
        <v>0</v>
      </c>
      <c r="U7" s="10">
        <f>N33</f>
        <v>24.581499999999998</v>
      </c>
      <c r="V7" s="14" t="s">
        <v>423</v>
      </c>
    </row>
    <row r="8" spans="1:28" ht="15.75" customHeight="1">
      <c r="A8" s="208" t="str">
        <f>'DMRE 2017EB'!N9</f>
        <v>Domestic Supply</v>
      </c>
      <c r="B8" s="208"/>
      <c r="C8" s="209">
        <f t="array" ref="C8">SUMPRODUCT('DMRE 2017EB'!$Y$4:$AS$101*('DMRE 2017EB'!$N$4:$N$101=$A8)*('DMRE 2017EB'!$Y$2:$AS$2=C$4))</f>
        <v>149196.5</v>
      </c>
      <c r="D8" s="209">
        <f t="array" ref="D8">SUMPRODUCT('DMRE 2017EB'!$Y$4:$AS$101*('DMRE 2017EB'!$N$4:$N$101=$A8)*('DMRE 2017EB'!$Y$2:$AS$2=D$4))</f>
        <v>0</v>
      </c>
      <c r="E8" s="209">
        <f t="array" ref="E8">SUMPRODUCT('DMRE 2017EB'!$Y$4:$AS$101*('DMRE 2017EB'!$N$4:$N$101=$A8)*('DMRE 2017EB'!$Y$2:$AS$2=E$4))</f>
        <v>0</v>
      </c>
      <c r="F8" s="209">
        <f t="array" ref="F8">SUMPRODUCT('DMRE 2017EB'!$Y$4:$AS$101*('DMRE 2017EB'!$N$4:$N$101=$A8)*('DMRE 2017EB'!$Y$2:$AS$2=F$4))</f>
        <v>0</v>
      </c>
      <c r="G8" s="209">
        <f t="array" ref="G8">SUMPRODUCT('DMRE 2017EB'!$Y$4:$AS$101*('DMRE 2017EB'!$N$4:$N$101=$A8)*('DMRE 2017EB'!$Y$2:$AS$2=G$4))</f>
        <v>0</v>
      </c>
      <c r="H8" s="209">
        <f t="array" ref="H8">SUMPRODUCT('DMRE 2017EB'!$Y$4:$AS$101*('DMRE 2017EB'!$N$4:$N$101=$A8)*('DMRE 2017EB'!$Y$2:$AS$2=H$4))</f>
        <v>0</v>
      </c>
      <c r="I8" s="209">
        <f t="array" ref="I8">SUMPRODUCT('DMRE 2017EB'!$Y$4:$AS$101*('DMRE 2017EB'!$N$4:$N$101=$A8)*('DMRE 2017EB'!$Y$2:$AS$2=I$4))</f>
        <v>0</v>
      </c>
      <c r="J8" s="209">
        <f>SUMIF('DMRE 2017EB'!$A$4:$A$80,gas!A8,'DMRE 2017EB'!$E$4:$E$80)</f>
        <v>0</v>
      </c>
      <c r="R8" s="14" t="s">
        <v>106</v>
      </c>
      <c r="T8" s="207">
        <f>C6/1000</f>
        <v>124.1244375</v>
      </c>
      <c r="U8" s="207">
        <f>N32</f>
        <v>151.28700000000001</v>
      </c>
      <c r="V8" s="14" t="s">
        <v>423</v>
      </c>
    </row>
    <row r="9" spans="1:28" ht="15.75" customHeight="1">
      <c r="A9" s="210" t="str">
        <f>'DMRE 2017EB'!N12</f>
        <v>Statistical Differences</v>
      </c>
      <c r="B9" s="210"/>
      <c r="C9" s="211">
        <f t="array" ref="C9">SUMPRODUCT('DMRE 2017EB'!$Y$4:$AS$101*('DMRE 2017EB'!$N$4:$N$101=$A9)*('DMRE 2017EB'!$Y$2:$AS$2=C$4))</f>
        <v>13379.132661819458</v>
      </c>
      <c r="D9" s="211">
        <f t="array" ref="D9">SUMPRODUCT('DMRE 2017EB'!$Y$4:$AS$101*('DMRE 2017EB'!$N$4:$N$101=$A9)*('DMRE 2017EB'!$Y$2:$AS$2=D$4))</f>
        <v>1174.3655652999878</v>
      </c>
      <c r="E9" s="211">
        <f t="array" ref="E9">SUMPRODUCT('DMRE 2017EB'!$Y$4:$AS$101*('DMRE 2017EB'!$N$4:$N$101=$A9)*('DMRE 2017EB'!$Y$2:$AS$2=E$4))</f>
        <v>0</v>
      </c>
      <c r="F9" s="211">
        <f t="array" ref="F9">SUMPRODUCT('DMRE 2017EB'!$Y$4:$AS$101*('DMRE 2017EB'!$N$4:$N$101=$A9)*('DMRE 2017EB'!$Y$2:$AS$2=F$4))</f>
        <v>0</v>
      </c>
      <c r="G9" s="211">
        <f t="array" ref="G9">SUMPRODUCT('DMRE 2017EB'!$Y$4:$AS$101*('DMRE 2017EB'!$N$4:$N$101=$A9)*('DMRE 2017EB'!$Y$2:$AS$2=G$4))</f>
        <v>0</v>
      </c>
      <c r="H9" s="211">
        <f t="array" ref="H9">SUMPRODUCT('DMRE 2017EB'!$Y$4:$AS$101*('DMRE 2017EB'!$N$4:$N$101=$A9)*('DMRE 2017EB'!$Y$2:$AS$2=H$4))</f>
        <v>-35803.75</v>
      </c>
      <c r="I9" s="211">
        <f t="array" ref="I9">SUMPRODUCT('DMRE 2017EB'!$Y$4:$AS$101*('DMRE 2017EB'!$N$4:$N$101=$A9)*('DMRE 2017EB'!$Y$2:$AS$2=I$4))</f>
        <v>0</v>
      </c>
      <c r="J9" s="211">
        <f>SUMIF('DMRE 2017EB'!$A$4:$A$80,gas!A9,'DMRE 2017EB'!$E$4:$E$80)</f>
        <v>73391.42</v>
      </c>
      <c r="K9" s="210"/>
      <c r="R9" s="15" t="s">
        <v>432</v>
      </c>
      <c r="S9" s="205"/>
      <c r="T9" s="206">
        <f t="shared" ref="T9:U9" si="1">T8+T5</f>
        <v>149.69524999999999</v>
      </c>
      <c r="U9" s="206">
        <f t="shared" si="1"/>
        <v>201.4393125</v>
      </c>
    </row>
    <row r="10" spans="1:28" ht="15.75" customHeight="1">
      <c r="A10" s="212" t="str">
        <f>'DMRE 2017EB'!N13</f>
        <v>Transformation Sector</v>
      </c>
      <c r="B10" s="212"/>
      <c r="C10" s="213">
        <f t="array" ref="C10">SUMPRODUCT('DMRE 2017EB'!$Y$4:$AS$101*('DMRE 2017EB'!$N$4:$N$101=$A10)*('DMRE 2017EB'!$Y$2:$AS$2=C$4))</f>
        <v>-88318.546875</v>
      </c>
      <c r="D10" s="213">
        <f t="array" ref="D10">SUMPRODUCT('DMRE 2017EB'!$Y$4:$AS$101*('DMRE 2017EB'!$N$4:$N$101=$A10)*('DMRE 2017EB'!$Y$2:$AS$2=D$4))</f>
        <v>21556.609375</v>
      </c>
      <c r="E10" s="213">
        <f t="array" ref="E10">SUMPRODUCT('DMRE 2017EB'!$Y$4:$AS$101*('DMRE 2017EB'!$N$4:$N$101=$A10)*('DMRE 2017EB'!$Y$2:$AS$2=E$4))</f>
        <v>23257.001953125</v>
      </c>
      <c r="F10" s="213">
        <f t="array" ref="F10">SUMPRODUCT('DMRE 2017EB'!$Y$4:$AS$101*('DMRE 2017EB'!$N$4:$N$101=$A10)*('DMRE 2017EB'!$Y$2:$AS$2=F$4))</f>
        <v>22961</v>
      </c>
      <c r="G10" s="213">
        <f t="array" ref="G10">SUMPRODUCT('DMRE 2017EB'!$Y$4:$AS$101*('DMRE 2017EB'!$N$4:$N$101=$A10)*('DMRE 2017EB'!$Y$2:$AS$2=G$4))</f>
        <v>0</v>
      </c>
      <c r="H10" s="213">
        <f t="array" ref="H10">SUMPRODUCT('DMRE 2017EB'!$Y$4:$AS$101*('DMRE 2017EB'!$N$4:$N$101=$A10)*('DMRE 2017EB'!$Y$2:$AS$2=H$4))</f>
        <v>35803.75</v>
      </c>
      <c r="I10" s="213">
        <f t="array" ref="I10">SUMPRODUCT('DMRE 2017EB'!$Y$4:$AS$101*('DMRE 2017EB'!$N$4:$N$101=$A10)*('DMRE 2017EB'!$Y$2:$AS$2=I$4))</f>
        <v>0</v>
      </c>
      <c r="J10" s="213">
        <f>SUMIF('DMRE 2017EB'!$A$4:$A$80,gas!A10,'DMRE 2017EB'!$E$4:$E$80)</f>
        <v>0</v>
      </c>
      <c r="K10" s="212"/>
      <c r="R10" s="214" t="s">
        <v>433</v>
      </c>
      <c r="S10" s="215"/>
      <c r="T10" s="216">
        <f t="shared" ref="T10:U10" si="2">T9+T11-T20</f>
        <v>-59.667711606025705</v>
      </c>
      <c r="U10" s="216">
        <f t="shared" si="2"/>
        <v>0</v>
      </c>
    </row>
    <row r="11" spans="1:28" ht="15.75" customHeight="1">
      <c r="A11" s="10" t="str">
        <f>'DMRE 2017EB'!N22</f>
        <v>Coke Ovens</v>
      </c>
      <c r="C11" s="204">
        <f t="array" ref="C11">SUMPRODUCT('DMRE 2017EB'!$Y$4:$AS$101*('DMRE 2017EB'!$N$4:$N$101=$A11)*('DMRE 2017EB'!$Y$2:$AS$2=C$4))</f>
        <v>0</v>
      </c>
      <c r="D11" s="204">
        <f t="array" ref="D11">SUMPRODUCT('DMRE 2017EB'!$Y$4:$AS$101*('DMRE 2017EB'!$N$4:$N$101=$A11)*('DMRE 2017EB'!$Y$2:$AS$2=D$4))</f>
        <v>0</v>
      </c>
      <c r="E11" s="204">
        <f t="array" ref="E11">SUMPRODUCT('DMRE 2017EB'!$Y$4:$AS$101*('DMRE 2017EB'!$N$4:$N$101=$A11)*('DMRE 2017EB'!$Y$2:$AS$2=E$4))</f>
        <v>23257.001953125</v>
      </c>
      <c r="F11" s="204">
        <f t="array" ref="F11">SUMPRODUCT('DMRE 2017EB'!$Y$4:$AS$101*('DMRE 2017EB'!$N$4:$N$101=$A11)*('DMRE 2017EB'!$Y$2:$AS$2=F$4))</f>
        <v>0</v>
      </c>
      <c r="G11" s="204">
        <f t="array" ref="G11">SUMPRODUCT('DMRE 2017EB'!$Y$4:$AS$101*('DMRE 2017EB'!$N$4:$N$101=$A11)*('DMRE 2017EB'!$Y$2:$AS$2=G$4))</f>
        <v>0</v>
      </c>
      <c r="H11" s="204">
        <f t="array" ref="H11">SUMPRODUCT('DMRE 2017EB'!$Y$4:$AS$101*('DMRE 2017EB'!$N$4:$N$101=$A11)*('DMRE 2017EB'!$Y$2:$AS$2=H$4))</f>
        <v>0</v>
      </c>
      <c r="I11" s="204">
        <f t="array" ref="I11">SUMPRODUCT('DMRE 2017EB'!$Y$4:$AS$101*('DMRE 2017EB'!$N$4:$N$101=$A11)*('DMRE 2017EB'!$Y$2:$AS$2=I$4))</f>
        <v>0</v>
      </c>
      <c r="J11" s="204">
        <f>SUMIF('DMRE 2017EB'!$A$4:$A$80,gas!A11,'DMRE 2017EB'!$E$4:$E$80)</f>
        <v>0</v>
      </c>
      <c r="K11" s="1"/>
      <c r="R11" s="15" t="s">
        <v>236</v>
      </c>
      <c r="S11" s="205"/>
      <c r="T11" s="217">
        <f>T12+T13+T17</f>
        <v>-99.754984374999992</v>
      </c>
      <c r="U11" s="206">
        <f>U12+U13+U17+U16</f>
        <v>-113.94491654499997</v>
      </c>
    </row>
    <row r="12" spans="1:28" ht="15.75" customHeight="1">
      <c r="A12" s="10" t="str">
        <f>'DMRE 2017EB'!N23</f>
        <v>Gas Works</v>
      </c>
      <c r="C12" s="204">
        <f t="array" ref="C12">SUMPRODUCT('DMRE 2017EB'!$Y$4:$AS$101*('DMRE 2017EB'!$N$4:$N$101=$A12)*('DMRE 2017EB'!$Y$2:$AS$2=C$4))</f>
        <v>0</v>
      </c>
      <c r="D12" s="204">
        <f t="array" ref="D12">SUMPRODUCT('DMRE 2017EB'!$Y$4:$AS$101*('DMRE 2017EB'!$N$4:$N$101=$A12)*('DMRE 2017EB'!$Y$2:$AS$2=D$4))</f>
        <v>21556.609375</v>
      </c>
      <c r="E12" s="204">
        <f t="array" ref="E12">SUMPRODUCT('DMRE 2017EB'!$Y$4:$AS$101*('DMRE 2017EB'!$N$4:$N$101=$A12)*('DMRE 2017EB'!$Y$2:$AS$2=E$4))</f>
        <v>0</v>
      </c>
      <c r="F12" s="204">
        <f t="array" ref="F12">SUMPRODUCT('DMRE 2017EB'!$Y$4:$AS$101*('DMRE 2017EB'!$N$4:$N$101=$A12)*('DMRE 2017EB'!$Y$2:$AS$2=F$4))</f>
        <v>0</v>
      </c>
      <c r="G12" s="204">
        <f t="array" ref="G12">SUMPRODUCT('DMRE 2017EB'!$Y$4:$AS$101*('DMRE 2017EB'!$N$4:$N$101=$A12)*('DMRE 2017EB'!$Y$2:$AS$2=G$4))</f>
        <v>0</v>
      </c>
      <c r="H12" s="204">
        <f t="array" ref="H12">SUMPRODUCT('DMRE 2017EB'!$Y$4:$AS$101*('DMRE 2017EB'!$N$4:$N$101=$A12)*('DMRE 2017EB'!$Y$2:$AS$2=H$4))</f>
        <v>0</v>
      </c>
      <c r="I12" s="204">
        <f t="array" ref="I12">SUMPRODUCT('DMRE 2017EB'!$Y$4:$AS$101*('DMRE 2017EB'!$N$4:$N$101=$A12)*('DMRE 2017EB'!$Y$2:$AS$2=I$4))</f>
        <v>0</v>
      </c>
      <c r="J12" s="204">
        <f>SUMIF('DMRE 2017EB'!$A$4:$A$80,gas!A12,'DMRE 2017EB'!$E$4:$E$80)</f>
        <v>21556.61</v>
      </c>
      <c r="K12" s="1"/>
      <c r="R12" s="14" t="s">
        <v>434</v>
      </c>
      <c r="U12" s="207">
        <f>-N43</f>
        <v>-28.640346999999998</v>
      </c>
      <c r="V12" s="14" t="s">
        <v>435</v>
      </c>
      <c r="W12" s="14" t="s">
        <v>436</v>
      </c>
      <c r="X12" s="14" t="s">
        <v>437</v>
      </c>
    </row>
    <row r="13" spans="1:28" ht="15.75" customHeight="1">
      <c r="A13" s="10" t="str">
        <f>'DMRE 2017EB'!N24</f>
        <v>Blast Furnaces</v>
      </c>
      <c r="C13" s="204">
        <f t="array" ref="C13">SUMPRODUCT('DMRE 2017EB'!$Y$4:$AS$101*('DMRE 2017EB'!$N$4:$N$101=$A13)*('DMRE 2017EB'!$Y$2:$AS$2=C$4))</f>
        <v>0</v>
      </c>
      <c r="D13" s="204">
        <f t="array" ref="D13">SUMPRODUCT('DMRE 2017EB'!$Y$4:$AS$101*('DMRE 2017EB'!$N$4:$N$101=$A13)*('DMRE 2017EB'!$Y$2:$AS$2=D$4))</f>
        <v>0</v>
      </c>
      <c r="E13" s="204">
        <f t="array" ref="E13">SUMPRODUCT('DMRE 2017EB'!$Y$4:$AS$101*('DMRE 2017EB'!$N$4:$N$101=$A13)*('DMRE 2017EB'!$Y$2:$AS$2=E$4))</f>
        <v>0</v>
      </c>
      <c r="F13" s="204">
        <f t="array" ref="F13">SUMPRODUCT('DMRE 2017EB'!$Y$4:$AS$101*('DMRE 2017EB'!$N$4:$N$101=$A13)*('DMRE 2017EB'!$Y$2:$AS$2=F$4))</f>
        <v>22961</v>
      </c>
      <c r="G13" s="204">
        <f t="array" ref="G13">SUMPRODUCT('DMRE 2017EB'!$Y$4:$AS$101*('DMRE 2017EB'!$N$4:$N$101=$A13)*('DMRE 2017EB'!$Y$2:$AS$2=G$4))</f>
        <v>0</v>
      </c>
      <c r="H13" s="204">
        <f t="array" ref="H13">SUMPRODUCT('DMRE 2017EB'!$Y$4:$AS$101*('DMRE 2017EB'!$N$4:$N$101=$A13)*('DMRE 2017EB'!$Y$2:$AS$2=H$4))</f>
        <v>0</v>
      </c>
      <c r="I13" s="204">
        <f t="array" ref="I13">SUMPRODUCT('DMRE 2017EB'!$Y$4:$AS$101*('DMRE 2017EB'!$N$4:$N$101=$A13)*('DMRE 2017EB'!$Y$2:$AS$2=I$4))</f>
        <v>0</v>
      </c>
      <c r="J13" s="204">
        <f>SUMIF('DMRE 2017EB'!$A$4:$A$80,gas!A13,'DMRE 2017EB'!$E$4:$E$80)</f>
        <v>0</v>
      </c>
      <c r="K13" s="1"/>
      <c r="R13" s="15" t="s">
        <v>124</v>
      </c>
      <c r="S13" s="205"/>
      <c r="T13" s="217">
        <f>C15/1000</f>
        <v>-88.318546874999996</v>
      </c>
      <c r="U13" s="206">
        <f>SUM(U14:U15)</f>
        <v>-48.871030190909067</v>
      </c>
    </row>
    <row r="14" spans="1:28" ht="15.75" customHeight="1">
      <c r="A14" s="10" t="str">
        <f>'DMRE 2017EB'!N27</f>
        <v>Oil Refineries</v>
      </c>
      <c r="C14" s="204">
        <f t="array" ref="C14">SUMPRODUCT('DMRE 2017EB'!$Y$4:$AS$101*('DMRE 2017EB'!$N$4:$N$101=$A14)*('DMRE 2017EB'!$Y$2:$AS$2=C$4))</f>
        <v>0</v>
      </c>
      <c r="D14" s="204">
        <f t="array" ref="D14">SUMPRODUCT('DMRE 2017EB'!$Y$4:$AS$101*('DMRE 2017EB'!$N$4:$N$101=$A14)*('DMRE 2017EB'!$Y$2:$AS$2=D$4))</f>
        <v>0</v>
      </c>
      <c r="E14" s="204">
        <f t="array" ref="E14">SUMPRODUCT('DMRE 2017EB'!$Y$4:$AS$101*('DMRE 2017EB'!$N$4:$N$101=$A14)*('DMRE 2017EB'!$Y$2:$AS$2=E$4))</f>
        <v>0</v>
      </c>
      <c r="F14" s="204">
        <f t="array" ref="F14">SUMPRODUCT('DMRE 2017EB'!$Y$4:$AS$101*('DMRE 2017EB'!$N$4:$N$101=$A14)*('DMRE 2017EB'!$Y$2:$AS$2=F$4))</f>
        <v>0</v>
      </c>
      <c r="G14" s="204">
        <f t="array" ref="G14">SUMPRODUCT('DMRE 2017EB'!$Y$4:$AS$101*('DMRE 2017EB'!$N$4:$N$101=$A14)*('DMRE 2017EB'!$Y$2:$AS$2=G$4))</f>
        <v>0</v>
      </c>
      <c r="H14" s="204">
        <f t="array" ref="H14">SUMPRODUCT('DMRE 2017EB'!$Y$4:$AS$101*('DMRE 2017EB'!$N$4:$N$101=$A14)*('DMRE 2017EB'!$Y$2:$AS$2=H$4))</f>
        <v>35803.75</v>
      </c>
      <c r="I14" s="204">
        <f t="array" ref="I14">SUMPRODUCT('DMRE 2017EB'!$Y$4:$AS$101*('DMRE 2017EB'!$N$4:$N$101=$A14)*('DMRE 2017EB'!$Y$2:$AS$2=I$4))</f>
        <v>0</v>
      </c>
      <c r="J14" s="204">
        <f>SUMIF('DMRE 2017EB'!$A$4:$A$80,gas!A14,'DMRE 2017EB'!$E$4:$E$80)</f>
        <v>0</v>
      </c>
      <c r="K14" s="1"/>
      <c r="S14" s="14" t="s">
        <v>438</v>
      </c>
      <c r="U14" s="207">
        <f>-U6</f>
        <v>-25.570812499999999</v>
      </c>
      <c r="V14" s="14" t="s">
        <v>25</v>
      </c>
    </row>
    <row r="15" spans="1:28" ht="15.75" customHeight="1">
      <c r="A15" s="10" t="str">
        <f>'DMRE 2017EB'!N28</f>
        <v>Liquefaction</v>
      </c>
      <c r="C15" s="204">
        <f t="array" ref="C15">SUMPRODUCT('DMRE 2017EB'!$Y$4:$AS$101*('DMRE 2017EB'!$N$4:$N$101=$A15)*('DMRE 2017EB'!$Y$2:$AS$2=C$4))</f>
        <v>-88318.546875</v>
      </c>
      <c r="D15" s="204">
        <f t="array" ref="D15">SUMPRODUCT('DMRE 2017EB'!$Y$4:$AS$101*('DMRE 2017EB'!$N$4:$N$101=$A15)*('DMRE 2017EB'!$Y$2:$AS$2=D$4))</f>
        <v>0</v>
      </c>
      <c r="E15" s="204">
        <f t="array" ref="E15">SUMPRODUCT('DMRE 2017EB'!$Y$4:$AS$101*('DMRE 2017EB'!$N$4:$N$101=$A15)*('DMRE 2017EB'!$Y$2:$AS$2=E$4))</f>
        <v>0</v>
      </c>
      <c r="F15" s="204">
        <f t="array" ref="F15">SUMPRODUCT('DMRE 2017EB'!$Y$4:$AS$101*('DMRE 2017EB'!$N$4:$N$101=$A15)*('DMRE 2017EB'!$Y$2:$AS$2=F$4))</f>
        <v>0</v>
      </c>
      <c r="G15" s="204">
        <f t="array" ref="G15">SUMPRODUCT('DMRE 2017EB'!$Y$4:$AS$101*('DMRE 2017EB'!$N$4:$N$101=$A15)*('DMRE 2017EB'!$Y$2:$AS$2=G$4))</f>
        <v>0</v>
      </c>
      <c r="H15" s="204">
        <f t="array" ref="H15">SUMPRODUCT('DMRE 2017EB'!$Y$4:$AS$101*('DMRE 2017EB'!$N$4:$N$101=$A15)*('DMRE 2017EB'!$Y$2:$AS$2=H$4))</f>
        <v>0</v>
      </c>
      <c r="I15" s="204">
        <f t="array" ref="I15">SUMPRODUCT('DMRE 2017EB'!$Y$4:$AS$101*('DMRE 2017EB'!$N$4:$N$101=$A15)*('DMRE 2017EB'!$Y$2:$AS$2=I$4))</f>
        <v>0</v>
      </c>
      <c r="J15" s="204">
        <f>SUMIF('DMRE 2017EB'!$A$4:$A$80,gas!A15,'DMRE 2017EB'!$E$4:$E$80)</f>
        <v>-88318.55</v>
      </c>
      <c r="K15" s="1"/>
      <c r="S15" s="14" t="s">
        <v>439</v>
      </c>
      <c r="U15" s="207">
        <f>-N47</f>
        <v>-23.300217690909065</v>
      </c>
      <c r="V15" s="14" t="s">
        <v>440</v>
      </c>
    </row>
    <row r="16" spans="1:28" ht="15.75" customHeight="1">
      <c r="A16" s="212" t="str">
        <f>'DMRE 2017EB'!N31</f>
        <v>Energy Sector</v>
      </c>
      <c r="B16" s="212"/>
      <c r="C16" s="213">
        <f t="array" ref="C16">SUMPRODUCT('DMRE 2017EB'!$Y$4:$AS$101*('DMRE 2017EB'!$N$4:$N$101=$A16)*('DMRE 2017EB'!$Y$2:$AS$2=C$4))</f>
        <v>11436.4375</v>
      </c>
      <c r="D16" s="213">
        <f t="array" ref="D16">SUMPRODUCT('DMRE 2017EB'!$Y$4:$AS$101*('DMRE 2017EB'!$N$4:$N$101=$A16)*('DMRE 2017EB'!$Y$2:$AS$2=D$4))</f>
        <v>1183.47900390625</v>
      </c>
      <c r="E16" s="213">
        <f t="array" ref="E16">SUMPRODUCT('DMRE 2017EB'!$Y$4:$AS$101*('DMRE 2017EB'!$N$4:$N$101=$A16)*('DMRE 2017EB'!$Y$2:$AS$2=E$4))</f>
        <v>0</v>
      </c>
      <c r="F16" s="213">
        <f t="array" ref="F16">SUMPRODUCT('DMRE 2017EB'!$Y$4:$AS$101*('DMRE 2017EB'!$N$4:$N$101=$A16)*('DMRE 2017EB'!$Y$2:$AS$2=F$4))</f>
        <v>0</v>
      </c>
      <c r="G16" s="213">
        <f t="array" ref="G16">SUMPRODUCT('DMRE 2017EB'!$Y$4:$AS$101*('DMRE 2017EB'!$N$4:$N$101=$A16)*('DMRE 2017EB'!$Y$2:$AS$2=G$4))</f>
        <v>0</v>
      </c>
      <c r="H16" s="213">
        <f t="array" ref="H16">SUMPRODUCT('DMRE 2017EB'!$Y$4:$AS$101*('DMRE 2017EB'!$N$4:$N$101=$A16)*('DMRE 2017EB'!$Y$2:$AS$2=H$4))</f>
        <v>0</v>
      </c>
      <c r="I16" s="213">
        <f t="array" ref="I16">SUMPRODUCT('DMRE 2017EB'!$Y$4:$AS$101*('DMRE 2017EB'!$N$4:$N$101=$A16)*('DMRE 2017EB'!$Y$2:$AS$2=I$4))</f>
        <v>0</v>
      </c>
      <c r="J16" s="213">
        <f>SUMIF('DMRE 2017EB'!$A$4:$A$80,gas!A16,'DMRE 2017EB'!$E$4:$E$80)</f>
        <v>0</v>
      </c>
      <c r="K16" s="212"/>
      <c r="R16" s="14" t="s">
        <v>441</v>
      </c>
      <c r="U16" s="218">
        <f>-33*1.055*D76/1000000</f>
        <v>-10.898592044999999</v>
      </c>
      <c r="V16" s="14" t="s">
        <v>442</v>
      </c>
      <c r="W16" s="14" t="s">
        <v>443</v>
      </c>
      <c r="X16" s="14" t="s">
        <v>444</v>
      </c>
    </row>
    <row r="17" spans="1:28" ht="15.75" customHeight="1">
      <c r="A17" s="10" t="str">
        <f>'DMRE 2017EB'!N39</f>
        <v>Ownuse in Elec., CHP and Heat plant</v>
      </c>
      <c r="C17" s="204">
        <f t="array" ref="C17">SUMPRODUCT('DMRE 2017EB'!$Y$4:$AS$101*('DMRE 2017EB'!$N$4:$N$101=$A17)*('DMRE 2017EB'!$Y$2:$AS$2=C$4))</f>
        <v>11436.4375</v>
      </c>
      <c r="D17" s="204">
        <f t="array" ref="D17">SUMPRODUCT('DMRE 2017EB'!$Y$4:$AS$101*('DMRE 2017EB'!$N$4:$N$101=$A17)*('DMRE 2017EB'!$Y$2:$AS$2=D$4))</f>
        <v>1183.47900390625</v>
      </c>
      <c r="E17" s="204">
        <f t="array" ref="E17">SUMPRODUCT('DMRE 2017EB'!$Y$4:$AS$101*('DMRE 2017EB'!$N$4:$N$101=$A17)*('DMRE 2017EB'!$Y$2:$AS$2=E$4))</f>
        <v>0</v>
      </c>
      <c r="F17" s="204">
        <f t="array" ref="F17">SUMPRODUCT('DMRE 2017EB'!$Y$4:$AS$101*('DMRE 2017EB'!$N$4:$N$101=$A17)*('DMRE 2017EB'!$Y$2:$AS$2=F$4))</f>
        <v>0</v>
      </c>
      <c r="G17" s="204">
        <f t="array" ref="G17">SUMPRODUCT('DMRE 2017EB'!$Y$4:$AS$101*('DMRE 2017EB'!$N$4:$N$101=$A17)*('DMRE 2017EB'!$Y$2:$AS$2=G$4))</f>
        <v>0</v>
      </c>
      <c r="H17" s="204">
        <f t="array" ref="H17">SUMPRODUCT('DMRE 2017EB'!$Y$4:$AS$101*('DMRE 2017EB'!$N$4:$N$101=$A17)*('DMRE 2017EB'!$Y$2:$AS$2=H$4))</f>
        <v>0</v>
      </c>
      <c r="I17" s="204">
        <f t="array" ref="I17">SUMPRODUCT('DMRE 2017EB'!$Y$4:$AS$101*('DMRE 2017EB'!$N$4:$N$101=$A17)*('DMRE 2017EB'!$Y$2:$AS$2=I$4))</f>
        <v>0</v>
      </c>
      <c r="J17" s="204">
        <f>SUMIF('DMRE 2017EB'!$A$4:$A$80,gas!A17,'DMRE 2017EB'!$E$4:$E$80)</f>
        <v>0</v>
      </c>
      <c r="K17" s="1"/>
      <c r="R17" s="15" t="s">
        <v>445</v>
      </c>
      <c r="S17" s="205"/>
      <c r="T17" s="217">
        <f>-C17/1000</f>
        <v>-11.4364375</v>
      </c>
      <c r="U17" s="206">
        <f>SUM(U18:U19)</f>
        <v>-25.53494730909091</v>
      </c>
    </row>
    <row r="18" spans="1:28" ht="15.75" customHeight="1">
      <c r="A18" s="208" t="str">
        <f>'DMRE 2017EB'!N46</f>
        <v>Final Consumption</v>
      </c>
      <c r="B18" s="208"/>
      <c r="C18" s="209">
        <f t="array" ref="C18">SUMPRODUCT('DMRE 2017EB'!$Y$4:$AS$101*('DMRE 2017EB'!$N$4:$N$101=$A18)*('DMRE 2017EB'!$Y$2:$AS$2=C$4))</f>
        <v>85693.523286819458</v>
      </c>
      <c r="D18" s="209">
        <f t="array" ref="D18">SUMPRODUCT('DMRE 2017EB'!$Y$4:$AS$101*('DMRE 2017EB'!$N$4:$N$101=$A18)*('DMRE 2017EB'!$Y$2:$AS$2=D$4))</f>
        <v>23914.453944206238</v>
      </c>
      <c r="E18" s="209">
        <f t="array" ref="E18">SUMPRODUCT('DMRE 2017EB'!$Y$4:$AS$101*('DMRE 2017EB'!$N$4:$N$101=$A18)*('DMRE 2017EB'!$Y$2:$AS$2=E$4))</f>
        <v>23257.001953125</v>
      </c>
      <c r="F18" s="209">
        <f t="array" ref="F18">SUMPRODUCT('DMRE 2017EB'!$Y$4:$AS$101*('DMRE 2017EB'!$N$4:$N$101=$A18)*('DMRE 2017EB'!$Y$2:$AS$2=F$4))</f>
        <v>22961</v>
      </c>
      <c r="G18" s="209">
        <f t="array" ref="G18">SUMPRODUCT('DMRE 2017EB'!$Y$4:$AS$101*('DMRE 2017EB'!$N$4:$N$101=$A18)*('DMRE 2017EB'!$Y$2:$AS$2=G$4))</f>
        <v>0</v>
      </c>
      <c r="H18" s="209">
        <f t="array" ref="H18">SUMPRODUCT('DMRE 2017EB'!$Y$4:$AS$101*('DMRE 2017EB'!$N$4:$N$101=$A18)*('DMRE 2017EB'!$Y$2:$AS$2=H$4))</f>
        <v>0</v>
      </c>
      <c r="I18" s="209">
        <f t="array" ref="I18">SUMPRODUCT('DMRE 2017EB'!$Y$4:$AS$101*('DMRE 2017EB'!$N$4:$N$101=$A18)*('DMRE 2017EB'!$Y$2:$AS$2=I$4))</f>
        <v>0</v>
      </c>
      <c r="J18" s="209">
        <f>SUMIF('DMRE 2017EB'!$A$4:$A$80,gas!A18,'DMRE 2017EB'!$E$4:$E$80)</f>
        <v>0</v>
      </c>
      <c r="K18" s="208"/>
      <c r="S18" s="14" t="s">
        <v>446</v>
      </c>
      <c r="U18" s="207">
        <f t="shared" ref="U18:U19" si="3">-U59</f>
        <v>-19.17791290909091</v>
      </c>
      <c r="V18" s="14" t="s">
        <v>447</v>
      </c>
    </row>
    <row r="19" spans="1:28" ht="15.75" customHeight="1">
      <c r="A19" s="212" t="str">
        <f>'DMRE 2017EB'!N48</f>
        <v>Industry Sector</v>
      </c>
      <c r="B19" s="212"/>
      <c r="C19" s="213">
        <f t="array" ref="C19">SUMPRODUCT('DMRE 2017EB'!$Y$4:$AS$101*('DMRE 2017EB'!$N$4:$N$101=$A19)*('DMRE 2017EB'!$Y$2:$AS$2=C$4))</f>
        <v>84240.725633621216</v>
      </c>
      <c r="D19" s="213">
        <f t="array" ref="D19">SUMPRODUCT('DMRE 2017EB'!$Y$4:$AS$101*('DMRE 2017EB'!$N$4:$N$101=$A19)*('DMRE 2017EB'!$Y$2:$AS$2=D$4))</f>
        <v>23914.453944206238</v>
      </c>
      <c r="E19" s="213">
        <f t="array" ref="E19">SUMPRODUCT('DMRE 2017EB'!$Y$4:$AS$101*('DMRE 2017EB'!$N$4:$N$101=$A19)*('DMRE 2017EB'!$Y$2:$AS$2=E$4))</f>
        <v>23257.001953125</v>
      </c>
      <c r="F19" s="213">
        <f t="array" ref="F19">SUMPRODUCT('DMRE 2017EB'!$Y$4:$AS$101*('DMRE 2017EB'!$N$4:$N$101=$A19)*('DMRE 2017EB'!$Y$2:$AS$2=F$4))</f>
        <v>22961</v>
      </c>
      <c r="G19" s="213">
        <f t="array" ref="G19">SUMPRODUCT('DMRE 2017EB'!$Y$4:$AS$101*('DMRE 2017EB'!$N$4:$N$101=$A19)*('DMRE 2017EB'!$Y$2:$AS$2=G$4))</f>
        <v>0</v>
      </c>
      <c r="H19" s="213">
        <f t="array" ref="H19">SUMPRODUCT('DMRE 2017EB'!$Y$4:$AS$101*('DMRE 2017EB'!$N$4:$N$101=$A19)*('DMRE 2017EB'!$Y$2:$AS$2=H$4))</f>
        <v>0</v>
      </c>
      <c r="I19" s="213">
        <f t="array" ref="I19">SUMPRODUCT('DMRE 2017EB'!$Y$4:$AS$101*('DMRE 2017EB'!$N$4:$N$101=$A19)*('DMRE 2017EB'!$Y$2:$AS$2=I$4))</f>
        <v>0</v>
      </c>
      <c r="J19" s="213">
        <f>SUMIF('DMRE 2017EB'!$A$4:$A$80,gas!A19,'DMRE 2017EB'!$E$4:$E$80)</f>
        <v>154373.18</v>
      </c>
      <c r="K19" s="212"/>
      <c r="M19" s="219"/>
      <c r="N19" s="220">
        <f>SUM(J20:J32)</f>
        <v>154373.16999999998</v>
      </c>
      <c r="S19" s="14" t="s">
        <v>448</v>
      </c>
      <c r="U19" s="207">
        <f t="shared" si="3"/>
        <v>-6.3570344000000008</v>
      </c>
      <c r="V19" s="14" t="s">
        <v>447</v>
      </c>
    </row>
    <row r="20" spans="1:28" ht="15.75" customHeight="1">
      <c r="A20" s="10" t="str">
        <f>'DMRE 2017EB'!N49</f>
        <v>Iron and Steel</v>
      </c>
      <c r="C20" s="221">
        <f t="array" ref="C20">SUMPRODUCT('DMRE 2017EB'!$Y$4:$AS$101*('DMRE 2017EB'!$N$4:$N$101=$A20)*('DMRE 2017EB'!$Y$2:$AS$2=C$4))</f>
        <v>9877.6650390625</v>
      </c>
      <c r="D20" s="221">
        <f t="array" ref="D20">SUMPRODUCT('DMRE 2017EB'!$Y$4:$AS$101*('DMRE 2017EB'!$N$4:$N$101=$A20)*('DMRE 2017EB'!$Y$2:$AS$2=D$4))</f>
        <v>6049.716796875</v>
      </c>
      <c r="E20" s="221">
        <f t="array" ref="E20">SUMPRODUCT('DMRE 2017EB'!$Y$4:$AS$101*('DMRE 2017EB'!$N$4:$N$101=$A20)*('DMRE 2017EB'!$Y$2:$AS$2=E$4))</f>
        <v>23257.001953125</v>
      </c>
      <c r="F20" s="221">
        <f t="array" ref="F20">SUMPRODUCT('DMRE 2017EB'!$Y$4:$AS$101*('DMRE 2017EB'!$N$4:$N$101=$A20)*('DMRE 2017EB'!$Y$2:$AS$2=F$4))</f>
        <v>22961</v>
      </c>
      <c r="G20" s="204">
        <f t="array" ref="G20">SUMPRODUCT('DMRE 2017EB'!$Y$4:$AS$101*('DMRE 2017EB'!$N$4:$N$101=$A20)*('DMRE 2017EB'!$Y$2:$AS$2=G$4))</f>
        <v>0</v>
      </c>
      <c r="H20" s="204">
        <f t="array" ref="H20">SUMPRODUCT('DMRE 2017EB'!$Y$4:$AS$101*('DMRE 2017EB'!$N$4:$N$101=$A20)*('DMRE 2017EB'!$Y$2:$AS$2=H$4))</f>
        <v>0</v>
      </c>
      <c r="I20" s="204">
        <f t="array" ref="I20">SUMPRODUCT('DMRE 2017EB'!$Y$4:$AS$101*('DMRE 2017EB'!$N$4:$N$101=$A20)*('DMRE 2017EB'!$Y$2:$AS$2=I$4))</f>
        <v>0</v>
      </c>
      <c r="J20" s="220">
        <f>SUMIF('DMRE 2017EB'!$A$4:$A$80,gas!A20,'DMRE 2017EB'!$E$4:$E$80)</f>
        <v>62145.38</v>
      </c>
      <c r="K20" s="1"/>
      <c r="M20" s="219"/>
      <c r="R20" s="15" t="s">
        <v>251</v>
      </c>
      <c r="S20" s="205"/>
      <c r="T20" s="206">
        <f t="shared" ref="T20:U20" si="4">T21+T39</f>
        <v>109.6079772310257</v>
      </c>
      <c r="U20" s="217">
        <f t="shared" si="4"/>
        <v>87.494395955000016</v>
      </c>
      <c r="Y20" s="222"/>
      <c r="Z20" s="222"/>
      <c r="AA20" s="222"/>
      <c r="AB20" s="222"/>
    </row>
    <row r="21" spans="1:28" ht="15.75" customHeight="1">
      <c r="A21" s="10" t="str">
        <f>'DMRE 2017EB'!N50</f>
        <v>Chemical and Petrochemical</v>
      </c>
      <c r="C21" s="221">
        <f t="array" ref="C21">SUMPRODUCT('DMRE 2017EB'!$Y$4:$AS$101*('DMRE 2017EB'!$N$4:$N$101=$A21)*('DMRE 2017EB'!$Y$2:$AS$2=C$4))</f>
        <v>49995.85546875</v>
      </c>
      <c r="D21" s="221">
        <f t="array" ref="D21">SUMPRODUCT('DMRE 2017EB'!$Y$4:$AS$101*('DMRE 2017EB'!$N$4:$N$101=$A21)*('DMRE 2017EB'!$Y$2:$AS$2=D$4))</f>
        <v>5246.56103515625</v>
      </c>
      <c r="E21" s="221">
        <f t="array" ref="E21">SUMPRODUCT('DMRE 2017EB'!$Y$4:$AS$101*('DMRE 2017EB'!$N$4:$N$101=$A21)*('DMRE 2017EB'!$Y$2:$AS$2=E$4))</f>
        <v>0</v>
      </c>
      <c r="F21" s="221">
        <f t="array" ref="F21">SUMPRODUCT('DMRE 2017EB'!$Y$4:$AS$101*('DMRE 2017EB'!$N$4:$N$101=$A21)*('DMRE 2017EB'!$Y$2:$AS$2=F$4))</f>
        <v>0</v>
      </c>
      <c r="G21" s="204">
        <f t="array" ref="G21">SUMPRODUCT('DMRE 2017EB'!$Y$4:$AS$101*('DMRE 2017EB'!$N$4:$N$101=$A21)*('DMRE 2017EB'!$Y$2:$AS$2=G$4))</f>
        <v>0</v>
      </c>
      <c r="H21" s="204">
        <f t="array" ref="H21">SUMPRODUCT('DMRE 2017EB'!$Y$4:$AS$101*('DMRE 2017EB'!$N$4:$N$101=$A21)*('DMRE 2017EB'!$Y$2:$AS$2=H$4))</f>
        <v>0</v>
      </c>
      <c r="I21" s="204">
        <f t="array" ref="I21">SUMPRODUCT('DMRE 2017EB'!$Y$4:$AS$101*('DMRE 2017EB'!$N$4:$N$101=$A21)*('DMRE 2017EB'!$Y$2:$AS$2=I$4))</f>
        <v>0</v>
      </c>
      <c r="J21" s="220">
        <f>SUMIF('DMRE 2017EB'!$A$4:$A$80,gas!A21,'DMRE 2017EB'!$E$4:$E$80)</f>
        <v>55242.42</v>
      </c>
      <c r="K21" s="1"/>
      <c r="M21" s="219"/>
      <c r="R21" s="15" t="s">
        <v>44</v>
      </c>
      <c r="S21" s="205"/>
      <c r="T21" s="206">
        <f t="shared" ref="T21:U21" si="5">T22+SUM(T27:T38)</f>
        <v>108.15517957782745</v>
      </c>
      <c r="U21" s="217">
        <f t="shared" si="5"/>
        <v>86.04159830180177</v>
      </c>
      <c r="X21" s="222"/>
      <c r="Y21" s="207"/>
      <c r="Z21" s="207"/>
      <c r="AA21" s="207"/>
      <c r="AB21" s="207"/>
    </row>
    <row r="22" spans="1:28" ht="15.75" customHeight="1">
      <c r="A22" s="10" t="str">
        <f>'DMRE 2017EB'!N51</f>
        <v>Non-Ferrous Metals</v>
      </c>
      <c r="C22" s="221">
        <f t="array" ref="C22">SUMPRODUCT('DMRE 2017EB'!$Y$4:$AS$101*('DMRE 2017EB'!$N$4:$N$101=$A22)*('DMRE 2017EB'!$Y$2:$AS$2=C$4))</f>
        <v>506.87100219726563</v>
      </c>
      <c r="D22" s="221">
        <f t="array" ref="D22">SUMPRODUCT('DMRE 2017EB'!$Y$4:$AS$101*('DMRE 2017EB'!$N$4:$N$101=$A22)*('DMRE 2017EB'!$Y$2:$AS$2=D$4))</f>
        <v>1747.2359619140625</v>
      </c>
      <c r="E22" s="221">
        <f t="array" ref="E22">SUMPRODUCT('DMRE 2017EB'!$Y$4:$AS$101*('DMRE 2017EB'!$N$4:$N$101=$A22)*('DMRE 2017EB'!$Y$2:$AS$2=E$4))</f>
        <v>0</v>
      </c>
      <c r="F22" s="221">
        <f t="array" ref="F22">SUMPRODUCT('DMRE 2017EB'!$Y$4:$AS$101*('DMRE 2017EB'!$N$4:$N$101=$A22)*('DMRE 2017EB'!$Y$2:$AS$2=F$4))</f>
        <v>0</v>
      </c>
      <c r="G22" s="204">
        <f t="array" ref="G22">SUMPRODUCT('DMRE 2017EB'!$Y$4:$AS$101*('DMRE 2017EB'!$N$4:$N$101=$A22)*('DMRE 2017EB'!$Y$2:$AS$2=G$4))</f>
        <v>0</v>
      </c>
      <c r="H22" s="204">
        <f t="array" ref="H22">SUMPRODUCT('DMRE 2017EB'!$Y$4:$AS$101*('DMRE 2017EB'!$N$4:$N$101=$A22)*('DMRE 2017EB'!$Y$2:$AS$2=H$4))</f>
        <v>0</v>
      </c>
      <c r="I22" s="204">
        <f t="array" ref="I22">SUMPRODUCT('DMRE 2017EB'!$Y$4:$AS$101*('DMRE 2017EB'!$N$4:$N$101=$A22)*('DMRE 2017EB'!$Y$2:$AS$2=I$4))</f>
        <v>0</v>
      </c>
      <c r="J22" s="220">
        <f>SUMIF('DMRE 2017EB'!$A$4:$A$80,gas!A22,'DMRE 2017EB'!$E$4:$E$80)</f>
        <v>2254.11</v>
      </c>
      <c r="K22" s="1"/>
      <c r="M22" s="219"/>
      <c r="R22" s="15" t="s">
        <v>293</v>
      </c>
      <c r="S22" s="205"/>
      <c r="T22" s="223">
        <f>(C21+D21)/1000</f>
        <v>55.242416503906249</v>
      </c>
      <c r="U22" s="217">
        <f>SUM(U23:U26)</f>
        <v>33.128835227880558</v>
      </c>
      <c r="W22" s="222"/>
      <c r="X22" s="207"/>
      <c r="Y22" s="222"/>
      <c r="Z22" s="222"/>
      <c r="AA22" s="222"/>
      <c r="AB22" s="222"/>
    </row>
    <row r="23" spans="1:28" ht="15.75" customHeight="1">
      <c r="A23" s="10" t="str">
        <f>'DMRE 2017EB'!N52</f>
        <v>Non-Metallic Minerals</v>
      </c>
      <c r="C23" s="221">
        <f t="array" ref="C23">SUMPRODUCT('DMRE 2017EB'!$Y$4:$AS$101*('DMRE 2017EB'!$N$4:$N$101=$A23)*('DMRE 2017EB'!$Y$2:$AS$2=C$4))</f>
        <v>15122.775390625</v>
      </c>
      <c r="D23" s="221">
        <f t="array" ref="D23">SUMPRODUCT('DMRE 2017EB'!$Y$4:$AS$101*('DMRE 2017EB'!$N$4:$N$101=$A23)*('DMRE 2017EB'!$Y$2:$AS$2=D$4))</f>
        <v>375.59799194335938</v>
      </c>
      <c r="E23" s="221">
        <f t="array" ref="E23">SUMPRODUCT('DMRE 2017EB'!$Y$4:$AS$101*('DMRE 2017EB'!$N$4:$N$101=$A23)*('DMRE 2017EB'!$Y$2:$AS$2=E$4))</f>
        <v>0</v>
      </c>
      <c r="F23" s="221">
        <f t="array" ref="F23">SUMPRODUCT('DMRE 2017EB'!$Y$4:$AS$101*('DMRE 2017EB'!$N$4:$N$101=$A23)*('DMRE 2017EB'!$Y$2:$AS$2=F$4))</f>
        <v>0</v>
      </c>
      <c r="G23" s="204">
        <f t="array" ref="G23">SUMPRODUCT('DMRE 2017EB'!$Y$4:$AS$101*('DMRE 2017EB'!$N$4:$N$101=$A23)*('DMRE 2017EB'!$Y$2:$AS$2=G$4))</f>
        <v>0</v>
      </c>
      <c r="H23" s="204">
        <f t="array" ref="H23">SUMPRODUCT('DMRE 2017EB'!$Y$4:$AS$101*('DMRE 2017EB'!$N$4:$N$101=$A23)*('DMRE 2017EB'!$Y$2:$AS$2=H$4))</f>
        <v>0</v>
      </c>
      <c r="I23" s="204">
        <f t="array" ref="I23">SUMPRODUCT('DMRE 2017EB'!$Y$4:$AS$101*('DMRE 2017EB'!$N$4:$N$101=$A23)*('DMRE 2017EB'!$Y$2:$AS$2=I$4))</f>
        <v>0</v>
      </c>
      <c r="J23" s="220">
        <f>SUMIF('DMRE 2017EB'!$A$4:$A$80,gas!A23,'DMRE 2017EB'!$E$4:$E$80)</f>
        <v>15498.37</v>
      </c>
      <c r="K23" s="1"/>
      <c r="M23" s="219"/>
      <c r="S23" s="14" t="s">
        <v>449</v>
      </c>
      <c r="T23" s="207"/>
      <c r="U23" s="224">
        <f>D68/1000000</f>
        <v>0.91098800000000002</v>
      </c>
      <c r="V23" s="14" t="s">
        <v>435</v>
      </c>
      <c r="W23" s="222" t="s">
        <v>443</v>
      </c>
      <c r="X23" s="222" t="s">
        <v>444</v>
      </c>
      <c r="Y23" s="207"/>
      <c r="Z23" s="207"/>
      <c r="AA23" s="207"/>
      <c r="AB23" s="207"/>
    </row>
    <row r="24" spans="1:28" ht="15.75" customHeight="1">
      <c r="A24" s="10" t="str">
        <f>'DMRE 2017EB'!N53</f>
        <v>Transport Equipment</v>
      </c>
      <c r="C24" s="221">
        <f t="array" ref="C24">SUMPRODUCT('DMRE 2017EB'!$Y$4:$AS$101*('DMRE 2017EB'!$N$4:$N$101=$A24)*('DMRE 2017EB'!$Y$2:$AS$2=C$4))</f>
        <v>654.31597900390625</v>
      </c>
      <c r="D24" s="221">
        <f t="array" ref="D24">SUMPRODUCT('DMRE 2017EB'!$Y$4:$AS$101*('DMRE 2017EB'!$N$4:$N$101=$A24)*('DMRE 2017EB'!$Y$2:$AS$2=D$4))</f>
        <v>14.824000358581543</v>
      </c>
      <c r="E24" s="221">
        <f t="array" ref="E24">SUMPRODUCT('DMRE 2017EB'!$Y$4:$AS$101*('DMRE 2017EB'!$N$4:$N$101=$A24)*('DMRE 2017EB'!$Y$2:$AS$2=E$4))</f>
        <v>0</v>
      </c>
      <c r="F24" s="221">
        <f t="array" ref="F24">SUMPRODUCT('DMRE 2017EB'!$Y$4:$AS$101*('DMRE 2017EB'!$N$4:$N$101=$A24)*('DMRE 2017EB'!$Y$2:$AS$2=F$4))</f>
        <v>0</v>
      </c>
      <c r="G24" s="204">
        <f t="array" ref="G24">SUMPRODUCT('DMRE 2017EB'!$Y$4:$AS$101*('DMRE 2017EB'!$N$4:$N$101=$A24)*('DMRE 2017EB'!$Y$2:$AS$2=G$4))</f>
        <v>0</v>
      </c>
      <c r="H24" s="204">
        <f t="array" ref="H24">SUMPRODUCT('DMRE 2017EB'!$Y$4:$AS$101*('DMRE 2017EB'!$N$4:$N$101=$A24)*('DMRE 2017EB'!$Y$2:$AS$2=H$4))</f>
        <v>0</v>
      </c>
      <c r="I24" s="204">
        <f t="array" ref="I24">SUMPRODUCT('DMRE 2017EB'!$Y$4:$AS$101*('DMRE 2017EB'!$N$4:$N$101=$A24)*('DMRE 2017EB'!$Y$2:$AS$2=I$4))</f>
        <v>0</v>
      </c>
      <c r="J24" s="220">
        <f>SUMIF('DMRE 2017EB'!$A$4:$A$80,gas!A24,'DMRE 2017EB'!$E$4:$E$80)</f>
        <v>669.14</v>
      </c>
      <c r="K24" s="1"/>
      <c r="M24" s="219"/>
      <c r="S24" s="14" t="s">
        <v>450</v>
      </c>
      <c r="T24" s="222"/>
      <c r="U24" s="207">
        <f>N38+U16</f>
        <v>26.659407954999999</v>
      </c>
      <c r="V24" s="14" t="s">
        <v>423</v>
      </c>
      <c r="W24" s="222" t="s">
        <v>443</v>
      </c>
      <c r="X24" s="222" t="s">
        <v>444</v>
      </c>
      <c r="Y24" s="207"/>
      <c r="Z24" s="207"/>
      <c r="AA24" s="207"/>
      <c r="AB24" s="207"/>
    </row>
    <row r="25" spans="1:28" ht="15.75" customHeight="1">
      <c r="A25" s="10" t="str">
        <f>'DMRE 2017EB'!N54</f>
        <v>Machinery</v>
      </c>
      <c r="C25" s="221">
        <f t="array" ref="C25">SUMPRODUCT('DMRE 2017EB'!$Y$4:$AS$101*('DMRE 2017EB'!$N$4:$N$101=$A25)*('DMRE 2017EB'!$Y$2:$AS$2=C$4))</f>
        <v>1054.633056640625</v>
      </c>
      <c r="D25" s="221">
        <f t="array" ref="D25">SUMPRODUCT('DMRE 2017EB'!$Y$4:$AS$101*('DMRE 2017EB'!$N$4:$N$101=$A25)*('DMRE 2017EB'!$Y$2:$AS$2=D$4))</f>
        <v>358.18099975585938</v>
      </c>
      <c r="E25" s="221">
        <f t="array" ref="E25">SUMPRODUCT('DMRE 2017EB'!$Y$4:$AS$101*('DMRE 2017EB'!$N$4:$N$101=$A25)*('DMRE 2017EB'!$Y$2:$AS$2=E$4))</f>
        <v>0</v>
      </c>
      <c r="F25" s="221">
        <f t="array" ref="F25">SUMPRODUCT('DMRE 2017EB'!$Y$4:$AS$101*('DMRE 2017EB'!$N$4:$N$101=$A25)*('DMRE 2017EB'!$Y$2:$AS$2=F$4))</f>
        <v>0</v>
      </c>
      <c r="G25" s="204">
        <f t="array" ref="G25">SUMPRODUCT('DMRE 2017EB'!$Y$4:$AS$101*('DMRE 2017EB'!$N$4:$N$101=$A25)*('DMRE 2017EB'!$Y$2:$AS$2=G$4))</f>
        <v>0</v>
      </c>
      <c r="H25" s="204">
        <f t="array" ref="H25">SUMPRODUCT('DMRE 2017EB'!$Y$4:$AS$101*('DMRE 2017EB'!$N$4:$N$101=$A25)*('DMRE 2017EB'!$Y$2:$AS$2=H$4))</f>
        <v>0</v>
      </c>
      <c r="I25" s="204">
        <f t="array" ref="I25">SUMPRODUCT('DMRE 2017EB'!$Y$4:$AS$101*('DMRE 2017EB'!$N$4:$N$101=$A25)*('DMRE 2017EB'!$Y$2:$AS$2=I$4))</f>
        <v>0</v>
      </c>
      <c r="J25" s="220">
        <f>SUMIF('DMRE 2017EB'!$A$4:$A$80,gas!A25,'DMRE 2017EB'!$E$4:$E$80)</f>
        <v>1412.81</v>
      </c>
      <c r="K25" s="1"/>
      <c r="M25" s="219"/>
      <c r="S25" s="14" t="s">
        <v>451</v>
      </c>
      <c r="T25" s="207"/>
      <c r="U25" s="225">
        <f>(N40-U27-SUM(U28:U39))/2</f>
        <v>2.7792196364402777</v>
      </c>
      <c r="V25" s="14" t="s">
        <v>452</v>
      </c>
      <c r="W25" s="222" t="s">
        <v>443</v>
      </c>
      <c r="X25" s="222" t="s">
        <v>444</v>
      </c>
      <c r="Y25" s="207"/>
      <c r="Z25" s="207"/>
      <c r="AA25" s="207"/>
      <c r="AB25" s="207"/>
    </row>
    <row r="26" spans="1:28" ht="15.75" customHeight="1">
      <c r="A26" s="10" t="str">
        <f>'DMRE 2017EB'!N55</f>
        <v>Mining and Quarrying</v>
      </c>
      <c r="C26" s="221">
        <f t="array" ref="C26">SUMPRODUCT('DMRE 2017EB'!$Y$4:$AS$101*('DMRE 2017EB'!$N$4:$N$101=$A26)*('DMRE 2017EB'!$Y$2:$AS$2=C$4))</f>
        <v>0</v>
      </c>
      <c r="D26" s="221">
        <f t="array" ref="D26">SUMPRODUCT('DMRE 2017EB'!$Y$4:$AS$101*('DMRE 2017EB'!$N$4:$N$101=$A26)*('DMRE 2017EB'!$Y$2:$AS$2=D$4))</f>
        <v>1001.4639892578125</v>
      </c>
      <c r="E26" s="221">
        <f t="array" ref="E26">SUMPRODUCT('DMRE 2017EB'!$Y$4:$AS$101*('DMRE 2017EB'!$N$4:$N$101=$A26)*('DMRE 2017EB'!$Y$2:$AS$2=E$4))</f>
        <v>0</v>
      </c>
      <c r="F26" s="221">
        <f t="array" ref="F26">SUMPRODUCT('DMRE 2017EB'!$Y$4:$AS$101*('DMRE 2017EB'!$N$4:$N$101=$A26)*('DMRE 2017EB'!$Y$2:$AS$2=F$4))</f>
        <v>0</v>
      </c>
      <c r="G26" s="204">
        <f t="array" ref="G26">SUMPRODUCT('DMRE 2017EB'!$Y$4:$AS$101*('DMRE 2017EB'!$N$4:$N$101=$A26)*('DMRE 2017EB'!$Y$2:$AS$2=G$4))</f>
        <v>0</v>
      </c>
      <c r="H26" s="204">
        <f t="array" ref="H26">SUMPRODUCT('DMRE 2017EB'!$Y$4:$AS$101*('DMRE 2017EB'!$N$4:$N$101=$A26)*('DMRE 2017EB'!$Y$2:$AS$2=H$4))</f>
        <v>0</v>
      </c>
      <c r="I26" s="204">
        <f t="array" ref="I26">SUMPRODUCT('DMRE 2017EB'!$Y$4:$AS$101*('DMRE 2017EB'!$N$4:$N$101=$A26)*('DMRE 2017EB'!$Y$2:$AS$2=I$4))</f>
        <v>0</v>
      </c>
      <c r="J26" s="220">
        <f>SUMIF('DMRE 2017EB'!$A$4:$A$80,gas!A26,'DMRE 2017EB'!$E$4:$E$80)</f>
        <v>1001.46</v>
      </c>
      <c r="K26" s="1"/>
      <c r="M26" s="219"/>
      <c r="S26" s="14" t="s">
        <v>453</v>
      </c>
      <c r="T26" s="207"/>
      <c r="U26" s="225">
        <f>U25</f>
        <v>2.7792196364402777</v>
      </c>
      <c r="V26" s="14" t="s">
        <v>452</v>
      </c>
      <c r="W26" s="222" t="s">
        <v>443</v>
      </c>
      <c r="X26" s="222" t="s">
        <v>444</v>
      </c>
      <c r="Y26" s="207"/>
      <c r="Z26" s="207"/>
      <c r="AA26" s="207"/>
      <c r="AB26" s="207"/>
    </row>
    <row r="27" spans="1:28" ht="15.75" customHeight="1">
      <c r="A27" s="10" t="str">
        <f>'DMRE 2017EB'!N56</f>
        <v>Food and Tobacco</v>
      </c>
      <c r="C27" s="221">
        <f t="array" ref="C27">SUMPRODUCT('DMRE 2017EB'!$Y$4:$AS$101*('DMRE 2017EB'!$N$4:$N$101=$A27)*('DMRE 2017EB'!$Y$2:$AS$2=C$4))</f>
        <v>3824.499755859375</v>
      </c>
      <c r="D27" s="221">
        <f t="array" ref="D27">SUMPRODUCT('DMRE 2017EB'!$Y$4:$AS$101*('DMRE 2017EB'!$N$4:$N$101=$A27)*('DMRE 2017EB'!$Y$2:$AS$2=D$4))</f>
        <v>3541.3291015625</v>
      </c>
      <c r="E27" s="221">
        <f t="array" ref="E27">SUMPRODUCT('DMRE 2017EB'!$Y$4:$AS$101*('DMRE 2017EB'!$N$4:$N$101=$A27)*('DMRE 2017EB'!$Y$2:$AS$2=E$4))</f>
        <v>0</v>
      </c>
      <c r="F27" s="221">
        <f t="array" ref="F27">SUMPRODUCT('DMRE 2017EB'!$Y$4:$AS$101*('DMRE 2017EB'!$N$4:$N$101=$A27)*('DMRE 2017EB'!$Y$2:$AS$2=F$4))</f>
        <v>0</v>
      </c>
      <c r="G27" s="204">
        <f t="array" ref="G27">SUMPRODUCT('DMRE 2017EB'!$Y$4:$AS$101*('DMRE 2017EB'!$N$4:$N$101=$A27)*('DMRE 2017EB'!$Y$2:$AS$2=G$4))</f>
        <v>0</v>
      </c>
      <c r="H27" s="204">
        <f t="array" ref="H27">SUMPRODUCT('DMRE 2017EB'!$Y$4:$AS$101*('DMRE 2017EB'!$N$4:$N$101=$A27)*('DMRE 2017EB'!$Y$2:$AS$2=H$4))</f>
        <v>0</v>
      </c>
      <c r="I27" s="204">
        <f t="array" ref="I27">SUMPRODUCT('DMRE 2017EB'!$Y$4:$AS$101*('DMRE 2017EB'!$N$4:$N$101=$A27)*('DMRE 2017EB'!$Y$2:$AS$2=I$4))</f>
        <v>0</v>
      </c>
      <c r="J27" s="220">
        <f>SUMIF('DMRE 2017EB'!$A$4:$A$80,gas!A27,'DMRE 2017EB'!$E$4:$E$80)</f>
        <v>7365.83</v>
      </c>
      <c r="K27" s="1"/>
      <c r="L27" s="226" t="s">
        <v>454</v>
      </c>
      <c r="M27" s="167"/>
      <c r="N27" s="167"/>
      <c r="R27" s="14" t="str">
        <f>A20</f>
        <v>Iron and Steel</v>
      </c>
      <c r="T27" s="207">
        <f t="shared" ref="T27:T38" si="6">U27</f>
        <v>15.927381835937499</v>
      </c>
      <c r="U27" s="224">
        <f>(C20+D20)/1000</f>
        <v>15.927381835937499</v>
      </c>
      <c r="V27" s="14" t="s">
        <v>25</v>
      </c>
      <c r="W27" s="207"/>
      <c r="X27" s="207"/>
      <c r="Y27" s="207"/>
      <c r="Z27" s="207"/>
      <c r="AA27" s="207"/>
      <c r="AB27" s="207"/>
    </row>
    <row r="28" spans="1:28" ht="15.75" customHeight="1">
      <c r="A28" s="10" t="str">
        <f>'DMRE 2017EB'!N57</f>
        <v>Paper Pulp and Print</v>
      </c>
      <c r="C28" s="221">
        <f t="array" ref="C28">SUMPRODUCT('DMRE 2017EB'!$Y$4:$AS$101*('DMRE 2017EB'!$N$4:$N$101=$A28)*('DMRE 2017EB'!$Y$2:$AS$2=C$4))</f>
        <v>624.001708984375</v>
      </c>
      <c r="D28" s="221">
        <f t="array" ref="D28">SUMPRODUCT('DMRE 2017EB'!$Y$4:$AS$101*('DMRE 2017EB'!$N$4:$N$101=$A28)*('DMRE 2017EB'!$Y$2:$AS$2=D$4))</f>
        <v>3541.3291015625</v>
      </c>
      <c r="E28" s="221">
        <f t="array" ref="E28">SUMPRODUCT('DMRE 2017EB'!$Y$4:$AS$101*('DMRE 2017EB'!$N$4:$N$101=$A28)*('DMRE 2017EB'!$Y$2:$AS$2=E$4))</f>
        <v>0</v>
      </c>
      <c r="F28" s="221">
        <f t="array" ref="F28">SUMPRODUCT('DMRE 2017EB'!$Y$4:$AS$101*('DMRE 2017EB'!$N$4:$N$101=$A28)*('DMRE 2017EB'!$Y$2:$AS$2=F$4))</f>
        <v>0</v>
      </c>
      <c r="G28" s="204">
        <f t="array" ref="G28">SUMPRODUCT('DMRE 2017EB'!$Y$4:$AS$101*('DMRE 2017EB'!$N$4:$N$101=$A28)*('DMRE 2017EB'!$Y$2:$AS$2=G$4))</f>
        <v>0</v>
      </c>
      <c r="H28" s="204">
        <f t="array" ref="H28">SUMPRODUCT('DMRE 2017EB'!$Y$4:$AS$101*('DMRE 2017EB'!$N$4:$N$101=$A28)*('DMRE 2017EB'!$Y$2:$AS$2=H$4))</f>
        <v>0</v>
      </c>
      <c r="I28" s="204">
        <f t="array" ref="I28">SUMPRODUCT('DMRE 2017EB'!$Y$4:$AS$101*('DMRE 2017EB'!$N$4:$N$101=$A28)*('DMRE 2017EB'!$Y$2:$AS$2=I$4))</f>
        <v>0</v>
      </c>
      <c r="J28" s="220">
        <f>SUMIF('DMRE 2017EB'!$A$4:$A$80,gas!A28,'DMRE 2017EB'!$E$4:$E$80)</f>
        <v>4165.33</v>
      </c>
      <c r="K28" s="1"/>
      <c r="L28" s="167"/>
      <c r="M28" s="203" t="s">
        <v>455</v>
      </c>
      <c r="N28" s="203" t="s">
        <v>456</v>
      </c>
      <c r="R28" s="14" t="str">
        <f t="shared" ref="R28:R38" si="7">A22</f>
        <v>Non-Ferrous Metals</v>
      </c>
      <c r="T28" s="207">
        <f t="shared" si="6"/>
        <v>2.2541069641113283</v>
      </c>
      <c r="U28" s="224">
        <f t="shared" ref="U28:U38" si="8">(C22+D22)/1000</f>
        <v>2.2541069641113283</v>
      </c>
      <c r="V28" s="14" t="s">
        <v>25</v>
      </c>
      <c r="W28" s="207"/>
      <c r="X28" s="207"/>
      <c r="Y28" s="207"/>
      <c r="Z28" s="207"/>
      <c r="AA28" s="207"/>
      <c r="AB28" s="207"/>
    </row>
    <row r="29" spans="1:28" ht="15.75" customHeight="1">
      <c r="A29" s="10" t="str">
        <f>'DMRE 2017EB'!N58</f>
        <v>Wood and Wood Products</v>
      </c>
      <c r="C29" s="204">
        <f t="array" ref="C29">SUMPRODUCT('DMRE 2017EB'!$Y$4:$AS$101*('DMRE 2017EB'!$N$4:$N$101=$A29)*('DMRE 2017EB'!$Y$2:$AS$2=C$4))</f>
        <v>0</v>
      </c>
      <c r="D29" s="204">
        <f t="array" ref="D29">SUMPRODUCT('DMRE 2017EB'!$Y$4:$AS$101*('DMRE 2017EB'!$N$4:$N$101=$A29)*('DMRE 2017EB'!$Y$2:$AS$2=D$4))</f>
        <v>0</v>
      </c>
      <c r="E29" s="204">
        <f t="array" ref="E29">SUMPRODUCT('DMRE 2017EB'!$Y$4:$AS$101*('DMRE 2017EB'!$N$4:$N$101=$A29)*('DMRE 2017EB'!$Y$2:$AS$2=E$4))</f>
        <v>0</v>
      </c>
      <c r="F29" s="204">
        <f t="array" ref="F29">SUMPRODUCT('DMRE 2017EB'!$Y$4:$AS$101*('DMRE 2017EB'!$N$4:$N$101=$A29)*('DMRE 2017EB'!$Y$2:$AS$2=F$4))</f>
        <v>0</v>
      </c>
      <c r="G29" s="204">
        <f t="array" ref="G29">SUMPRODUCT('DMRE 2017EB'!$Y$4:$AS$101*('DMRE 2017EB'!$N$4:$N$101=$A29)*('DMRE 2017EB'!$Y$2:$AS$2=G$4))</f>
        <v>0</v>
      </c>
      <c r="H29" s="204">
        <f t="array" ref="H29">SUMPRODUCT('DMRE 2017EB'!$Y$4:$AS$101*('DMRE 2017EB'!$N$4:$N$101=$A29)*('DMRE 2017EB'!$Y$2:$AS$2=H$4))</f>
        <v>0</v>
      </c>
      <c r="I29" s="204">
        <f t="array" ref="I29">SUMPRODUCT('DMRE 2017EB'!$Y$4:$AS$101*('DMRE 2017EB'!$N$4:$N$101=$A29)*('DMRE 2017EB'!$Y$2:$AS$2=I$4))</f>
        <v>0</v>
      </c>
      <c r="J29" s="220">
        <f>SUMIF('DMRE 2017EB'!$A$4:$A$80,gas!A29,'DMRE 2017EB'!$E$4:$E$80)</f>
        <v>0</v>
      </c>
      <c r="K29" s="1"/>
      <c r="L29" s="14" t="s">
        <v>457</v>
      </c>
      <c r="M29" s="14">
        <v>166.6</v>
      </c>
      <c r="N29" s="10">
        <f t="shared" ref="N29:N30" si="9">M29*1.055</f>
        <v>175.76299999999998</v>
      </c>
      <c r="R29" s="14" t="str">
        <f t="shared" si="7"/>
        <v>Non-Metallic Minerals</v>
      </c>
      <c r="T29" s="207">
        <f t="shared" si="6"/>
        <v>15.49837338256836</v>
      </c>
      <c r="U29" s="224">
        <f t="shared" si="8"/>
        <v>15.49837338256836</v>
      </c>
      <c r="V29" s="14" t="s">
        <v>25</v>
      </c>
      <c r="W29" s="207"/>
      <c r="X29" s="207"/>
      <c r="Y29" s="206"/>
      <c r="Z29" s="206"/>
      <c r="AA29" s="206"/>
      <c r="AB29" s="206"/>
    </row>
    <row r="30" spans="1:28" ht="15.75" customHeight="1">
      <c r="A30" s="10" t="str">
        <f>'DMRE 2017EB'!N59</f>
        <v>Construction</v>
      </c>
      <c r="C30" s="204">
        <f t="array" ref="C30">SUMPRODUCT('DMRE 2017EB'!$Y$4:$AS$101*('DMRE 2017EB'!$N$4:$N$101=$A30)*('DMRE 2017EB'!$Y$2:$AS$2=C$4))</f>
        <v>0</v>
      </c>
      <c r="D30" s="204">
        <f t="array" ref="D30">SUMPRODUCT('DMRE 2017EB'!$Y$4:$AS$101*('DMRE 2017EB'!$N$4:$N$101=$A30)*('DMRE 2017EB'!$Y$2:$AS$2=D$4))</f>
        <v>0</v>
      </c>
      <c r="E30" s="204">
        <f t="array" ref="E30">SUMPRODUCT('DMRE 2017EB'!$Y$4:$AS$101*('DMRE 2017EB'!$N$4:$N$101=$A30)*('DMRE 2017EB'!$Y$2:$AS$2=E$4))</f>
        <v>0</v>
      </c>
      <c r="F30" s="204">
        <f t="array" ref="F30">SUMPRODUCT('DMRE 2017EB'!$Y$4:$AS$101*('DMRE 2017EB'!$N$4:$N$101=$A30)*('DMRE 2017EB'!$Y$2:$AS$2=F$4))</f>
        <v>0</v>
      </c>
      <c r="G30" s="204">
        <f t="array" ref="G30">SUMPRODUCT('DMRE 2017EB'!$Y$4:$AS$101*('DMRE 2017EB'!$N$4:$N$101=$A30)*('DMRE 2017EB'!$Y$2:$AS$2=G$4))</f>
        <v>0</v>
      </c>
      <c r="H30" s="204">
        <f t="array" ref="H30">SUMPRODUCT('DMRE 2017EB'!$Y$4:$AS$101*('DMRE 2017EB'!$N$4:$N$101=$A30)*('DMRE 2017EB'!$Y$2:$AS$2=H$4))</f>
        <v>0</v>
      </c>
      <c r="I30" s="204">
        <f t="array" ref="I30">SUMPRODUCT('DMRE 2017EB'!$Y$4:$AS$101*('DMRE 2017EB'!$N$4:$N$101=$A30)*('DMRE 2017EB'!$Y$2:$AS$2=I$4))</f>
        <v>0</v>
      </c>
      <c r="J30" s="220">
        <f>SUMIF('DMRE 2017EB'!$A$4:$A$80,gas!A30,'DMRE 2017EB'!$E$4:$E$80)</f>
        <v>0</v>
      </c>
      <c r="K30" s="1"/>
      <c r="L30" s="14" t="s">
        <v>458</v>
      </c>
      <c r="M30" s="14">
        <v>23.2</v>
      </c>
      <c r="N30" s="10">
        <f t="shared" si="9"/>
        <v>24.475999999999999</v>
      </c>
      <c r="R30" s="14" t="str">
        <f t="shared" si="7"/>
        <v>Transport Equipment</v>
      </c>
      <c r="T30" s="207">
        <f t="shared" si="6"/>
        <v>0.66913997936248781</v>
      </c>
      <c r="U30" s="224">
        <f t="shared" si="8"/>
        <v>0.66913997936248781</v>
      </c>
      <c r="V30" s="14" t="s">
        <v>25</v>
      </c>
      <c r="W30" s="207"/>
      <c r="X30" s="206"/>
    </row>
    <row r="31" spans="1:28" ht="15.75" customHeight="1">
      <c r="A31" s="10" t="str">
        <f>'DMRE 2017EB'!N60</f>
        <v>Textile and Leather</v>
      </c>
      <c r="C31" s="204">
        <f t="array" ref="C31">SUMPRODUCT('DMRE 2017EB'!$Y$4:$AS$101*('DMRE 2017EB'!$N$4:$N$101=$A31)*('DMRE 2017EB'!$Y$2:$AS$2=C$4))</f>
        <v>14.420000076293945</v>
      </c>
      <c r="D31" s="204">
        <f t="array" ref="D31">SUMPRODUCT('DMRE 2017EB'!$Y$4:$AS$101*('DMRE 2017EB'!$N$4:$N$101=$A31)*('DMRE 2017EB'!$Y$2:$AS$2=D$4))</f>
        <v>0</v>
      </c>
      <c r="E31" s="204">
        <f t="array" ref="E31">SUMPRODUCT('DMRE 2017EB'!$Y$4:$AS$101*('DMRE 2017EB'!$N$4:$N$101=$A31)*('DMRE 2017EB'!$Y$2:$AS$2=E$4))</f>
        <v>0</v>
      </c>
      <c r="F31" s="204">
        <f t="array" ref="F31">SUMPRODUCT('DMRE 2017EB'!$Y$4:$AS$101*('DMRE 2017EB'!$N$4:$N$101=$A31)*('DMRE 2017EB'!$Y$2:$AS$2=F$4))</f>
        <v>0</v>
      </c>
      <c r="G31" s="204">
        <f t="array" ref="G31">SUMPRODUCT('DMRE 2017EB'!$Y$4:$AS$101*('DMRE 2017EB'!$N$4:$N$101=$A31)*('DMRE 2017EB'!$Y$2:$AS$2=G$4))</f>
        <v>0</v>
      </c>
      <c r="H31" s="204">
        <f t="array" ref="H31">SUMPRODUCT('DMRE 2017EB'!$Y$4:$AS$101*('DMRE 2017EB'!$N$4:$N$101=$A31)*('DMRE 2017EB'!$Y$2:$AS$2=H$4))</f>
        <v>0</v>
      </c>
      <c r="I31" s="204">
        <f t="array" ref="I31">SUMPRODUCT('DMRE 2017EB'!$Y$4:$AS$101*('DMRE 2017EB'!$N$4:$N$101=$A31)*('DMRE 2017EB'!$Y$2:$AS$2=I$4))</f>
        <v>0</v>
      </c>
      <c r="J31" s="220">
        <f>SUMIF('DMRE 2017EB'!$A$4:$A$80,gas!A31,'DMRE 2017EB'!$E$4:$E$80)</f>
        <v>14.42</v>
      </c>
      <c r="K31" s="1"/>
      <c r="R31" s="14" t="str">
        <f t="shared" si="7"/>
        <v>Machinery</v>
      </c>
      <c r="T31" s="207">
        <f t="shared" si="6"/>
        <v>1.4128140563964844</v>
      </c>
      <c r="U31" s="224">
        <f t="shared" si="8"/>
        <v>1.4128140563964844</v>
      </c>
      <c r="V31" s="14" t="s">
        <v>25</v>
      </c>
      <c r="W31" s="206"/>
      <c r="Y31" s="205"/>
      <c r="Z31" s="205"/>
      <c r="AA31" s="205"/>
      <c r="AB31" s="205"/>
    </row>
    <row r="32" spans="1:28" ht="15.75" customHeight="1">
      <c r="A32" s="10" t="str">
        <f>'DMRE 2017EB'!N61</f>
        <v>Non-specified (Industry)</v>
      </c>
      <c r="C32" s="204">
        <f t="array" ref="C32">SUMPRODUCT('DMRE 2017EB'!$Y$4:$AS$101*('DMRE 2017EB'!$N$4:$N$101=$A32)*('DMRE 2017EB'!$Y$2:$AS$2=C$4))</f>
        <v>2565.688232421875</v>
      </c>
      <c r="D32" s="204">
        <f t="array" ref="D32">SUMPRODUCT('DMRE 2017EB'!$Y$4:$AS$101*('DMRE 2017EB'!$N$4:$N$101=$A32)*('DMRE 2017EB'!$Y$2:$AS$2=D$4))</f>
        <v>2038.2149658203125</v>
      </c>
      <c r="E32" s="204">
        <f t="array" ref="E32">SUMPRODUCT('DMRE 2017EB'!$Y$4:$AS$101*('DMRE 2017EB'!$N$4:$N$101=$A32)*('DMRE 2017EB'!$Y$2:$AS$2=E$4))</f>
        <v>0</v>
      </c>
      <c r="F32" s="204">
        <f t="array" ref="F32">SUMPRODUCT('DMRE 2017EB'!$Y$4:$AS$101*('DMRE 2017EB'!$N$4:$N$101=$A32)*('DMRE 2017EB'!$Y$2:$AS$2=F$4))</f>
        <v>0</v>
      </c>
      <c r="G32" s="204">
        <f t="array" ref="G32">SUMPRODUCT('DMRE 2017EB'!$Y$4:$AS$101*('DMRE 2017EB'!$N$4:$N$101=$A32)*('DMRE 2017EB'!$Y$2:$AS$2=G$4))</f>
        <v>0</v>
      </c>
      <c r="H32" s="204">
        <f t="array" ref="H32">SUMPRODUCT('DMRE 2017EB'!$Y$4:$AS$101*('DMRE 2017EB'!$N$4:$N$101=$A32)*('DMRE 2017EB'!$Y$2:$AS$2=H$4))</f>
        <v>0</v>
      </c>
      <c r="I32" s="204">
        <f t="array" ref="I32">SUMPRODUCT('DMRE 2017EB'!$Y$4:$AS$101*('DMRE 2017EB'!$N$4:$N$101=$A32)*('DMRE 2017EB'!$Y$2:$AS$2=I$4))</f>
        <v>0</v>
      </c>
      <c r="J32" s="220">
        <f>SUMIF('DMRE 2017EB'!$A$4:$A$80,gas!A32,'DMRE 2017EB'!$E$4:$E$80)</f>
        <v>4603.8999999999996</v>
      </c>
      <c r="K32" s="1"/>
      <c r="L32" s="14" t="s">
        <v>459</v>
      </c>
      <c r="M32" s="10">
        <f>M29-M30</f>
        <v>143.4</v>
      </c>
      <c r="N32" s="10">
        <f t="shared" ref="N32:N33" si="10">M32*1.055</f>
        <v>151.28700000000001</v>
      </c>
      <c r="R32" s="14" t="str">
        <f t="shared" si="7"/>
        <v>Mining and Quarrying</v>
      </c>
      <c r="T32" s="207">
        <f t="shared" si="6"/>
        <v>1.0014639892578125</v>
      </c>
      <c r="U32" s="224">
        <f t="shared" si="8"/>
        <v>1.0014639892578125</v>
      </c>
      <c r="V32" s="14" t="s">
        <v>25</v>
      </c>
      <c r="X32" s="205"/>
      <c r="Y32" s="224"/>
      <c r="Z32" s="224"/>
      <c r="AA32" s="224"/>
      <c r="AB32" s="224"/>
    </row>
    <row r="33" spans="1:28" ht="15.75" customHeight="1">
      <c r="A33" s="212" t="str">
        <f>'DMRE 2017EB'!N72</f>
        <v>Other Sectors</v>
      </c>
      <c r="B33" s="212"/>
      <c r="C33" s="213">
        <f t="array" ref="C33">SUMPRODUCT('DMRE 2017EB'!$Y$4:$AS$101*('DMRE 2017EB'!$N$4:$N$101=$A33)*('DMRE 2017EB'!$Y$2:$AS$2=C$4))</f>
        <v>1452.7976531982422</v>
      </c>
      <c r="D33" s="213">
        <f t="array" ref="D33">SUMPRODUCT('DMRE 2017EB'!$Y$4:$AS$101*('DMRE 2017EB'!$N$4:$N$101=$A33)*('DMRE 2017EB'!$Y$2:$AS$2=D$4))</f>
        <v>0</v>
      </c>
      <c r="E33" s="213">
        <f t="array" ref="E33">SUMPRODUCT('DMRE 2017EB'!$Y$4:$AS$101*('DMRE 2017EB'!$N$4:$N$101=$A33)*('DMRE 2017EB'!$Y$2:$AS$2=E$4))</f>
        <v>0</v>
      </c>
      <c r="F33" s="213">
        <f t="array" ref="F33">SUMPRODUCT('DMRE 2017EB'!$Y$4:$AS$101*('DMRE 2017EB'!$N$4:$N$101=$A33)*('DMRE 2017EB'!$Y$2:$AS$2=F$4))</f>
        <v>0</v>
      </c>
      <c r="G33" s="213">
        <f t="array" ref="G33">SUMPRODUCT('DMRE 2017EB'!$Y$4:$AS$101*('DMRE 2017EB'!$N$4:$N$101=$A33)*('DMRE 2017EB'!$Y$2:$AS$2=G$4))</f>
        <v>0</v>
      </c>
      <c r="H33" s="213">
        <f t="array" ref="H33">SUMPRODUCT('DMRE 2017EB'!$Y$4:$AS$101*('DMRE 2017EB'!$N$4:$N$101=$A33)*('DMRE 2017EB'!$Y$2:$AS$2=H$4))</f>
        <v>0</v>
      </c>
      <c r="I33" s="213">
        <f t="array" ref="I33">SUMPRODUCT('DMRE 2017EB'!$Y$4:$AS$101*('DMRE 2017EB'!$N$4:$N$101=$A33)*('DMRE 2017EB'!$Y$2:$AS$2=I$4))</f>
        <v>0</v>
      </c>
      <c r="J33" s="213">
        <f>SUMIF('DMRE 2017EB'!$A$4:$A$80,gas!A33,'DMRE 2017EB'!$E$4:$E$80)</f>
        <v>1452.8</v>
      </c>
      <c r="K33" s="212"/>
      <c r="L33" s="14" t="s">
        <v>460</v>
      </c>
      <c r="M33" s="14">
        <v>23.3</v>
      </c>
      <c r="N33" s="10">
        <f t="shared" si="10"/>
        <v>24.581499999999998</v>
      </c>
      <c r="R33" s="14" t="str">
        <f t="shared" si="7"/>
        <v>Food and Tobacco</v>
      </c>
      <c r="T33" s="207">
        <f t="shared" si="6"/>
        <v>7.3658288574218753</v>
      </c>
      <c r="U33" s="224">
        <f t="shared" si="8"/>
        <v>7.3658288574218753</v>
      </c>
      <c r="V33" s="14" t="s">
        <v>25</v>
      </c>
      <c r="W33" s="205"/>
      <c r="X33" s="224"/>
      <c r="Y33" s="224"/>
      <c r="Z33" s="224"/>
      <c r="AA33" s="224"/>
      <c r="AB33" s="224"/>
    </row>
    <row r="34" spans="1:28" ht="15.75" customHeight="1">
      <c r="A34" s="212" t="str">
        <f>'DMRE 2017EB'!N73</f>
        <v>Agriculture</v>
      </c>
      <c r="B34" s="212"/>
      <c r="C34" s="213">
        <f t="array" ref="C34">SUMPRODUCT('DMRE 2017EB'!$Y$4:$AS$101*('DMRE 2017EB'!$N$4:$N$101=$A34)*('DMRE 2017EB'!$Y$2:$AS$2=C$4))</f>
        <v>0</v>
      </c>
      <c r="D34" s="213">
        <f t="array" ref="D34">SUMPRODUCT('DMRE 2017EB'!$Y$4:$AS$101*('DMRE 2017EB'!$N$4:$N$101=$A34)*('DMRE 2017EB'!$Y$2:$AS$2=D$4))</f>
        <v>0</v>
      </c>
      <c r="E34" s="213">
        <f t="array" ref="E34">SUMPRODUCT('DMRE 2017EB'!$Y$4:$AS$101*('DMRE 2017EB'!$N$4:$N$101=$A34)*('DMRE 2017EB'!$Y$2:$AS$2=E$4))</f>
        <v>0</v>
      </c>
      <c r="F34" s="213">
        <f t="array" ref="F34">SUMPRODUCT('DMRE 2017EB'!$Y$4:$AS$101*('DMRE 2017EB'!$N$4:$N$101=$A34)*('DMRE 2017EB'!$Y$2:$AS$2=F$4))</f>
        <v>0</v>
      </c>
      <c r="G34" s="213">
        <f t="array" ref="G34">SUMPRODUCT('DMRE 2017EB'!$Y$4:$AS$101*('DMRE 2017EB'!$N$4:$N$101=$A34)*('DMRE 2017EB'!$Y$2:$AS$2=G$4))</f>
        <v>0</v>
      </c>
      <c r="H34" s="213">
        <f t="array" ref="H34">SUMPRODUCT('DMRE 2017EB'!$Y$4:$AS$101*('DMRE 2017EB'!$N$4:$N$101=$A34)*('DMRE 2017EB'!$Y$2:$AS$2=H$4))</f>
        <v>0</v>
      </c>
      <c r="I34" s="213">
        <f t="array" ref="I34">SUMPRODUCT('DMRE 2017EB'!$Y$4:$AS$101*('DMRE 2017EB'!$N$4:$N$101=$A34)*('DMRE 2017EB'!$Y$2:$AS$2=I$4))</f>
        <v>0</v>
      </c>
      <c r="J34" s="213">
        <f>SUMIF('DMRE 2017EB'!$A$4:$A$80,gas!A34,'DMRE 2017EB'!$E$4:$E$80)</f>
        <v>0</v>
      </c>
      <c r="K34" s="212"/>
      <c r="R34" s="14" t="str">
        <f t="shared" si="7"/>
        <v>Paper Pulp and Print</v>
      </c>
      <c r="T34" s="207">
        <f t="shared" si="6"/>
        <v>4.1653308105468749</v>
      </c>
      <c r="U34" s="224">
        <f t="shared" si="8"/>
        <v>4.1653308105468749</v>
      </c>
      <c r="V34" s="14" t="s">
        <v>25</v>
      </c>
      <c r="W34" s="224"/>
      <c r="X34" s="224"/>
      <c r="Y34" s="224"/>
      <c r="Z34" s="224"/>
      <c r="AA34" s="224"/>
      <c r="AB34" s="224"/>
    </row>
    <row r="35" spans="1:28" ht="15.75" customHeight="1">
      <c r="A35" s="212" t="str">
        <f>'DMRE 2017EB'!N74</f>
        <v>Commerce and Public Services</v>
      </c>
      <c r="B35" s="212"/>
      <c r="C35" s="213">
        <f t="array" ref="C35">SUMPRODUCT('DMRE 2017EB'!$Y$4:$AS$101*('DMRE 2017EB'!$N$4:$N$101=$A35)*('DMRE 2017EB'!$Y$2:$AS$2=C$4))</f>
        <v>1232.300537109375</v>
      </c>
      <c r="D35" s="213">
        <f t="array" ref="D35">SUMPRODUCT('DMRE 2017EB'!$Y$4:$AS$101*('DMRE 2017EB'!$N$4:$N$101=$A35)*('DMRE 2017EB'!$Y$2:$AS$2=D$4))</f>
        <v>0</v>
      </c>
      <c r="E35" s="213">
        <f t="array" ref="E35">SUMPRODUCT('DMRE 2017EB'!$Y$4:$AS$101*('DMRE 2017EB'!$N$4:$N$101=$A35)*('DMRE 2017EB'!$Y$2:$AS$2=E$4))</f>
        <v>0</v>
      </c>
      <c r="F35" s="213">
        <f t="array" ref="F35">SUMPRODUCT('DMRE 2017EB'!$Y$4:$AS$101*('DMRE 2017EB'!$N$4:$N$101=$A35)*('DMRE 2017EB'!$Y$2:$AS$2=F$4))</f>
        <v>0</v>
      </c>
      <c r="G35" s="213">
        <f t="array" ref="G35">SUMPRODUCT('DMRE 2017EB'!$Y$4:$AS$101*('DMRE 2017EB'!$N$4:$N$101=$A35)*('DMRE 2017EB'!$Y$2:$AS$2=G$4))</f>
        <v>0</v>
      </c>
      <c r="H35" s="213">
        <f t="array" ref="H35">SUMPRODUCT('DMRE 2017EB'!$Y$4:$AS$101*('DMRE 2017EB'!$N$4:$N$101=$A35)*('DMRE 2017EB'!$Y$2:$AS$2=H$4))</f>
        <v>0</v>
      </c>
      <c r="I35" s="213">
        <f t="array" ref="I35">SUMPRODUCT('DMRE 2017EB'!$Y$4:$AS$101*('DMRE 2017EB'!$N$4:$N$101=$A35)*('DMRE 2017EB'!$Y$2:$AS$2=I$4))</f>
        <v>0</v>
      </c>
      <c r="J35" s="213">
        <f>SUMIF('DMRE 2017EB'!$A$4:$A$80,gas!A35,'DMRE 2017EB'!$E$4:$E$80)</f>
        <v>1232.3</v>
      </c>
      <c r="K35" s="212"/>
      <c r="L35" s="14" t="s">
        <v>461</v>
      </c>
      <c r="M35" s="10">
        <f>M32+M33</f>
        <v>166.70000000000002</v>
      </c>
      <c r="N35" s="10">
        <f>M35*1.055</f>
        <v>175.86850000000001</v>
      </c>
      <c r="R35" s="14" t="str">
        <f t="shared" si="7"/>
        <v>Wood and Wood Products</v>
      </c>
      <c r="T35" s="207">
        <f t="shared" si="6"/>
        <v>0</v>
      </c>
      <c r="U35" s="224">
        <f t="shared" si="8"/>
        <v>0</v>
      </c>
      <c r="V35" s="14" t="s">
        <v>25</v>
      </c>
      <c r="W35" s="224"/>
      <c r="X35" s="224"/>
      <c r="Y35" s="224"/>
      <c r="Z35" s="224"/>
      <c r="AA35" s="224"/>
      <c r="AB35" s="224"/>
    </row>
    <row r="36" spans="1:28" ht="15.75" customHeight="1">
      <c r="A36" s="212" t="str">
        <f>'DMRE 2017EB'!N75</f>
        <v>Residential</v>
      </c>
      <c r="B36" s="212"/>
      <c r="C36" s="213">
        <f t="array" ref="C36">SUMPRODUCT('DMRE 2017EB'!$Y$4:$AS$101*('DMRE 2017EB'!$N$4:$N$101=$A36)*('DMRE 2017EB'!$Y$2:$AS$2=C$4))</f>
        <v>220.49711608886719</v>
      </c>
      <c r="D36" s="213">
        <f t="array" ref="D36">SUMPRODUCT('DMRE 2017EB'!$Y$4:$AS$101*('DMRE 2017EB'!$N$4:$N$101=$A36)*('DMRE 2017EB'!$Y$2:$AS$2=D$4))</f>
        <v>0</v>
      </c>
      <c r="E36" s="213">
        <f t="array" ref="E36">SUMPRODUCT('DMRE 2017EB'!$Y$4:$AS$101*('DMRE 2017EB'!$N$4:$N$101=$A36)*('DMRE 2017EB'!$Y$2:$AS$2=E$4))</f>
        <v>0</v>
      </c>
      <c r="F36" s="213">
        <f t="array" ref="F36">SUMPRODUCT('DMRE 2017EB'!$Y$4:$AS$101*('DMRE 2017EB'!$N$4:$N$101=$A36)*('DMRE 2017EB'!$Y$2:$AS$2=F$4))</f>
        <v>0</v>
      </c>
      <c r="G36" s="213">
        <f t="array" ref="G36">SUMPRODUCT('DMRE 2017EB'!$Y$4:$AS$101*('DMRE 2017EB'!$N$4:$N$101=$A36)*('DMRE 2017EB'!$Y$2:$AS$2=G$4))</f>
        <v>0</v>
      </c>
      <c r="H36" s="213">
        <f t="array" ref="H36">SUMPRODUCT('DMRE 2017EB'!$Y$4:$AS$101*('DMRE 2017EB'!$N$4:$N$101=$A36)*('DMRE 2017EB'!$Y$2:$AS$2=H$4))</f>
        <v>0</v>
      </c>
      <c r="I36" s="213">
        <f t="array" ref="I36">SUMPRODUCT('DMRE 2017EB'!$Y$4:$AS$101*('DMRE 2017EB'!$N$4:$N$101=$A36)*('DMRE 2017EB'!$Y$2:$AS$2=I$4))</f>
        <v>0</v>
      </c>
      <c r="J36" s="213">
        <f>SUMIF('DMRE 2017EB'!$A$4:$A$80,gas!A36,'DMRE 2017EB'!$E$4:$E$80)</f>
        <v>220.5</v>
      </c>
      <c r="K36" s="212"/>
      <c r="L36" s="14" t="s">
        <v>462</v>
      </c>
      <c r="N36" s="10">
        <f>SUM(N37:N39)</f>
        <v>115.94449999999999</v>
      </c>
      <c r="R36" s="14" t="str">
        <f t="shared" si="7"/>
        <v>Construction</v>
      </c>
      <c r="T36" s="207">
        <f t="shared" si="6"/>
        <v>0</v>
      </c>
      <c r="U36" s="224">
        <f t="shared" si="8"/>
        <v>0</v>
      </c>
      <c r="V36" s="14" t="s">
        <v>25</v>
      </c>
      <c r="W36" s="224"/>
      <c r="X36" s="224"/>
      <c r="Y36" s="224"/>
      <c r="Z36" s="224"/>
      <c r="AA36" s="224"/>
      <c r="AB36" s="224"/>
    </row>
    <row r="37" spans="1:28" ht="15.75" customHeight="1">
      <c r="L37" s="14" t="s">
        <v>463</v>
      </c>
      <c r="M37" s="14">
        <v>29.7</v>
      </c>
      <c r="N37" s="10">
        <f t="shared" ref="N37:N39" si="11">M37*1.055</f>
        <v>31.333499999999997</v>
      </c>
      <c r="R37" s="14" t="str">
        <f t="shared" si="7"/>
        <v>Textile and Leather</v>
      </c>
      <c r="T37" s="207">
        <f t="shared" si="6"/>
        <v>1.4420000076293946E-2</v>
      </c>
      <c r="U37" s="224">
        <f t="shared" si="8"/>
        <v>1.4420000076293946E-2</v>
      </c>
      <c r="V37" s="14" t="s">
        <v>25</v>
      </c>
      <c r="W37" s="224"/>
      <c r="X37" s="224"/>
      <c r="Y37" s="224"/>
      <c r="Z37" s="224"/>
      <c r="AA37" s="224"/>
      <c r="AB37" s="224"/>
    </row>
    <row r="38" spans="1:28" ht="15.75" customHeight="1">
      <c r="C38" s="22">
        <f t="shared" ref="C38:D38" si="12">C18-C21</f>
        <v>35697.667818069458</v>
      </c>
      <c r="D38" s="22">
        <f t="shared" si="12"/>
        <v>18667.892909049988</v>
      </c>
      <c r="E38" s="22">
        <f>D38+C38</f>
        <v>54365.560727119446</v>
      </c>
      <c r="F38" s="207">
        <f>E38*65.1/1000</f>
        <v>3539.1980033354753</v>
      </c>
      <c r="G38" s="10">
        <f>C38*56.1/1000</f>
        <v>2002.6391645936967</v>
      </c>
      <c r="H38" s="10">
        <f>D38*41/1000</f>
        <v>765.38360927104952</v>
      </c>
      <c r="I38" s="10">
        <f>H38+G38</f>
        <v>2768.0227738647463</v>
      </c>
      <c r="L38" s="14" t="s">
        <v>464</v>
      </c>
      <c r="M38" s="14">
        <v>35.6</v>
      </c>
      <c r="N38" s="10">
        <f t="shared" si="11"/>
        <v>37.558</v>
      </c>
      <c r="R38" s="14" t="str">
        <f t="shared" si="7"/>
        <v>Non-specified (Industry)</v>
      </c>
      <c r="T38" s="207">
        <f t="shared" si="6"/>
        <v>4.6039031982421879</v>
      </c>
      <c r="U38" s="224">
        <f t="shared" si="8"/>
        <v>4.6039031982421879</v>
      </c>
      <c r="V38" s="14" t="s">
        <v>25</v>
      </c>
      <c r="W38" s="224"/>
      <c r="X38" s="224"/>
      <c r="Y38" s="224"/>
      <c r="Z38" s="224"/>
      <c r="AA38" s="224"/>
      <c r="AB38" s="224"/>
    </row>
    <row r="39" spans="1:28" ht="15.75" customHeight="1">
      <c r="A39" s="1" t="s">
        <v>465</v>
      </c>
      <c r="C39" s="3" t="str">
        <f>C4</f>
        <v>Natural Gas</v>
      </c>
      <c r="F39" s="10">
        <f>F38/I38</f>
        <v>1.2786014756641633</v>
      </c>
      <c r="L39" s="14" t="s">
        <v>466</v>
      </c>
      <c r="M39" s="14">
        <v>44.6</v>
      </c>
      <c r="N39" s="10">
        <f t="shared" si="11"/>
        <v>47.052999999999997</v>
      </c>
      <c r="R39" s="15" t="s">
        <v>151</v>
      </c>
      <c r="S39" s="205"/>
      <c r="T39" s="206">
        <f t="shared" ref="T39:U39" si="13">SUM(T40:T42)</f>
        <v>1.4527976531982421</v>
      </c>
      <c r="U39" s="217">
        <f t="shared" si="13"/>
        <v>1.4527976531982421</v>
      </c>
      <c r="W39" s="224"/>
      <c r="X39" s="224"/>
      <c r="Y39" s="224"/>
      <c r="Z39" s="224"/>
      <c r="AA39" s="224"/>
      <c r="AB39" s="224"/>
    </row>
    <row r="40" spans="1:28" ht="15.75" customHeight="1">
      <c r="A40" s="1" t="s">
        <v>44</v>
      </c>
      <c r="C40" s="10">
        <f>SUMIF(Inventory!$A$49:$A$56,$A40,Inventory!$D$49:$D$56)</f>
        <v>0</v>
      </c>
      <c r="D40" s="1" t="s">
        <v>467</v>
      </c>
      <c r="L40" s="14" t="s">
        <v>468</v>
      </c>
      <c r="M40" s="14">
        <v>56.8</v>
      </c>
      <c r="N40" s="205">
        <v>59.923999999999992</v>
      </c>
      <c r="R40" s="14" t="str">
        <f t="shared" ref="R40:R42" si="14">A34</f>
        <v>Agriculture</v>
      </c>
      <c r="T40" s="207">
        <f t="shared" ref="T40:T42" si="15">U40</f>
        <v>0</v>
      </c>
      <c r="U40" s="224">
        <f t="shared" ref="U40:U42" si="16">(C34+D34)/1000</f>
        <v>0</v>
      </c>
      <c r="V40" s="14" t="s">
        <v>25</v>
      </c>
      <c r="W40" s="224"/>
      <c r="X40" s="224"/>
      <c r="Y40" s="227"/>
      <c r="Z40" s="227"/>
      <c r="AA40" s="227"/>
      <c r="AB40" s="227"/>
    </row>
    <row r="41" spans="1:28" ht="15.75" customHeight="1">
      <c r="A41" s="10" t="s">
        <v>136</v>
      </c>
      <c r="C41" s="10">
        <f>SUMIF(Inventory!$A$49:$A$56,$A41,Inventory!$D$49:$D$56)</f>
        <v>0</v>
      </c>
      <c r="R41" s="14" t="str">
        <f t="shared" si="14"/>
        <v>Commerce and Public Services</v>
      </c>
      <c r="T41" s="207">
        <f t="shared" si="15"/>
        <v>1.2323005371093749</v>
      </c>
      <c r="U41" s="224">
        <f t="shared" si="16"/>
        <v>1.2323005371093749</v>
      </c>
      <c r="V41" s="14" t="s">
        <v>25</v>
      </c>
      <c r="W41" s="224"/>
      <c r="X41" s="227"/>
      <c r="Y41" s="224"/>
      <c r="Z41" s="224"/>
      <c r="AA41" s="224"/>
      <c r="AB41" s="224"/>
    </row>
    <row r="42" spans="1:28" ht="15.75" customHeight="1">
      <c r="A42" s="10" t="s">
        <v>143</v>
      </c>
      <c r="C42" s="10">
        <f>SUMIF(Inventory!$A$49:$A$56,$A42,Inventory!$D$49:$D$56)</f>
        <v>0</v>
      </c>
      <c r="L42" s="15" t="s">
        <v>469</v>
      </c>
      <c r="R42" s="14" t="str">
        <f t="shared" si="14"/>
        <v>Residential</v>
      </c>
      <c r="T42" s="207">
        <f t="shared" si="15"/>
        <v>0.22049711608886718</v>
      </c>
      <c r="U42" s="224">
        <f t="shared" si="16"/>
        <v>0.22049711608886718</v>
      </c>
      <c r="V42" s="14" t="s">
        <v>25</v>
      </c>
      <c r="W42" s="227"/>
      <c r="X42" s="224"/>
      <c r="Y42" s="224"/>
      <c r="Z42" s="224"/>
      <c r="AA42" s="224"/>
      <c r="AB42" s="224"/>
    </row>
    <row r="43" spans="1:28" ht="15.75" customHeight="1">
      <c r="A43" s="10" t="s">
        <v>41</v>
      </c>
      <c r="C43" s="10">
        <f>SUMIF(Inventory!$A$49:$A$56,$A43,Inventory!$D$49:$D$56)</f>
        <v>0</v>
      </c>
      <c r="L43" s="14" t="s">
        <v>470</v>
      </c>
      <c r="N43" s="222">
        <f>D64/1000000</f>
        <v>28.640346999999998</v>
      </c>
      <c r="U43" s="224"/>
      <c r="V43" s="224"/>
      <c r="W43" s="224"/>
      <c r="X43" s="224"/>
      <c r="Y43" s="224"/>
      <c r="Z43" s="224"/>
      <c r="AA43" s="224"/>
      <c r="AB43" s="224"/>
    </row>
    <row r="44" spans="1:28" ht="15.75" customHeight="1">
      <c r="A44" s="10" t="s">
        <v>152</v>
      </c>
      <c r="C44" s="10">
        <f>SUMIF(Inventory!$A$49:$A$56,$A44,Inventory!$D$49:$D$56)</f>
        <v>0</v>
      </c>
      <c r="L44" s="14" t="s">
        <v>471</v>
      </c>
      <c r="N44" s="207">
        <f>O63</f>
        <v>25.323368983957216</v>
      </c>
      <c r="R44" s="14" t="s">
        <v>472</v>
      </c>
      <c r="T44" s="227"/>
      <c r="U44" s="224">
        <f>U39+SUM(U25:U38)</f>
        <v>59.924000000000007</v>
      </c>
      <c r="V44" s="224"/>
      <c r="W44" s="224"/>
      <c r="X44" s="224"/>
      <c r="Y44" s="224"/>
      <c r="Z44" s="224"/>
      <c r="AA44" s="224"/>
      <c r="AB44" s="224"/>
    </row>
    <row r="45" spans="1:28" ht="15.75" customHeight="1">
      <c r="A45" s="10" t="s">
        <v>56</v>
      </c>
      <c r="C45" s="10">
        <f>SUMIF(Inventory!$A$49:$A$56,$A45,Inventory!$D$49:$D$56)</f>
        <v>0</v>
      </c>
      <c r="L45" s="14" t="s">
        <v>473</v>
      </c>
      <c r="N45" s="222">
        <f>D68/1000000</f>
        <v>0.91098800000000002</v>
      </c>
      <c r="U45" s="224"/>
      <c r="V45" s="224"/>
      <c r="W45" s="224"/>
      <c r="X45" s="224"/>
      <c r="Y45" s="224"/>
      <c r="Z45" s="224"/>
      <c r="AA45" s="224"/>
      <c r="AB45" s="224"/>
    </row>
    <row r="46" spans="1:28" ht="15.75" customHeight="1">
      <c r="A46" s="10" t="s">
        <v>58</v>
      </c>
      <c r="C46" s="10">
        <f>SUMIF(Inventory!$A$49:$A$56,$A46,Inventory!$D$49:$D$56)</f>
        <v>0</v>
      </c>
      <c r="L46" s="15" t="s">
        <v>474</v>
      </c>
      <c r="N46" s="207"/>
      <c r="U46" s="224"/>
      <c r="V46" s="224"/>
      <c r="W46" s="224"/>
      <c r="X46" s="224"/>
      <c r="Y46" s="224"/>
      <c r="Z46" s="224"/>
      <c r="AA46" s="224"/>
      <c r="AB46" s="224"/>
    </row>
    <row r="47" spans="1:28" ht="15.75" customHeight="1">
      <c r="A47" s="10" t="s">
        <v>107</v>
      </c>
      <c r="C47" s="10">
        <f>SUMIF(Inventory!$A$49:$A$56,$A47,Inventory!$D$49:$D$56)</f>
        <v>0</v>
      </c>
      <c r="L47" s="14" t="s">
        <v>475</v>
      </c>
      <c r="N47" s="207">
        <f>N36-SUM(N48:N51)</f>
        <v>23.300217690909065</v>
      </c>
      <c r="U47" s="224"/>
      <c r="V47" s="224"/>
      <c r="W47" s="224"/>
      <c r="X47" s="224"/>
      <c r="Y47" s="224"/>
      <c r="Z47" s="224"/>
      <c r="AA47" s="224"/>
      <c r="AB47" s="224"/>
    </row>
    <row r="48" spans="1:28" ht="15.75" customHeight="1">
      <c r="L48" s="14" t="s">
        <v>476</v>
      </c>
      <c r="N48" s="207">
        <f>N38</f>
        <v>37.558</v>
      </c>
      <c r="U48" s="224"/>
      <c r="V48" s="224"/>
      <c r="W48" s="224"/>
      <c r="X48" s="224"/>
      <c r="Y48" s="224"/>
      <c r="Z48" s="224"/>
      <c r="AA48" s="224"/>
      <c r="AB48" s="224"/>
    </row>
    <row r="49" spans="1:28" ht="15.75" customHeight="1">
      <c r="L49" s="14" t="s">
        <v>477</v>
      </c>
      <c r="N49" s="207">
        <f>('SATIM Energy balance 2017 (new)'!J44+'SATIM Energy balance 2017 (new)'!J43)/1000</f>
        <v>25.534947309090914</v>
      </c>
    </row>
    <row r="50" spans="1:28" ht="15.75" customHeight="1">
      <c r="L50" s="14" t="s">
        <v>478</v>
      </c>
      <c r="N50" s="228">
        <f>N43</f>
        <v>28.640346999999998</v>
      </c>
      <c r="O50" s="10">
        <f>0.00105*8760</f>
        <v>9.1979999999999986</v>
      </c>
      <c r="R50" s="14" t="s">
        <v>479</v>
      </c>
    </row>
    <row r="51" spans="1:28" ht="15.75" customHeight="1">
      <c r="A51" s="14" t="s">
        <v>423</v>
      </c>
      <c r="L51" s="14" t="s">
        <v>480</v>
      </c>
      <c r="N51" s="207">
        <f>N45</f>
        <v>0.91098800000000002</v>
      </c>
      <c r="R51" s="15" t="s">
        <v>481</v>
      </c>
      <c r="S51" s="14" t="s">
        <v>482</v>
      </c>
      <c r="T51" s="229" t="s">
        <v>483</v>
      </c>
      <c r="U51" s="14" t="s">
        <v>484</v>
      </c>
      <c r="V51" s="14" t="s">
        <v>485</v>
      </c>
      <c r="W51" s="14" t="s">
        <v>486</v>
      </c>
      <c r="X51" s="14" t="s">
        <v>487</v>
      </c>
      <c r="Y51" s="14" t="s">
        <v>429</v>
      </c>
      <c r="Z51" s="229" t="s">
        <v>488</v>
      </c>
      <c r="AA51" s="229" t="s">
        <v>489</v>
      </c>
      <c r="AB51" s="14" t="s">
        <v>490</v>
      </c>
    </row>
    <row r="52" spans="1:28" ht="15.75" customHeight="1">
      <c r="A52" s="14" t="s">
        <v>491</v>
      </c>
      <c r="L52" s="15" t="s">
        <v>462</v>
      </c>
      <c r="M52" s="205"/>
      <c r="N52" s="206">
        <f>SUM(N47:N51)</f>
        <v>115.94449999999998</v>
      </c>
      <c r="R52" s="14" t="s">
        <v>475</v>
      </c>
      <c r="S52" s="14" t="s">
        <v>492</v>
      </c>
      <c r="T52" s="14" t="s">
        <v>493</v>
      </c>
      <c r="U52" s="222">
        <f>N47</f>
        <v>23.300217690909065</v>
      </c>
      <c r="V52" s="14">
        <v>51.8</v>
      </c>
      <c r="W52" s="14" t="s">
        <v>494</v>
      </c>
      <c r="X52" s="14" t="s">
        <v>495</v>
      </c>
      <c r="Y52" s="14" t="s">
        <v>496</v>
      </c>
      <c r="Z52" s="14" t="s">
        <v>497</v>
      </c>
      <c r="AA52" s="14"/>
      <c r="AB52" s="14" t="s">
        <v>498</v>
      </c>
    </row>
    <row r="53" spans="1:28" ht="15.75" customHeight="1">
      <c r="A53" s="451" t="s">
        <v>499</v>
      </c>
      <c r="B53" s="433"/>
      <c r="C53" s="433"/>
      <c r="D53" s="433"/>
      <c r="E53" s="433"/>
      <c r="F53" s="433"/>
      <c r="G53" s="433"/>
      <c r="H53" s="230"/>
      <c r="I53" s="230"/>
      <c r="J53" s="230"/>
      <c r="K53" s="230"/>
      <c r="R53" s="14" t="s">
        <v>500</v>
      </c>
      <c r="S53" s="14" t="s">
        <v>501</v>
      </c>
      <c r="T53" s="14" t="s">
        <v>493</v>
      </c>
      <c r="U53" s="207">
        <f>N43</f>
        <v>28.640346999999998</v>
      </c>
      <c r="V53" s="14">
        <v>0</v>
      </c>
      <c r="W53" s="14" t="s">
        <v>494</v>
      </c>
      <c r="X53" s="14" t="s">
        <v>495</v>
      </c>
      <c r="Y53" s="14" t="s">
        <v>496</v>
      </c>
      <c r="Z53" s="14" t="s">
        <v>497</v>
      </c>
      <c r="AA53" s="14"/>
      <c r="AB53" s="14" t="s">
        <v>498</v>
      </c>
    </row>
    <row r="54" spans="1:28" ht="15.75" customHeight="1">
      <c r="A54" s="442" t="s">
        <v>502</v>
      </c>
      <c r="B54" s="435"/>
      <c r="C54" s="445" t="s">
        <v>503</v>
      </c>
      <c r="D54" s="446"/>
      <c r="E54" s="446"/>
      <c r="F54" s="446"/>
      <c r="G54" s="446"/>
      <c r="H54" s="446"/>
      <c r="I54" s="446"/>
      <c r="J54" s="446"/>
      <c r="K54" s="446"/>
      <c r="L54" s="446"/>
      <c r="M54" s="446"/>
      <c r="N54" s="435"/>
    </row>
    <row r="55" spans="1:28" ht="15.75" customHeight="1">
      <c r="A55" s="442" t="s">
        <v>504</v>
      </c>
      <c r="B55" s="435"/>
      <c r="C55" s="452">
        <v>170500107</v>
      </c>
      <c r="D55" s="446"/>
      <c r="E55" s="446"/>
      <c r="F55" s="446"/>
      <c r="G55" s="446"/>
      <c r="H55" s="446"/>
      <c r="I55" s="446"/>
      <c r="J55" s="446"/>
      <c r="K55" s="446"/>
      <c r="L55" s="446"/>
      <c r="M55" s="446"/>
      <c r="N55" s="435"/>
      <c r="R55" s="14" t="s">
        <v>441</v>
      </c>
      <c r="S55" s="14" t="s">
        <v>505</v>
      </c>
      <c r="T55" s="14" t="s">
        <v>506</v>
      </c>
      <c r="V55" s="14" t="s">
        <v>507</v>
      </c>
      <c r="W55" s="14" t="s">
        <v>508</v>
      </c>
      <c r="X55" s="14" t="s">
        <v>509</v>
      </c>
      <c r="Y55" s="14" t="s">
        <v>444</v>
      </c>
      <c r="Z55" s="14" t="s">
        <v>510</v>
      </c>
      <c r="AA55" s="14" t="s">
        <v>511</v>
      </c>
      <c r="AB55" s="14" t="s">
        <v>498</v>
      </c>
    </row>
    <row r="56" spans="1:28" ht="15.75" customHeight="1">
      <c r="A56" s="442" t="s">
        <v>512</v>
      </c>
      <c r="B56" s="435"/>
      <c r="C56" s="453">
        <v>43190</v>
      </c>
      <c r="D56" s="446"/>
      <c r="E56" s="446"/>
      <c r="F56" s="446"/>
      <c r="G56" s="446"/>
      <c r="H56" s="446"/>
      <c r="I56" s="446"/>
      <c r="J56" s="446"/>
      <c r="K56" s="446"/>
      <c r="L56" s="446"/>
      <c r="M56" s="446"/>
      <c r="N56" s="435"/>
      <c r="T56" s="14" t="s">
        <v>493</v>
      </c>
      <c r="U56" s="222">
        <f>33*1.055*D76/1000000</f>
        <v>10.898592044999999</v>
      </c>
      <c r="V56" s="14" t="s">
        <v>507</v>
      </c>
      <c r="W56" s="14" t="s">
        <v>513</v>
      </c>
      <c r="X56" s="14" t="s">
        <v>514</v>
      </c>
      <c r="Y56" s="14" t="s">
        <v>515</v>
      </c>
      <c r="Z56" s="14" t="s">
        <v>516</v>
      </c>
      <c r="AA56" s="14" t="s">
        <v>497</v>
      </c>
      <c r="AB56" s="14" t="s">
        <v>498</v>
      </c>
    </row>
    <row r="57" spans="1:28" ht="15.75" customHeight="1">
      <c r="A57" s="442" t="s">
        <v>517</v>
      </c>
      <c r="B57" s="435"/>
      <c r="C57" s="445" t="s">
        <v>518</v>
      </c>
      <c r="D57" s="446"/>
      <c r="E57" s="446"/>
      <c r="F57" s="446"/>
      <c r="G57" s="446"/>
      <c r="H57" s="446"/>
      <c r="I57" s="446"/>
      <c r="J57" s="446"/>
      <c r="K57" s="446"/>
      <c r="L57" s="446"/>
      <c r="M57" s="446"/>
      <c r="N57" s="435"/>
      <c r="S57" s="14" t="s">
        <v>519</v>
      </c>
      <c r="T57" s="14" t="s">
        <v>506</v>
      </c>
      <c r="V57" s="14" t="s">
        <v>507</v>
      </c>
      <c r="W57" s="14" t="s">
        <v>520</v>
      </c>
      <c r="Y57" s="14" t="s">
        <v>444</v>
      </c>
      <c r="Z57" s="14" t="s">
        <v>516</v>
      </c>
      <c r="AA57" s="14" t="s">
        <v>497</v>
      </c>
      <c r="AB57" s="14" t="s">
        <v>498</v>
      </c>
    </row>
    <row r="58" spans="1:28" ht="15.75" customHeight="1">
      <c r="A58" s="442" t="s">
        <v>521</v>
      </c>
      <c r="B58" s="446"/>
      <c r="C58" s="446"/>
      <c r="D58" s="446"/>
      <c r="E58" s="446"/>
      <c r="F58" s="446"/>
      <c r="G58" s="446"/>
      <c r="H58" s="446"/>
      <c r="I58" s="446"/>
      <c r="J58" s="446"/>
      <c r="K58" s="446"/>
      <c r="L58" s="446"/>
      <c r="M58" s="446"/>
      <c r="N58" s="435"/>
      <c r="W58" s="14" t="s">
        <v>522</v>
      </c>
      <c r="X58" s="14" t="s">
        <v>514</v>
      </c>
      <c r="Y58" s="14" t="s">
        <v>515</v>
      </c>
      <c r="Z58" s="14" t="s">
        <v>516</v>
      </c>
      <c r="AA58" s="14" t="s">
        <v>497</v>
      </c>
      <c r="AB58" s="14" t="s">
        <v>498</v>
      </c>
    </row>
    <row r="59" spans="1:28" ht="15.75" customHeight="1">
      <c r="A59" s="443" t="s">
        <v>523</v>
      </c>
      <c r="B59" s="444" t="s">
        <v>524</v>
      </c>
      <c r="C59" s="447" t="s">
        <v>525</v>
      </c>
      <c r="D59" s="446"/>
      <c r="E59" s="435"/>
      <c r="F59" s="447" t="s">
        <v>526</v>
      </c>
      <c r="G59" s="446"/>
      <c r="H59" s="446"/>
      <c r="I59" s="446"/>
      <c r="J59" s="446"/>
      <c r="K59" s="446"/>
      <c r="L59" s="446"/>
      <c r="M59" s="446"/>
      <c r="N59" s="435"/>
      <c r="R59" s="14" t="s">
        <v>527</v>
      </c>
      <c r="S59" s="231" t="s">
        <v>528</v>
      </c>
      <c r="T59" s="14" t="s">
        <v>493</v>
      </c>
      <c r="U59" s="207">
        <f>'SATIM Energy balance 2017 (new)'!J44/1000</f>
        <v>19.17791290909091</v>
      </c>
      <c r="V59" s="14">
        <v>16.7</v>
      </c>
      <c r="W59" s="14" t="s">
        <v>494</v>
      </c>
      <c r="X59" s="14" t="s">
        <v>529</v>
      </c>
      <c r="Y59" s="14" t="s">
        <v>530</v>
      </c>
      <c r="Z59" s="14" t="s">
        <v>497</v>
      </c>
      <c r="AA59" s="14" t="s">
        <v>497</v>
      </c>
      <c r="AB59" s="14" t="s">
        <v>531</v>
      </c>
    </row>
    <row r="60" spans="1:28" ht="15.75" customHeight="1">
      <c r="A60" s="437"/>
      <c r="B60" s="437"/>
      <c r="C60" s="443" t="s">
        <v>532</v>
      </c>
      <c r="D60" s="444" t="s">
        <v>533</v>
      </c>
      <c r="E60" s="444" t="s">
        <v>534</v>
      </c>
      <c r="F60" s="447" t="s">
        <v>535</v>
      </c>
      <c r="G60" s="446"/>
      <c r="H60" s="435"/>
      <c r="I60" s="447" t="s">
        <v>536</v>
      </c>
      <c r="J60" s="446"/>
      <c r="K60" s="435"/>
      <c r="L60" s="447" t="s">
        <v>537</v>
      </c>
      <c r="M60" s="446"/>
      <c r="N60" s="435"/>
      <c r="Q60" s="207"/>
      <c r="R60" s="14" t="s">
        <v>538</v>
      </c>
      <c r="S60" s="231" t="s">
        <v>539</v>
      </c>
      <c r="T60" s="14" t="s">
        <v>540</v>
      </c>
      <c r="U60" s="207">
        <f>'SATIM Energy balance 2017 (new)'!J43/1000</f>
        <v>6.3570344000000008</v>
      </c>
      <c r="V60" s="14">
        <v>6.7</v>
      </c>
      <c r="W60" s="14" t="s">
        <v>494</v>
      </c>
      <c r="X60" s="14" t="s">
        <v>529</v>
      </c>
      <c r="Y60" s="14" t="s">
        <v>530</v>
      </c>
      <c r="Z60" s="14" t="s">
        <v>497</v>
      </c>
      <c r="AA60" s="14" t="s">
        <v>497</v>
      </c>
      <c r="AB60" s="14" t="s">
        <v>531</v>
      </c>
    </row>
    <row r="61" spans="1:28" ht="15.75" customHeight="1">
      <c r="A61" s="438"/>
      <c r="B61" s="438"/>
      <c r="C61" s="438"/>
      <c r="D61" s="438"/>
      <c r="E61" s="438"/>
      <c r="F61" s="232" t="s">
        <v>541</v>
      </c>
      <c r="G61" s="232" t="s">
        <v>542</v>
      </c>
      <c r="H61" s="232" t="s">
        <v>543</v>
      </c>
      <c r="I61" s="232" t="s">
        <v>541</v>
      </c>
      <c r="J61" s="232" t="s">
        <v>542</v>
      </c>
      <c r="K61" s="232" t="s">
        <v>543</v>
      </c>
      <c r="L61" s="232" t="s">
        <v>541</v>
      </c>
      <c r="M61" s="232" t="s">
        <v>542</v>
      </c>
      <c r="N61" s="232" t="s">
        <v>543</v>
      </c>
    </row>
    <row r="62" spans="1:28" ht="15.75" customHeight="1">
      <c r="A62" s="233" t="s">
        <v>544</v>
      </c>
      <c r="B62" s="234" t="s">
        <v>545</v>
      </c>
      <c r="C62" s="234" t="s">
        <v>546</v>
      </c>
      <c r="D62" s="235">
        <v>14977374</v>
      </c>
      <c r="E62" s="234" t="s">
        <v>547</v>
      </c>
      <c r="F62" s="235">
        <v>25429246</v>
      </c>
      <c r="G62" s="236">
        <v>3</v>
      </c>
      <c r="H62" s="234" t="s">
        <v>548</v>
      </c>
      <c r="I62" s="237">
        <v>300</v>
      </c>
      <c r="J62" s="236">
        <v>1</v>
      </c>
      <c r="K62" s="234" t="s">
        <v>548</v>
      </c>
      <c r="L62" s="237">
        <v>449</v>
      </c>
      <c r="M62" s="236">
        <v>1</v>
      </c>
      <c r="N62" s="234" t="s">
        <v>548</v>
      </c>
      <c r="R62" s="14" t="s">
        <v>549</v>
      </c>
      <c r="T62" s="14" t="s">
        <v>540</v>
      </c>
      <c r="U62" s="224">
        <f t="shared" ref="U62:U63" si="17">U25+U23</f>
        <v>3.6902076364402778</v>
      </c>
      <c r="V62" s="14">
        <v>0</v>
      </c>
      <c r="W62" s="14" t="s">
        <v>494</v>
      </c>
      <c r="X62" s="14" t="s">
        <v>550</v>
      </c>
      <c r="Y62" s="14" t="s">
        <v>53</v>
      </c>
      <c r="Z62" s="14" t="s">
        <v>497</v>
      </c>
      <c r="AA62" s="14" t="s">
        <v>551</v>
      </c>
      <c r="AB62" s="14" t="s">
        <v>498</v>
      </c>
    </row>
    <row r="63" spans="1:28" ht="15.75" customHeight="1">
      <c r="A63" s="233" t="s">
        <v>544</v>
      </c>
      <c r="B63" s="234" t="s">
        <v>545</v>
      </c>
      <c r="C63" s="234" t="s">
        <v>552</v>
      </c>
      <c r="D63" s="235">
        <v>750271</v>
      </c>
      <c r="E63" s="238" t="s">
        <v>553</v>
      </c>
      <c r="F63" s="235">
        <v>1420641</v>
      </c>
      <c r="G63" s="236">
        <v>3</v>
      </c>
      <c r="H63" s="234" t="s">
        <v>548</v>
      </c>
      <c r="I63" s="237">
        <v>25.3</v>
      </c>
      <c r="J63" s="236">
        <v>1</v>
      </c>
      <c r="K63" s="234" t="s">
        <v>548</v>
      </c>
      <c r="L63" s="237">
        <v>2.5299999999999998</v>
      </c>
      <c r="M63" s="236">
        <v>1</v>
      </c>
      <c r="N63" s="234" t="s">
        <v>548</v>
      </c>
      <c r="O63" s="224">
        <f>F63/56.1/1000</f>
        <v>25.323368983957216</v>
      </c>
      <c r="P63" s="224">
        <f>D63*0.03825/1000</f>
        <v>28.697865750000002</v>
      </c>
      <c r="R63" s="14" t="s">
        <v>554</v>
      </c>
      <c r="T63" s="14" t="s">
        <v>555</v>
      </c>
      <c r="U63" s="224">
        <f t="shared" si="17"/>
        <v>29.438627591440277</v>
      </c>
      <c r="V63" s="14">
        <v>28.6</v>
      </c>
      <c r="W63" s="14" t="s">
        <v>494</v>
      </c>
      <c r="X63" s="14" t="s">
        <v>550</v>
      </c>
      <c r="Y63" s="14" t="s">
        <v>53</v>
      </c>
      <c r="Z63" s="14" t="s">
        <v>516</v>
      </c>
      <c r="AA63" s="14" t="s">
        <v>551</v>
      </c>
      <c r="AB63" s="14" t="s">
        <v>498</v>
      </c>
    </row>
    <row r="64" spans="1:28" ht="15.75" customHeight="1">
      <c r="A64" s="233" t="s">
        <v>544</v>
      </c>
      <c r="B64" s="234" t="s">
        <v>545</v>
      </c>
      <c r="C64" s="234" t="s">
        <v>556</v>
      </c>
      <c r="D64" s="235">
        <v>28640347</v>
      </c>
      <c r="E64" s="234" t="s">
        <v>557</v>
      </c>
      <c r="F64" s="235">
        <v>1194110</v>
      </c>
      <c r="G64" s="236">
        <v>3</v>
      </c>
      <c r="H64" s="234" t="s">
        <v>548</v>
      </c>
      <c r="I64" s="237">
        <v>21.3</v>
      </c>
      <c r="J64" s="236">
        <v>1</v>
      </c>
      <c r="K64" s="234" t="s">
        <v>548</v>
      </c>
      <c r="L64" s="237">
        <v>2.13</v>
      </c>
      <c r="M64" s="236">
        <v>1</v>
      </c>
      <c r="N64" s="234" t="s">
        <v>548</v>
      </c>
      <c r="O64" s="10">
        <f>F64/D64</f>
        <v>4.1693279763684428E-2</v>
      </c>
      <c r="R64" s="14" t="s">
        <v>47</v>
      </c>
      <c r="T64" s="14" t="s">
        <v>558</v>
      </c>
      <c r="U64" s="224">
        <f t="shared" ref="U64:U66" si="18">U27</f>
        <v>15.927381835937499</v>
      </c>
      <c r="V64" s="14">
        <v>4.7</v>
      </c>
      <c r="W64" s="14" t="s">
        <v>494</v>
      </c>
      <c r="X64" s="14" t="s">
        <v>550</v>
      </c>
      <c r="Y64" s="14" t="s">
        <v>53</v>
      </c>
      <c r="Z64" s="14" t="s">
        <v>497</v>
      </c>
      <c r="AA64" s="14" t="s">
        <v>60</v>
      </c>
      <c r="AB64" s="14" t="s">
        <v>498</v>
      </c>
    </row>
    <row r="65" spans="1:28" ht="15.75" customHeight="1">
      <c r="A65" s="233" t="s">
        <v>544</v>
      </c>
      <c r="B65" s="234" t="s">
        <v>545</v>
      </c>
      <c r="C65" s="234" t="s">
        <v>559</v>
      </c>
      <c r="D65" s="235">
        <v>1100948</v>
      </c>
      <c r="E65" s="234" t="s">
        <v>557</v>
      </c>
      <c r="F65" s="235">
        <v>118860</v>
      </c>
      <c r="G65" s="236">
        <v>3</v>
      </c>
      <c r="H65" s="234" t="s">
        <v>548</v>
      </c>
      <c r="I65" s="237">
        <v>4.5999999999999996</v>
      </c>
      <c r="J65" s="236">
        <v>1</v>
      </c>
      <c r="K65" s="234" t="s">
        <v>548</v>
      </c>
      <c r="L65" s="237">
        <v>0.92</v>
      </c>
      <c r="M65" s="236">
        <v>1</v>
      </c>
      <c r="N65" s="234" t="s">
        <v>548</v>
      </c>
      <c r="O65" s="14">
        <f>56/41</f>
        <v>1.3658536585365855</v>
      </c>
      <c r="R65" s="14" t="s">
        <v>50</v>
      </c>
      <c r="T65" s="14" t="s">
        <v>560</v>
      </c>
      <c r="U65" s="224">
        <f t="shared" si="18"/>
        <v>2.2541069641113283</v>
      </c>
      <c r="V65" s="14">
        <v>0.5</v>
      </c>
      <c r="W65" s="14" t="s">
        <v>494</v>
      </c>
      <c r="X65" s="14" t="s">
        <v>550</v>
      </c>
      <c r="Y65" s="14" t="s">
        <v>53</v>
      </c>
      <c r="Z65" s="14" t="s">
        <v>497</v>
      </c>
      <c r="AA65" s="14" t="s">
        <v>551</v>
      </c>
      <c r="AB65" s="14" t="s">
        <v>498</v>
      </c>
    </row>
    <row r="66" spans="1:28" ht="15.75" customHeight="1">
      <c r="A66" s="233" t="s">
        <v>544</v>
      </c>
      <c r="B66" s="234" t="s">
        <v>545</v>
      </c>
      <c r="C66" s="234" t="s">
        <v>561</v>
      </c>
      <c r="D66" s="235">
        <v>1199845</v>
      </c>
      <c r="E66" s="238" t="s">
        <v>553</v>
      </c>
      <c r="F66" s="235">
        <v>188429</v>
      </c>
      <c r="G66" s="236">
        <v>3</v>
      </c>
      <c r="H66" s="234" t="s">
        <v>548</v>
      </c>
      <c r="I66" s="237">
        <v>7.3</v>
      </c>
      <c r="J66" s="236">
        <v>1</v>
      </c>
      <c r="K66" s="234" t="s">
        <v>548</v>
      </c>
      <c r="L66" s="237">
        <v>1.46</v>
      </c>
      <c r="M66" s="236">
        <v>1</v>
      </c>
      <c r="N66" s="234" t="s">
        <v>548</v>
      </c>
      <c r="R66" s="14" t="s">
        <v>51</v>
      </c>
      <c r="T66" s="14" t="s">
        <v>562</v>
      </c>
      <c r="U66" s="224">
        <f t="shared" si="18"/>
        <v>15.49837338256836</v>
      </c>
      <c r="V66" s="14">
        <v>8.4</v>
      </c>
      <c r="W66" s="14" t="s">
        <v>494</v>
      </c>
      <c r="X66" s="14" t="s">
        <v>550</v>
      </c>
      <c r="Y66" s="14" t="s">
        <v>53</v>
      </c>
      <c r="Z66" s="14" t="s">
        <v>60</v>
      </c>
      <c r="AA66" s="14" t="s">
        <v>551</v>
      </c>
      <c r="AB66" s="14" t="s">
        <v>498</v>
      </c>
    </row>
    <row r="67" spans="1:28" ht="15.75" customHeight="1">
      <c r="A67" s="233" t="s">
        <v>544</v>
      </c>
      <c r="B67" s="234" t="s">
        <v>545</v>
      </c>
      <c r="C67" s="234" t="s">
        <v>563</v>
      </c>
      <c r="D67" s="235">
        <v>177871</v>
      </c>
      <c r="E67" s="238" t="s">
        <v>553</v>
      </c>
      <c r="F67" s="235">
        <v>68055</v>
      </c>
      <c r="G67" s="236">
        <v>3</v>
      </c>
      <c r="H67" s="234" t="s">
        <v>548</v>
      </c>
      <c r="I67" s="237">
        <v>1.2</v>
      </c>
      <c r="J67" s="236">
        <v>1</v>
      </c>
      <c r="K67" s="234" t="s">
        <v>548</v>
      </c>
      <c r="L67" s="237">
        <v>0.12</v>
      </c>
      <c r="M67" s="236">
        <v>1</v>
      </c>
      <c r="N67" s="234" t="s">
        <v>548</v>
      </c>
      <c r="R67" s="14" t="s">
        <v>45</v>
      </c>
      <c r="T67" s="14" t="s">
        <v>564</v>
      </c>
      <c r="U67" s="224">
        <f t="shared" ref="U67:U69" si="19">U32</f>
        <v>1.0014639892578125</v>
      </c>
      <c r="V67" s="14">
        <v>0</v>
      </c>
      <c r="W67" s="14" t="s">
        <v>494</v>
      </c>
      <c r="X67" s="14" t="s">
        <v>550</v>
      </c>
      <c r="Y67" s="14" t="s">
        <v>53</v>
      </c>
      <c r="Z67" s="14" t="s">
        <v>497</v>
      </c>
      <c r="AA67" s="14" t="s">
        <v>497</v>
      </c>
      <c r="AB67" s="14" t="s">
        <v>498</v>
      </c>
    </row>
    <row r="68" spans="1:28" ht="15.75" customHeight="1">
      <c r="A68" s="233" t="s">
        <v>565</v>
      </c>
      <c r="B68" s="234" t="s">
        <v>545</v>
      </c>
      <c r="C68" s="234" t="s">
        <v>566</v>
      </c>
      <c r="D68" s="235">
        <v>910988</v>
      </c>
      <c r="E68" s="234" t="s">
        <v>567</v>
      </c>
      <c r="F68" s="235">
        <v>39454</v>
      </c>
      <c r="G68" s="236">
        <v>3</v>
      </c>
      <c r="H68" s="234" t="s">
        <v>548</v>
      </c>
      <c r="I68" s="237">
        <v>0.7</v>
      </c>
      <c r="J68" s="236">
        <v>1</v>
      </c>
      <c r="K68" s="234" t="s">
        <v>548</v>
      </c>
      <c r="L68" s="237">
        <v>7.0000000000000007E-2</v>
      </c>
      <c r="M68" s="236">
        <v>1</v>
      </c>
      <c r="N68" s="234" t="s">
        <v>548</v>
      </c>
      <c r="R68" s="14" t="s">
        <v>52</v>
      </c>
      <c r="T68" s="14" t="s">
        <v>568</v>
      </c>
      <c r="U68" s="224">
        <f t="shared" si="19"/>
        <v>7.3658288574218753</v>
      </c>
      <c r="V68" s="14">
        <v>3.8</v>
      </c>
      <c r="W68" s="14" t="s">
        <v>494</v>
      </c>
      <c r="X68" s="14" t="s">
        <v>550</v>
      </c>
      <c r="Y68" s="14" t="s">
        <v>53</v>
      </c>
      <c r="Z68" s="14" t="s">
        <v>497</v>
      </c>
      <c r="AA68" s="14" t="s">
        <v>551</v>
      </c>
      <c r="AB68" s="14" t="s">
        <v>498</v>
      </c>
    </row>
    <row r="69" spans="1:28" ht="15.75" customHeight="1">
      <c r="A69" s="239" t="s">
        <v>569</v>
      </c>
      <c r="B69" s="240" t="s">
        <v>570</v>
      </c>
      <c r="C69" s="240" t="s">
        <v>571</v>
      </c>
      <c r="D69" s="241">
        <v>30042216</v>
      </c>
      <c r="E69" s="242" t="s">
        <v>572</v>
      </c>
      <c r="F69" s="241">
        <v>23227198</v>
      </c>
      <c r="G69" s="243">
        <v>3</v>
      </c>
      <c r="H69" s="240" t="s">
        <v>548</v>
      </c>
      <c r="I69" s="240" t="s">
        <v>573</v>
      </c>
      <c r="J69" s="243">
        <v>3</v>
      </c>
      <c r="K69" s="240" t="s">
        <v>548</v>
      </c>
      <c r="L69" s="242">
        <v>0</v>
      </c>
      <c r="M69" s="244"/>
      <c r="N69" s="244"/>
      <c r="R69" s="14" t="s">
        <v>54</v>
      </c>
      <c r="T69" s="14" t="s">
        <v>574</v>
      </c>
      <c r="U69" s="224">
        <f t="shared" si="19"/>
        <v>4.1653308105468749</v>
      </c>
      <c r="V69" s="14">
        <v>4</v>
      </c>
      <c r="W69" s="14" t="s">
        <v>494</v>
      </c>
      <c r="X69" s="14" t="s">
        <v>550</v>
      </c>
      <c r="Y69" s="14" t="s">
        <v>53</v>
      </c>
      <c r="Z69" s="14" t="s">
        <v>575</v>
      </c>
      <c r="AA69" s="14" t="s">
        <v>497</v>
      </c>
      <c r="AB69" s="14" t="s">
        <v>498</v>
      </c>
    </row>
    <row r="70" spans="1:28" ht="15.75" customHeight="1">
      <c r="A70" s="245" t="s">
        <v>569</v>
      </c>
      <c r="B70" s="246" t="s">
        <v>570</v>
      </c>
      <c r="C70" s="247" t="s">
        <v>576</v>
      </c>
      <c r="D70" s="247" t="s">
        <v>577</v>
      </c>
      <c r="E70" s="246" t="s">
        <v>578</v>
      </c>
      <c r="F70" s="248">
        <v>2027278</v>
      </c>
      <c r="G70" s="249">
        <v>3</v>
      </c>
      <c r="H70" s="246" t="s">
        <v>548</v>
      </c>
      <c r="I70" s="246" t="s">
        <v>579</v>
      </c>
      <c r="J70" s="246" t="s">
        <v>579</v>
      </c>
      <c r="K70" s="246" t="s">
        <v>579</v>
      </c>
      <c r="L70" s="246" t="s">
        <v>579</v>
      </c>
      <c r="M70" s="246" t="s">
        <v>579</v>
      </c>
      <c r="N70" s="246" t="s">
        <v>579</v>
      </c>
      <c r="R70" s="14" t="s">
        <v>580</v>
      </c>
      <c r="T70" s="14" t="s">
        <v>581</v>
      </c>
      <c r="U70" s="224">
        <f>SUM(U35:U38)+U30</f>
        <v>5.2874631776809693</v>
      </c>
      <c r="V70" s="14">
        <v>4.3</v>
      </c>
      <c r="W70" s="14" t="s">
        <v>494</v>
      </c>
      <c r="X70" s="14" t="s">
        <v>550</v>
      </c>
      <c r="Y70" s="14" t="s">
        <v>53</v>
      </c>
      <c r="Z70" s="14" t="s">
        <v>497</v>
      </c>
      <c r="AA70" s="14" t="s">
        <v>497</v>
      </c>
      <c r="AB70" s="14" t="s">
        <v>498</v>
      </c>
    </row>
    <row r="71" spans="1:28" ht="15.75" customHeight="1">
      <c r="A71" s="250" t="s">
        <v>569</v>
      </c>
      <c r="B71" s="247" t="s">
        <v>570</v>
      </c>
      <c r="C71" s="247" t="s">
        <v>582</v>
      </c>
      <c r="D71" s="251">
        <v>177871</v>
      </c>
      <c r="E71" s="252" t="s">
        <v>553</v>
      </c>
      <c r="F71" s="251">
        <v>309044</v>
      </c>
      <c r="G71" s="253">
        <v>3</v>
      </c>
      <c r="H71" s="247" t="s">
        <v>548</v>
      </c>
      <c r="I71" s="247" t="s">
        <v>579</v>
      </c>
      <c r="J71" s="247" t="s">
        <v>579</v>
      </c>
      <c r="K71" s="247" t="s">
        <v>579</v>
      </c>
      <c r="L71" s="247" t="s">
        <v>579</v>
      </c>
      <c r="M71" s="247" t="s">
        <v>579</v>
      </c>
      <c r="N71" s="247" t="s">
        <v>579</v>
      </c>
      <c r="W71" s="14" t="s">
        <v>494</v>
      </c>
    </row>
    <row r="72" spans="1:28" ht="15.75" customHeight="1">
      <c r="A72" s="250" t="s">
        <v>569</v>
      </c>
      <c r="B72" s="247" t="s">
        <v>570</v>
      </c>
      <c r="C72" s="247" t="s">
        <v>583</v>
      </c>
      <c r="D72" s="251">
        <v>182658</v>
      </c>
      <c r="E72" s="247" t="s">
        <v>584</v>
      </c>
      <c r="F72" s="251">
        <v>15323</v>
      </c>
      <c r="G72" s="253">
        <v>3</v>
      </c>
      <c r="H72" s="247" t="s">
        <v>548</v>
      </c>
      <c r="I72" s="247" t="s">
        <v>579</v>
      </c>
      <c r="J72" s="247" t="s">
        <v>579</v>
      </c>
      <c r="K72" s="247" t="s">
        <v>579</v>
      </c>
      <c r="L72" s="247" t="s">
        <v>579</v>
      </c>
      <c r="M72" s="247" t="s">
        <v>579</v>
      </c>
      <c r="N72" s="247" t="s">
        <v>579</v>
      </c>
      <c r="R72" s="14" t="s">
        <v>326</v>
      </c>
      <c r="T72" s="14" t="s">
        <v>585</v>
      </c>
      <c r="U72" s="224">
        <f t="shared" ref="U72:U73" si="20">U41</f>
        <v>1.2323005371093749</v>
      </c>
      <c r="V72" s="14">
        <v>1.6</v>
      </c>
      <c r="W72" s="14" t="s">
        <v>494</v>
      </c>
      <c r="X72" s="14" t="s">
        <v>586</v>
      </c>
      <c r="Y72" s="14" t="s">
        <v>62</v>
      </c>
      <c r="Z72" s="14" t="s">
        <v>497</v>
      </c>
      <c r="AA72" s="14" t="s">
        <v>497</v>
      </c>
      <c r="AB72" s="14" t="s">
        <v>498</v>
      </c>
    </row>
    <row r="73" spans="1:28" ht="15.75" customHeight="1">
      <c r="A73" s="254" t="s">
        <v>587</v>
      </c>
      <c r="B73" s="255" t="s">
        <v>588</v>
      </c>
      <c r="C73" s="255" t="s">
        <v>589</v>
      </c>
      <c r="D73" s="256">
        <v>23360</v>
      </c>
      <c r="E73" s="255" t="s">
        <v>590</v>
      </c>
      <c r="F73" s="256">
        <v>7065</v>
      </c>
      <c r="G73" s="257">
        <v>3</v>
      </c>
      <c r="H73" s="255" t="s">
        <v>548</v>
      </c>
      <c r="I73" s="258">
        <v>3853</v>
      </c>
      <c r="J73" s="257">
        <v>3</v>
      </c>
      <c r="K73" s="255" t="s">
        <v>548</v>
      </c>
      <c r="L73" s="259">
        <v>0</v>
      </c>
      <c r="M73" s="260"/>
      <c r="N73" s="260"/>
      <c r="R73" s="14" t="s">
        <v>56</v>
      </c>
      <c r="T73" s="14" t="s">
        <v>591</v>
      </c>
      <c r="U73" s="224">
        <f t="shared" si="20"/>
        <v>0.22049711608886718</v>
      </c>
      <c r="V73" s="14">
        <v>0</v>
      </c>
      <c r="W73" s="14" t="s">
        <v>494</v>
      </c>
      <c r="X73" s="14" t="s">
        <v>592</v>
      </c>
      <c r="Y73" s="14" t="s">
        <v>62</v>
      </c>
      <c r="Z73" s="14" t="s">
        <v>497</v>
      </c>
      <c r="AA73" s="14" t="s">
        <v>497</v>
      </c>
      <c r="AB73" s="14" t="s">
        <v>498</v>
      </c>
    </row>
    <row r="74" spans="1:28" ht="15.75" customHeight="1">
      <c r="A74" s="261" t="s">
        <v>587</v>
      </c>
      <c r="B74" s="262" t="s">
        <v>588</v>
      </c>
      <c r="C74" s="255" t="s">
        <v>593</v>
      </c>
      <c r="D74" s="263">
        <v>119401</v>
      </c>
      <c r="E74" s="255" t="s">
        <v>594</v>
      </c>
      <c r="F74" s="263">
        <v>180962</v>
      </c>
      <c r="G74" s="264">
        <v>3</v>
      </c>
      <c r="H74" s="262" t="s">
        <v>548</v>
      </c>
      <c r="I74" s="262" t="s">
        <v>579</v>
      </c>
      <c r="J74" s="262" t="s">
        <v>579</v>
      </c>
      <c r="K74" s="262" t="s">
        <v>579</v>
      </c>
      <c r="L74" s="262" t="s">
        <v>579</v>
      </c>
      <c r="M74" s="262" t="s">
        <v>579</v>
      </c>
      <c r="N74" s="262" t="s">
        <v>579</v>
      </c>
    </row>
    <row r="75" spans="1:28" ht="15.75" customHeight="1">
      <c r="A75" s="265" t="s">
        <v>595</v>
      </c>
      <c r="B75" s="266" t="s">
        <v>596</v>
      </c>
      <c r="C75" s="266" t="s">
        <v>597</v>
      </c>
      <c r="D75" s="267">
        <v>643962</v>
      </c>
      <c r="E75" s="266" t="s">
        <v>598</v>
      </c>
      <c r="F75" s="268" t="s">
        <v>579</v>
      </c>
      <c r="G75" s="266" t="s">
        <v>579</v>
      </c>
      <c r="H75" s="266" t="s">
        <v>579</v>
      </c>
      <c r="I75" s="266" t="s">
        <v>579</v>
      </c>
      <c r="J75" s="266" t="s">
        <v>579</v>
      </c>
      <c r="K75" s="266" t="s">
        <v>579</v>
      </c>
      <c r="L75" s="269">
        <v>692</v>
      </c>
      <c r="M75" s="270">
        <v>3</v>
      </c>
      <c r="N75" s="266" t="s">
        <v>548</v>
      </c>
      <c r="R75" s="15" t="s">
        <v>599</v>
      </c>
    </row>
    <row r="76" spans="1:28" ht="15.75" customHeight="1">
      <c r="A76" s="265" t="s">
        <v>595</v>
      </c>
      <c r="B76" s="266" t="s">
        <v>600</v>
      </c>
      <c r="C76" s="266" t="s">
        <v>601</v>
      </c>
      <c r="D76" s="267">
        <v>313043</v>
      </c>
      <c r="E76" s="266" t="s">
        <v>602</v>
      </c>
      <c r="F76" s="267">
        <v>241415</v>
      </c>
      <c r="G76" s="270">
        <v>3</v>
      </c>
      <c r="H76" s="266" t="s">
        <v>548</v>
      </c>
      <c r="I76" s="269">
        <v>7962</v>
      </c>
      <c r="J76" s="270">
        <v>3</v>
      </c>
      <c r="K76" s="266" t="s">
        <v>548</v>
      </c>
      <c r="L76" s="266" t="s">
        <v>579</v>
      </c>
      <c r="M76" s="266" t="s">
        <v>579</v>
      </c>
      <c r="N76" s="266" t="s">
        <v>579</v>
      </c>
      <c r="R76" s="14" t="s">
        <v>603</v>
      </c>
    </row>
    <row r="77" spans="1:28" ht="15.75" customHeight="1">
      <c r="A77" s="250" t="s">
        <v>569</v>
      </c>
      <c r="B77" s="247" t="s">
        <v>604</v>
      </c>
      <c r="C77" s="247" t="s">
        <v>605</v>
      </c>
      <c r="D77" s="251">
        <v>40020782</v>
      </c>
      <c r="E77" s="247" t="s">
        <v>606</v>
      </c>
      <c r="F77" s="253" t="s">
        <v>105</v>
      </c>
      <c r="G77" s="247" t="s">
        <v>579</v>
      </c>
      <c r="H77" s="247" t="s">
        <v>579</v>
      </c>
      <c r="I77" s="271">
        <v>3229</v>
      </c>
      <c r="J77" s="253">
        <v>2</v>
      </c>
      <c r="K77" s="247" t="s">
        <v>548</v>
      </c>
      <c r="L77" s="247" t="s">
        <v>579</v>
      </c>
      <c r="M77" s="247" t="s">
        <v>579</v>
      </c>
      <c r="N77" s="247" t="s">
        <v>579</v>
      </c>
      <c r="R77" s="14" t="s">
        <v>607</v>
      </c>
      <c r="W77" s="14" t="s">
        <v>608</v>
      </c>
      <c r="Y77" s="14" t="s">
        <v>444</v>
      </c>
      <c r="Z77" s="14" t="s">
        <v>516</v>
      </c>
      <c r="AA77" s="14" t="s">
        <v>60</v>
      </c>
      <c r="AB77" s="14" t="s">
        <v>498</v>
      </c>
    </row>
    <row r="78" spans="1:28" ht="15.75" customHeight="1">
      <c r="A78" s="250" t="s">
        <v>609</v>
      </c>
      <c r="B78" s="247" t="s">
        <v>610</v>
      </c>
      <c r="C78" s="247" t="s">
        <v>611</v>
      </c>
      <c r="D78" s="251">
        <v>4555664</v>
      </c>
      <c r="E78" s="252" t="s">
        <v>612</v>
      </c>
      <c r="F78" s="253" t="s">
        <v>105</v>
      </c>
      <c r="G78" s="247" t="s">
        <v>579</v>
      </c>
      <c r="H78" s="247" t="s">
        <v>579</v>
      </c>
      <c r="I78" s="271">
        <v>243</v>
      </c>
      <c r="J78" s="253">
        <v>2</v>
      </c>
      <c r="K78" s="247" t="s">
        <v>548</v>
      </c>
      <c r="L78" s="247" t="s">
        <v>579</v>
      </c>
      <c r="M78" s="247" t="s">
        <v>579</v>
      </c>
      <c r="N78" s="247" t="s">
        <v>579</v>
      </c>
      <c r="R78" s="14" t="s">
        <v>613</v>
      </c>
      <c r="W78" s="14" t="s">
        <v>608</v>
      </c>
      <c r="Y78" s="14" t="s">
        <v>444</v>
      </c>
      <c r="Z78" s="14" t="s">
        <v>516</v>
      </c>
      <c r="AA78" s="14" t="s">
        <v>60</v>
      </c>
      <c r="AB78" s="14" t="s">
        <v>498</v>
      </c>
    </row>
    <row r="79" spans="1:28" ht="15.75" customHeight="1">
      <c r="A79" s="254" t="s">
        <v>614</v>
      </c>
      <c r="B79" s="255" t="s">
        <v>615</v>
      </c>
      <c r="C79" s="255" t="s">
        <v>616</v>
      </c>
      <c r="D79" s="255" t="s">
        <v>617</v>
      </c>
      <c r="E79" s="255" t="s">
        <v>579</v>
      </c>
      <c r="F79" s="255" t="s">
        <v>579</v>
      </c>
      <c r="G79" s="255" t="s">
        <v>579</v>
      </c>
      <c r="H79" s="255" t="s">
        <v>579</v>
      </c>
      <c r="I79" s="255" t="s">
        <v>579</v>
      </c>
      <c r="J79" s="255" t="s">
        <v>579</v>
      </c>
      <c r="K79" s="255" t="s">
        <v>579</v>
      </c>
      <c r="L79" s="255" t="s">
        <v>579</v>
      </c>
      <c r="M79" s="255" t="s">
        <v>579</v>
      </c>
      <c r="N79" s="255" t="s">
        <v>579</v>
      </c>
    </row>
    <row r="80" spans="1:28" ht="15.75" customHeight="1">
      <c r="A80" s="233" t="s">
        <v>618</v>
      </c>
      <c r="B80" s="234" t="s">
        <v>619</v>
      </c>
      <c r="C80" s="234" t="s">
        <v>620</v>
      </c>
      <c r="D80" s="235">
        <v>245406</v>
      </c>
      <c r="E80" s="234" t="s">
        <v>621</v>
      </c>
      <c r="F80" s="235">
        <v>19410</v>
      </c>
      <c r="G80" s="236">
        <v>1</v>
      </c>
      <c r="H80" s="234" t="s">
        <v>622</v>
      </c>
      <c r="I80" s="234" t="s">
        <v>579</v>
      </c>
      <c r="J80" s="234" t="s">
        <v>579</v>
      </c>
      <c r="K80" s="234" t="s">
        <v>579</v>
      </c>
      <c r="L80" s="234" t="s">
        <v>579</v>
      </c>
      <c r="M80" s="234" t="s">
        <v>579</v>
      </c>
      <c r="N80" s="234" t="s">
        <v>579</v>
      </c>
      <c r="R80" s="14" t="s">
        <v>623</v>
      </c>
    </row>
    <row r="81" spans="1:28" ht="15.75" customHeight="1">
      <c r="R81" s="14" t="s">
        <v>607</v>
      </c>
      <c r="W81" s="14" t="s">
        <v>608</v>
      </c>
      <c r="Y81" s="14" t="s">
        <v>444</v>
      </c>
      <c r="Z81" s="14" t="s">
        <v>516</v>
      </c>
      <c r="AA81" s="14" t="s">
        <v>60</v>
      </c>
      <c r="AB81" s="14" t="s">
        <v>498</v>
      </c>
    </row>
    <row r="82" spans="1:28" ht="15.75" customHeight="1">
      <c r="R82" s="14" t="s">
        <v>624</v>
      </c>
      <c r="W82" s="14" t="s">
        <v>608</v>
      </c>
      <c r="Y82" s="14" t="s">
        <v>444</v>
      </c>
      <c r="Z82" s="14" t="s">
        <v>516</v>
      </c>
      <c r="AA82" s="14" t="s">
        <v>60</v>
      </c>
      <c r="AB82" s="14" t="s">
        <v>498</v>
      </c>
    </row>
    <row r="83" spans="1:28" ht="15.75" customHeight="1">
      <c r="A83" s="14" t="s">
        <v>625</v>
      </c>
      <c r="R83" s="14" t="s">
        <v>626</v>
      </c>
      <c r="W83" s="14" t="s">
        <v>608</v>
      </c>
      <c r="Y83" s="14" t="s">
        <v>444</v>
      </c>
      <c r="Z83" s="14" t="s">
        <v>516</v>
      </c>
      <c r="AA83" s="14" t="s">
        <v>60</v>
      </c>
      <c r="AB83" s="14" t="s">
        <v>498</v>
      </c>
    </row>
    <row r="84" spans="1:28" ht="15.75" customHeight="1">
      <c r="A84" s="14" t="s">
        <v>627</v>
      </c>
      <c r="B84" s="272" t="s">
        <v>628</v>
      </c>
    </row>
    <row r="85" spans="1:28" ht="15.75" customHeight="1">
      <c r="R85" s="14" t="s">
        <v>522</v>
      </c>
      <c r="X85" s="14" t="s">
        <v>629</v>
      </c>
      <c r="Y85" s="14" t="s">
        <v>530</v>
      </c>
      <c r="Z85" s="14" t="s">
        <v>516</v>
      </c>
      <c r="AA85" s="14" t="s">
        <v>60</v>
      </c>
      <c r="AB85" s="14" t="s">
        <v>498</v>
      </c>
    </row>
    <row r="86" spans="1:28" ht="15.75" customHeight="1"/>
    <row r="87" spans="1:28" ht="15.75" customHeight="1"/>
    <row r="88" spans="1:28" ht="15.75" customHeight="1"/>
    <row r="89" spans="1:28" ht="15.75" customHeight="1"/>
    <row r="90" spans="1:28" ht="15.75" customHeight="1"/>
    <row r="91" spans="1:28" ht="15.75" customHeight="1"/>
    <row r="92" spans="1:28" ht="15.75" customHeight="1"/>
    <row r="93" spans="1:28" ht="15.75" customHeight="1"/>
    <row r="94" spans="1:28" ht="15.75" customHeight="1"/>
    <row r="95" spans="1:28" ht="15.75" customHeight="1"/>
    <row r="96" spans="1:28"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
    <mergeCell ref="C3:J3"/>
    <mergeCell ref="A53:G53"/>
    <mergeCell ref="A54:B54"/>
    <mergeCell ref="C54:N54"/>
    <mergeCell ref="A55:B55"/>
    <mergeCell ref="C55:N55"/>
    <mergeCell ref="D60:D61"/>
    <mergeCell ref="E60:E61"/>
    <mergeCell ref="C57:N57"/>
    <mergeCell ref="A58:N58"/>
    <mergeCell ref="C59:E59"/>
    <mergeCell ref="F59:N59"/>
    <mergeCell ref="F60:H60"/>
    <mergeCell ref="I60:K60"/>
    <mergeCell ref="L60:N60"/>
    <mergeCell ref="A56:B56"/>
    <mergeCell ref="A57:B57"/>
    <mergeCell ref="A59:A61"/>
    <mergeCell ref="B59:B61"/>
    <mergeCell ref="C60:C61"/>
    <mergeCell ref="C56:N56"/>
  </mergeCells>
  <hyperlinks>
    <hyperlink ref="K4" r:id="rId1" xr:uid="{00000000-0004-0000-0600-000000000000}"/>
    <hyperlink ref="B84" r:id="rId2" xr:uid="{00000000-0004-0000-0600-000001000000}"/>
  </hyperlinks>
  <pageMargins left="0.7" right="0.7" top="0.75" bottom="0.75" header="0" footer="0"/>
  <pageSetup orientation="landscape"/>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2:L48"/>
  <sheetViews>
    <sheetView workbookViewId="0"/>
  </sheetViews>
  <sheetFormatPr defaultColWidth="11.21875" defaultRowHeight="15" customHeight="1"/>
  <sheetData>
    <row r="2" spans="2:12">
      <c r="B2" s="14" t="s">
        <v>630</v>
      </c>
    </row>
    <row r="3" spans="2:12">
      <c r="B3" s="273"/>
      <c r="C3" s="274"/>
      <c r="D3" s="275"/>
    </row>
    <row r="4" spans="2:12">
      <c r="B4" s="276" t="s">
        <v>631</v>
      </c>
      <c r="C4" s="277"/>
      <c r="D4" s="278"/>
    </row>
    <row r="5" spans="2:12">
      <c r="B5" s="279" t="s">
        <v>632</v>
      </c>
      <c r="C5" s="280" t="s">
        <v>633</v>
      </c>
      <c r="D5" s="278"/>
      <c r="E5" s="15" t="s">
        <v>634</v>
      </c>
      <c r="G5" s="15" t="s">
        <v>635</v>
      </c>
      <c r="J5" s="14" t="s">
        <v>636</v>
      </c>
      <c r="L5" s="14" t="s">
        <v>637</v>
      </c>
    </row>
    <row r="6" spans="2:12">
      <c r="B6" s="281" t="s">
        <v>638</v>
      </c>
      <c r="C6" s="282">
        <v>3.3399999999999999E-2</v>
      </c>
      <c r="D6" s="278"/>
      <c r="E6" s="14" t="s">
        <v>220</v>
      </c>
      <c r="J6" s="283">
        <f t="shared" ref="J6:J12" si="0">$G$13*C6</f>
        <v>146.27822439706395</v>
      </c>
      <c r="L6" s="22">
        <f t="shared" ref="L6:L12" si="1">$G$8*C6</f>
        <v>18.803532000000001</v>
      </c>
    </row>
    <row r="7" spans="2:12">
      <c r="B7" s="281" t="s">
        <v>639</v>
      </c>
      <c r="C7" s="282">
        <v>0.10210000000000001</v>
      </c>
      <c r="D7" s="278"/>
      <c r="E7" s="14" t="s">
        <v>640</v>
      </c>
      <c r="J7" s="283">
        <f t="shared" si="0"/>
        <v>447.15588954910874</v>
      </c>
      <c r="L7" s="22">
        <f t="shared" si="1"/>
        <v>57.480258000000006</v>
      </c>
    </row>
    <row r="8" spans="2:12">
      <c r="B8" s="281" t="s">
        <v>641</v>
      </c>
      <c r="C8" s="282">
        <v>0.35139999999999999</v>
      </c>
      <c r="D8" s="278"/>
      <c r="E8" s="14" t="s">
        <v>642</v>
      </c>
      <c r="G8" s="283">
        <f>'SATIM Energy balance 2017 (new)'!P19</f>
        <v>562.98</v>
      </c>
      <c r="H8" s="14" t="s">
        <v>643</v>
      </c>
      <c r="J8" s="283">
        <f t="shared" si="0"/>
        <v>1538.9870674589304</v>
      </c>
      <c r="L8" s="22">
        <f t="shared" si="1"/>
        <v>197.83117200000001</v>
      </c>
    </row>
    <row r="9" spans="2:12">
      <c r="B9" s="281" t="s">
        <v>644</v>
      </c>
      <c r="C9" s="282">
        <v>0.28610000000000002</v>
      </c>
      <c r="D9" s="278"/>
      <c r="E9" s="14" t="s">
        <v>645</v>
      </c>
      <c r="G9" s="284">
        <f>D29</f>
        <v>1253</v>
      </c>
      <c r="H9" s="15" t="s">
        <v>646</v>
      </c>
      <c r="I9" s="205"/>
      <c r="J9" s="285">
        <f t="shared" si="0"/>
        <v>1253</v>
      </c>
      <c r="L9" s="22">
        <f t="shared" si="1"/>
        <v>161.06857800000003</v>
      </c>
    </row>
    <row r="10" spans="2:12">
      <c r="B10" s="281" t="s">
        <v>647</v>
      </c>
      <c r="C10" s="282">
        <v>0.12539999999999998</v>
      </c>
      <c r="D10" s="278"/>
      <c r="E10" s="14" t="s">
        <v>648</v>
      </c>
      <c r="J10" s="283">
        <f t="shared" si="0"/>
        <v>549.20027962250947</v>
      </c>
      <c r="L10" s="22">
        <f t="shared" si="1"/>
        <v>70.597691999999995</v>
      </c>
    </row>
    <row r="11" spans="2:12">
      <c r="B11" s="281" t="s">
        <v>649</v>
      </c>
      <c r="C11" s="282">
        <v>8.2799999999999999E-2</v>
      </c>
      <c r="D11" s="278"/>
      <c r="E11" s="14" t="s">
        <v>220</v>
      </c>
      <c r="J11" s="283">
        <f t="shared" si="0"/>
        <v>362.62984970290108</v>
      </c>
      <c r="L11" s="22">
        <f t="shared" si="1"/>
        <v>46.614744000000002</v>
      </c>
    </row>
    <row r="12" spans="2:12">
      <c r="B12" s="281" t="s">
        <v>650</v>
      </c>
      <c r="C12" s="282">
        <v>1.89E-2</v>
      </c>
      <c r="D12" s="278"/>
      <c r="E12" s="14" t="s">
        <v>220</v>
      </c>
      <c r="J12" s="283">
        <f t="shared" si="0"/>
        <v>82.77420482348829</v>
      </c>
      <c r="L12" s="22">
        <f t="shared" si="1"/>
        <v>10.640322000000001</v>
      </c>
    </row>
    <row r="13" spans="2:12">
      <c r="B13" s="286" t="s">
        <v>651</v>
      </c>
      <c r="C13" s="287"/>
      <c r="D13" s="278"/>
      <c r="G13" s="283">
        <f>G9/C9</f>
        <v>4379.5875567983221</v>
      </c>
      <c r="H13" s="14" t="s">
        <v>652</v>
      </c>
    </row>
    <row r="14" spans="2:12">
      <c r="B14" s="288"/>
      <c r="C14" s="289"/>
      <c r="D14" s="290"/>
      <c r="G14" s="283">
        <f>G8/C8</f>
        <v>1602.1058622652249</v>
      </c>
      <c r="H14" s="14" t="s">
        <v>653</v>
      </c>
    </row>
    <row r="18" spans="1:6">
      <c r="A18" s="15" t="s">
        <v>654</v>
      </c>
    </row>
    <row r="20" spans="1:6">
      <c r="B20" s="291" t="s">
        <v>324</v>
      </c>
      <c r="C20" s="292"/>
      <c r="D20" s="291" t="s">
        <v>655</v>
      </c>
      <c r="E20" s="291" t="s">
        <v>320</v>
      </c>
      <c r="F20" s="173"/>
    </row>
    <row r="21" spans="1:6">
      <c r="B21" s="178" t="s">
        <v>656</v>
      </c>
      <c r="C21" s="178"/>
      <c r="D21" s="293">
        <f>'SATIM Energy balance 2017 (new)'!P30</f>
        <v>140000</v>
      </c>
      <c r="E21" s="178" t="s">
        <v>657</v>
      </c>
      <c r="F21" s="179"/>
    </row>
    <row r="22" spans="1:6">
      <c r="B22" s="178" t="s">
        <v>658</v>
      </c>
      <c r="C22" s="174"/>
      <c r="D22" s="293">
        <f>'SATIM Energy balance 2017 (new)'!P32-D24+14587</f>
        <v>95640</v>
      </c>
      <c r="E22" s="178" t="s">
        <v>659</v>
      </c>
      <c r="F22" s="173"/>
    </row>
    <row r="23" spans="1:6">
      <c r="B23" s="178" t="s">
        <v>660</v>
      </c>
      <c r="C23" s="174"/>
      <c r="D23" s="294">
        <f>'SATIM Energy balance 2017 (new)'!P26</f>
        <v>4508.6140100000011</v>
      </c>
      <c r="E23" s="178" t="s">
        <v>661</v>
      </c>
    </row>
    <row r="24" spans="1:6">
      <c r="B24" s="178" t="s">
        <v>662</v>
      </c>
      <c r="C24" s="174"/>
      <c r="D24" s="55">
        <v>21947</v>
      </c>
      <c r="E24" s="178" t="s">
        <v>661</v>
      </c>
      <c r="F24" s="173"/>
    </row>
    <row r="25" spans="1:6">
      <c r="B25" s="178" t="s">
        <v>663</v>
      </c>
      <c r="C25" s="174"/>
      <c r="D25" s="294">
        <f>SUM(D26:D41)</f>
        <v>5490.2445155540026</v>
      </c>
      <c r="E25" s="178" t="s">
        <v>664</v>
      </c>
      <c r="F25" s="173"/>
    </row>
    <row r="26" spans="1:6">
      <c r="B26" s="174"/>
      <c r="C26" s="178" t="s">
        <v>638</v>
      </c>
      <c r="D26" s="294">
        <f t="shared" ref="D26:D28" si="2">J6</f>
        <v>146.27822439706395</v>
      </c>
      <c r="E26" s="178" t="s">
        <v>665</v>
      </c>
      <c r="F26" s="173"/>
    </row>
    <row r="27" spans="1:6">
      <c r="B27" s="174"/>
      <c r="C27" s="178" t="s">
        <v>639</v>
      </c>
      <c r="D27" s="294">
        <f t="shared" si="2"/>
        <v>447.15588954910874</v>
      </c>
      <c r="E27" s="178" t="s">
        <v>665</v>
      </c>
      <c r="F27" s="173"/>
    </row>
    <row r="28" spans="1:6">
      <c r="B28" s="174"/>
      <c r="C28" s="178" t="s">
        <v>641</v>
      </c>
      <c r="D28" s="294">
        <f t="shared" si="2"/>
        <v>1538.9870674589304</v>
      </c>
      <c r="E28" s="178" t="s">
        <v>665</v>
      </c>
      <c r="F28" s="173"/>
    </row>
    <row r="29" spans="1:6">
      <c r="B29" s="174"/>
      <c r="C29" s="178" t="s">
        <v>644</v>
      </c>
      <c r="D29" s="294">
        <v>1253</v>
      </c>
      <c r="E29" s="178" t="s">
        <v>666</v>
      </c>
      <c r="F29" s="179"/>
    </row>
    <row r="30" spans="1:6">
      <c r="B30" s="174"/>
      <c r="C30" s="178" t="s">
        <v>647</v>
      </c>
      <c r="D30" s="294">
        <f t="shared" ref="D30:D32" si="3">J10</f>
        <v>549.20027962250947</v>
      </c>
      <c r="E30" s="178" t="s">
        <v>665</v>
      </c>
      <c r="F30" s="173"/>
    </row>
    <row r="31" spans="1:6">
      <c r="B31" s="174"/>
      <c r="C31" s="178" t="s">
        <v>649</v>
      </c>
      <c r="D31" s="294">
        <f t="shared" si="3"/>
        <v>362.62984970290108</v>
      </c>
      <c r="E31" s="178" t="s">
        <v>665</v>
      </c>
      <c r="F31" s="173"/>
    </row>
    <row r="32" spans="1:6">
      <c r="B32" s="174"/>
      <c r="C32" s="178" t="s">
        <v>650</v>
      </c>
      <c r="D32" s="294">
        <f t="shared" si="3"/>
        <v>82.77420482348829</v>
      </c>
      <c r="E32" s="178" t="s">
        <v>665</v>
      </c>
      <c r="F32" s="173"/>
    </row>
    <row r="33" spans="2:7" ht="15" customHeight="1">
      <c r="B33" s="174"/>
      <c r="C33" s="174"/>
      <c r="D33" s="294"/>
      <c r="E33" s="174"/>
      <c r="F33" s="173"/>
      <c r="G33" s="295"/>
    </row>
    <row r="34" spans="2:7">
      <c r="B34" s="174"/>
      <c r="C34" s="178" t="s">
        <v>667</v>
      </c>
      <c r="D34" s="296">
        <v>10.218999999999999</v>
      </c>
      <c r="E34" s="297" t="s">
        <v>668</v>
      </c>
    </row>
    <row r="35" spans="2:7">
      <c r="B35" s="174"/>
      <c r="C35" s="178" t="s">
        <v>293</v>
      </c>
      <c r="D35" s="294">
        <f>'SATIM Energy balance 2017 (new)'!P18</f>
        <v>1100</v>
      </c>
      <c r="E35" s="178" t="s">
        <v>669</v>
      </c>
      <c r="F35" s="173"/>
    </row>
    <row r="36" spans="2:7">
      <c r="B36" s="174"/>
      <c r="C36" s="298" t="s">
        <v>670</v>
      </c>
      <c r="D36" s="53"/>
      <c r="E36" s="298" t="s">
        <v>671</v>
      </c>
      <c r="F36" s="173"/>
    </row>
    <row r="37" spans="2:7">
      <c r="B37" s="53"/>
      <c r="C37" s="298" t="s">
        <v>672</v>
      </c>
      <c r="D37" s="53"/>
      <c r="E37" s="298" t="s">
        <v>671</v>
      </c>
      <c r="F37" s="173"/>
    </row>
    <row r="38" spans="2:7" ht="15.75">
      <c r="B38" s="298"/>
      <c r="C38" s="298" t="s">
        <v>129</v>
      </c>
      <c r="D38" s="53"/>
      <c r="E38" s="298" t="s">
        <v>671</v>
      </c>
      <c r="F38" s="173"/>
    </row>
    <row r="39" spans="2:7" ht="15.75">
      <c r="B39" s="298"/>
      <c r="C39" s="298" t="s">
        <v>291</v>
      </c>
      <c r="D39" s="53"/>
      <c r="E39" s="298" t="s">
        <v>671</v>
      </c>
      <c r="F39" s="173"/>
    </row>
    <row r="40" spans="2:7" ht="15.75">
      <c r="B40" s="298"/>
      <c r="C40" s="298" t="s">
        <v>673</v>
      </c>
      <c r="D40" s="53"/>
      <c r="E40" s="298" t="s">
        <v>671</v>
      </c>
      <c r="F40" s="173"/>
    </row>
    <row r="41" spans="2:7" ht="15.75">
      <c r="B41" s="298"/>
      <c r="C41" s="298" t="s">
        <v>674</v>
      </c>
      <c r="D41" s="53"/>
      <c r="E41" s="298" t="s">
        <v>671</v>
      </c>
      <c r="F41" s="173"/>
    </row>
    <row r="42" spans="2:7" ht="15.75">
      <c r="B42" s="298"/>
      <c r="C42" s="53"/>
      <c r="D42" s="53"/>
      <c r="E42" s="298"/>
      <c r="F42" s="173"/>
    </row>
    <row r="43" spans="2:7" ht="15.75">
      <c r="B43" s="298" t="s">
        <v>675</v>
      </c>
      <c r="C43" s="53"/>
      <c r="D43" s="294">
        <f>'SATIM Energy balance 2017 (new)'!P34</f>
        <v>9790</v>
      </c>
      <c r="E43" s="298" t="s">
        <v>272</v>
      </c>
      <c r="F43" s="173"/>
    </row>
    <row r="44" spans="2:7" ht="15.75">
      <c r="B44" s="178" t="s">
        <v>676</v>
      </c>
      <c r="C44" s="53"/>
      <c r="D44" s="294"/>
      <c r="E44" s="298" t="s">
        <v>671</v>
      </c>
      <c r="F44" s="173"/>
    </row>
    <row r="45" spans="2:7" ht="15.75">
      <c r="B45" s="178" t="s">
        <v>677</v>
      </c>
      <c r="C45" s="174"/>
      <c r="D45" s="294">
        <f>'SATIM Energy balance 2017 (new)'!P12</f>
        <v>2624</v>
      </c>
      <c r="E45" s="178" t="s">
        <v>678</v>
      </c>
      <c r="F45" s="173"/>
    </row>
    <row r="46" spans="2:7" ht="15.75">
      <c r="B46" s="298" t="s">
        <v>679</v>
      </c>
      <c r="C46" s="174"/>
      <c r="D46" s="294">
        <f>D23+D24+D25+D43+D44+D45</f>
        <v>44359.858525554002</v>
      </c>
      <c r="E46" s="174"/>
    </row>
    <row r="47" spans="2:7" ht="15.75">
      <c r="B47" s="298" t="s">
        <v>680</v>
      </c>
      <c r="C47" s="53"/>
      <c r="D47" s="294">
        <f>D46+D22</f>
        <v>139999.85852555401</v>
      </c>
      <c r="E47" s="53"/>
    </row>
    <row r="48" spans="2:7" ht="15.75">
      <c r="B48" s="298" t="s">
        <v>681</v>
      </c>
      <c r="C48" s="53"/>
      <c r="D48" s="294">
        <f>D21-D47</f>
        <v>0.14147444599075243</v>
      </c>
      <c r="E48" s="5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B1000"/>
  <sheetViews>
    <sheetView workbookViewId="0"/>
  </sheetViews>
  <sheetFormatPr defaultColWidth="11.21875" defaultRowHeight="15" customHeight="1"/>
  <cols>
    <col min="1" max="28" width="10.5546875" customWidth="1"/>
  </cols>
  <sheetData>
    <row r="1" spans="1:28" ht="15.75" customHeight="1">
      <c r="A1" s="165" t="s">
        <v>682</v>
      </c>
    </row>
    <row r="2" spans="1:28" ht="15.75" customHeight="1">
      <c r="B2" s="10" t="s">
        <v>683</v>
      </c>
      <c r="C2" s="10" t="s">
        <v>684</v>
      </c>
      <c r="D2" s="10" t="s">
        <v>9</v>
      </c>
      <c r="E2" s="10" t="s">
        <v>685</v>
      </c>
      <c r="F2" s="10">
        <v>2000</v>
      </c>
      <c r="G2" s="10">
        <v>2001</v>
      </c>
      <c r="H2" s="10">
        <v>2002</v>
      </c>
      <c r="I2" s="10">
        <v>2003</v>
      </c>
      <c r="J2" s="10">
        <v>2004</v>
      </c>
      <c r="K2" s="10">
        <v>2005</v>
      </c>
      <c r="L2" s="10">
        <v>2006</v>
      </c>
      <c r="M2" s="10">
        <v>2007</v>
      </c>
      <c r="N2" s="10">
        <v>2008</v>
      </c>
      <c r="O2" s="10">
        <v>2009</v>
      </c>
      <c r="P2" s="10">
        <v>2010</v>
      </c>
      <c r="Q2" s="10">
        <v>2011</v>
      </c>
      <c r="R2" s="10">
        <v>2012</v>
      </c>
      <c r="S2" s="10">
        <v>2013</v>
      </c>
      <c r="T2" s="10">
        <v>2014</v>
      </c>
      <c r="U2" s="10">
        <v>2015</v>
      </c>
      <c r="V2" s="10">
        <v>2016</v>
      </c>
      <c r="W2" s="10">
        <v>2017</v>
      </c>
      <c r="X2" s="10" t="s">
        <v>686</v>
      </c>
    </row>
    <row r="3" spans="1:28" ht="15.75" customHeight="1">
      <c r="A3" s="2" t="str">
        <f t="shared" ref="A3:A9" si="0">A$53</f>
        <v>#REF!</v>
      </c>
      <c r="B3" s="10" t="s">
        <v>687</v>
      </c>
      <c r="F3" s="10" t="s">
        <v>688</v>
      </c>
      <c r="P3" s="10">
        <v>213676.358318766</v>
      </c>
      <c r="Q3" s="10">
        <v>198597.7414</v>
      </c>
    </row>
    <row r="4" spans="1:28" ht="15.75" customHeight="1">
      <c r="A4" s="2" t="str">
        <f t="shared" si="0"/>
        <v>#REF!</v>
      </c>
      <c r="B4" s="10" t="s">
        <v>687</v>
      </c>
      <c r="C4" s="10" t="s">
        <v>689</v>
      </c>
      <c r="E4" s="10" t="s">
        <v>302</v>
      </c>
      <c r="F4" s="10">
        <v>1173.2329999999999</v>
      </c>
      <c r="G4" s="10">
        <v>1076.0340000000001</v>
      </c>
      <c r="H4" s="10">
        <v>1019.905</v>
      </c>
      <c r="I4" s="10">
        <v>1052.761</v>
      </c>
      <c r="J4" s="10">
        <v>930.7399999999999</v>
      </c>
      <c r="K4" s="10">
        <v>1041.809</v>
      </c>
      <c r="L4" s="10">
        <v>1010.322</v>
      </c>
      <c r="M4" s="10">
        <v>954.19299999999998</v>
      </c>
      <c r="N4" s="10">
        <v>728.30799999999999</v>
      </c>
      <c r="O4" s="10">
        <v>746.10500000000002</v>
      </c>
      <c r="P4" s="10">
        <v>789.5087160983577</v>
      </c>
      <c r="Q4" s="10">
        <v>795.38900000000001</v>
      </c>
      <c r="R4" s="10">
        <v>643.42999999999995</v>
      </c>
      <c r="S4" s="10">
        <v>687.9079999999999</v>
      </c>
      <c r="T4" s="10">
        <v>647.43599999999992</v>
      </c>
      <c r="U4" s="10">
        <v>606.96399999999994</v>
      </c>
      <c r="V4" s="10">
        <v>566</v>
      </c>
      <c r="W4" s="10">
        <v>526</v>
      </c>
      <c r="Z4" s="10" t="s">
        <v>690</v>
      </c>
    </row>
    <row r="5" spans="1:28" ht="15.75" customHeight="1">
      <c r="A5" s="2" t="str">
        <f t="shared" si="0"/>
        <v>#REF!</v>
      </c>
      <c r="B5" s="10" t="s">
        <v>687</v>
      </c>
      <c r="C5" s="10" t="s">
        <v>691</v>
      </c>
      <c r="E5" s="10" t="s">
        <v>302</v>
      </c>
      <c r="F5" s="10">
        <v>81014.320000000007</v>
      </c>
      <c r="G5" s="10">
        <v>84045.549999999988</v>
      </c>
      <c r="H5" s="10">
        <v>88488.78</v>
      </c>
      <c r="I5" s="10">
        <v>94084.91</v>
      </c>
      <c r="J5" s="10">
        <v>99468.68</v>
      </c>
      <c r="K5" s="10">
        <v>105121.72</v>
      </c>
      <c r="L5" s="10">
        <v>112803.43</v>
      </c>
      <c r="M5" s="10">
        <v>126392.18</v>
      </c>
      <c r="N5" s="10">
        <v>126456.95</v>
      </c>
      <c r="O5" s="10">
        <v>126456.95</v>
      </c>
      <c r="P5" s="10">
        <v>137097.53094948753</v>
      </c>
      <c r="Q5" s="10">
        <v>145408.65</v>
      </c>
      <c r="R5" s="10">
        <v>145887.948</v>
      </c>
      <c r="S5" s="10">
        <v>172851.8</v>
      </c>
      <c r="T5" s="10">
        <v>178844</v>
      </c>
      <c r="U5" s="10">
        <v>184836.2</v>
      </c>
      <c r="V5" s="10">
        <v>190828</v>
      </c>
      <c r="W5" s="10">
        <v>196821</v>
      </c>
      <c r="Z5" s="10" t="s">
        <v>690</v>
      </c>
    </row>
    <row r="6" spans="1:28" ht="15.75" customHeight="1">
      <c r="A6" s="2" t="str">
        <f t="shared" si="0"/>
        <v>#REF!</v>
      </c>
      <c r="B6" s="10" t="s">
        <v>687</v>
      </c>
      <c r="C6" s="10" t="s">
        <v>692</v>
      </c>
      <c r="E6" s="10" t="s">
        <v>302</v>
      </c>
      <c r="F6" s="10">
        <v>20709.939999999999</v>
      </c>
      <c r="G6" s="10">
        <v>20709.939999999999</v>
      </c>
      <c r="H6" s="10">
        <v>20000.95</v>
      </c>
      <c r="I6" s="10">
        <v>19702.43</v>
      </c>
      <c r="J6" s="10">
        <v>21240.41</v>
      </c>
      <c r="K6" s="10">
        <v>18247.13</v>
      </c>
      <c r="L6" s="10">
        <v>17762.04</v>
      </c>
      <c r="M6" s="10">
        <v>17538.14</v>
      </c>
      <c r="N6" s="10">
        <v>17538.14</v>
      </c>
      <c r="O6" s="10">
        <v>22127.91</v>
      </c>
      <c r="P6" s="10">
        <v>23415.177027725844</v>
      </c>
      <c r="Q6" s="10">
        <v>17799.350399999999</v>
      </c>
      <c r="R6" s="10">
        <v>23628.799999999999</v>
      </c>
      <c r="S6" s="10">
        <v>20066.991526002676</v>
      </c>
      <c r="T6" s="10">
        <v>20064.520477317499</v>
      </c>
      <c r="U6" s="10">
        <v>20069.303037675742</v>
      </c>
      <c r="V6" s="10">
        <v>20071</v>
      </c>
      <c r="W6" s="10">
        <v>20074</v>
      </c>
      <c r="Z6" s="10" t="s">
        <v>693</v>
      </c>
    </row>
    <row r="7" spans="1:28" ht="15.75" customHeight="1">
      <c r="A7" s="2" t="str">
        <f t="shared" si="0"/>
        <v>#REF!</v>
      </c>
      <c r="B7" s="10" t="s">
        <v>687</v>
      </c>
      <c r="C7" s="1" t="s">
        <v>694</v>
      </c>
      <c r="E7" s="10" t="s">
        <v>302</v>
      </c>
      <c r="F7" s="10">
        <v>18711</v>
      </c>
      <c r="G7" s="10">
        <v>31954.5</v>
      </c>
      <c r="H7" s="10">
        <v>41164.199999999997</v>
      </c>
      <c r="I7" s="10">
        <v>47263.5</v>
      </c>
      <c r="J7" s="10">
        <v>54869.399999999994</v>
      </c>
      <c r="K7" s="10">
        <v>60701.399999999994</v>
      </c>
      <c r="L7" s="10">
        <v>68501.7</v>
      </c>
      <c r="M7" s="10">
        <v>44509.184642288274</v>
      </c>
      <c r="N7" s="10">
        <v>47016.530311792398</v>
      </c>
      <c r="O7" s="10">
        <v>49328.860207001751</v>
      </c>
      <c r="P7" s="10">
        <v>51891.924669161483</v>
      </c>
      <c r="Q7" s="10">
        <v>34232.144</v>
      </c>
      <c r="R7" s="10">
        <v>35685.944000000003</v>
      </c>
      <c r="S7" s="10">
        <v>35787</v>
      </c>
      <c r="T7" s="10">
        <v>33504</v>
      </c>
      <c r="U7" s="10">
        <v>31221</v>
      </c>
      <c r="V7" s="10">
        <v>28938</v>
      </c>
      <c r="W7" s="10">
        <v>26655</v>
      </c>
      <c r="Z7" s="10" t="s">
        <v>695</v>
      </c>
      <c r="AB7" s="10" t="s">
        <v>696</v>
      </c>
    </row>
    <row r="8" spans="1:28" ht="15.75" customHeight="1">
      <c r="A8" s="2" t="str">
        <f t="shared" si="0"/>
        <v>#REF!</v>
      </c>
      <c r="B8" s="10" t="s">
        <v>687</v>
      </c>
      <c r="C8" s="10" t="s">
        <v>697</v>
      </c>
      <c r="E8" s="10" t="s">
        <v>302</v>
      </c>
      <c r="F8" s="10">
        <v>231</v>
      </c>
      <c r="G8" s="10">
        <v>0</v>
      </c>
      <c r="H8" s="10">
        <v>0</v>
      </c>
      <c r="I8" s="10">
        <v>0</v>
      </c>
      <c r="J8" s="10">
        <v>0</v>
      </c>
      <c r="K8" s="10">
        <v>0</v>
      </c>
      <c r="L8" s="10">
        <v>0</v>
      </c>
      <c r="M8" s="10">
        <v>0</v>
      </c>
      <c r="N8" s="10">
        <v>0</v>
      </c>
      <c r="O8" s="10">
        <v>0</v>
      </c>
      <c r="P8" s="10">
        <v>0</v>
      </c>
      <c r="Q8" s="10">
        <v>0</v>
      </c>
      <c r="R8" s="10">
        <v>0</v>
      </c>
      <c r="S8" s="10">
        <v>0</v>
      </c>
      <c r="T8" s="10">
        <v>0</v>
      </c>
      <c r="U8" s="10">
        <v>0</v>
      </c>
      <c r="V8" s="10">
        <v>0</v>
      </c>
      <c r="W8" s="10">
        <v>0</v>
      </c>
      <c r="Z8" s="10" t="s">
        <v>690</v>
      </c>
    </row>
    <row r="9" spans="1:28" ht="15.75" customHeight="1">
      <c r="A9" s="2" t="str">
        <f t="shared" si="0"/>
        <v>#REF!</v>
      </c>
      <c r="B9" s="10" t="s">
        <v>687</v>
      </c>
      <c r="C9" s="10" t="s">
        <v>698</v>
      </c>
      <c r="E9" s="10" t="s">
        <v>302</v>
      </c>
      <c r="F9" s="10">
        <v>231</v>
      </c>
      <c r="G9" s="10">
        <v>241</v>
      </c>
      <c r="H9" s="10">
        <v>251</v>
      </c>
      <c r="I9" s="10">
        <v>95</v>
      </c>
      <c r="J9" s="10">
        <v>310</v>
      </c>
      <c r="K9" s="10">
        <v>374.78440000000001</v>
      </c>
      <c r="L9" s="10">
        <v>395.0301</v>
      </c>
      <c r="M9" s="10">
        <v>415.26580000000001</v>
      </c>
      <c r="N9" s="10">
        <v>435.49130000000002</v>
      </c>
      <c r="O9" s="10">
        <v>455.70679999999999</v>
      </c>
      <c r="P9" s="10">
        <v>482.21695629279759</v>
      </c>
      <c r="Q9" s="10">
        <v>362.20800000000031</v>
      </c>
      <c r="R9" s="10">
        <v>313.8240000000003</v>
      </c>
      <c r="S9" s="10">
        <v>466.39600000000002</v>
      </c>
      <c r="T9" s="10">
        <v>485.08499999999998</v>
      </c>
      <c r="U9" s="10">
        <v>503.774</v>
      </c>
      <c r="V9" s="10">
        <v>522</v>
      </c>
      <c r="W9" s="10">
        <v>541</v>
      </c>
      <c r="Z9" s="10" t="s">
        <v>690</v>
      </c>
    </row>
    <row r="10" spans="1:28" ht="15.75" customHeight="1">
      <c r="A10" s="2" t="str">
        <f t="shared" ref="A10:A17" si="1">A$54</f>
        <v>#REF!</v>
      </c>
      <c r="B10" s="10" t="s">
        <v>699</v>
      </c>
    </row>
    <row r="11" spans="1:28" ht="15.75" customHeight="1">
      <c r="A11" s="2" t="str">
        <f t="shared" si="1"/>
        <v>#REF!</v>
      </c>
      <c r="B11" s="10" t="s">
        <v>699</v>
      </c>
      <c r="C11" s="10" t="s">
        <v>689</v>
      </c>
      <c r="E11" s="10" t="s">
        <v>302</v>
      </c>
      <c r="F11" s="10">
        <v>26613.360000000001</v>
      </c>
      <c r="G11" s="10">
        <v>24408.52</v>
      </c>
      <c r="H11" s="10">
        <v>23135.3</v>
      </c>
      <c r="I11" s="10">
        <v>23880.6</v>
      </c>
      <c r="J11" s="10">
        <v>24761.96</v>
      </c>
      <c r="K11" s="10">
        <v>23632.17</v>
      </c>
      <c r="L11" s="10">
        <v>22917.93</v>
      </c>
      <c r="M11" s="10">
        <v>21644.71</v>
      </c>
      <c r="N11" s="10">
        <v>16520.78</v>
      </c>
      <c r="O11" s="10">
        <v>16924.48</v>
      </c>
      <c r="P11" s="10">
        <v>17909.045011387883</v>
      </c>
      <c r="Q11" s="10">
        <v>18042.432100000002</v>
      </c>
      <c r="R11" s="10">
        <v>14595.427000000001</v>
      </c>
      <c r="S11" s="10">
        <v>14595</v>
      </c>
      <c r="T11" s="10">
        <v>10662</v>
      </c>
      <c r="U11" s="10">
        <v>12275.37</v>
      </c>
      <c r="V11" s="10">
        <v>11087</v>
      </c>
      <c r="W11" s="10">
        <v>9649</v>
      </c>
      <c r="Z11" s="10" t="s">
        <v>690</v>
      </c>
    </row>
    <row r="12" spans="1:28" ht="15.75" customHeight="1">
      <c r="A12" s="2" t="str">
        <f t="shared" si="1"/>
        <v>#REF!</v>
      </c>
      <c r="B12" s="10" t="s">
        <v>699</v>
      </c>
      <c r="C12" s="10" t="s">
        <v>700</v>
      </c>
      <c r="E12" s="10" t="s">
        <v>302</v>
      </c>
      <c r="F12" s="10">
        <v>13.621919999999999</v>
      </c>
      <c r="G12" s="10">
        <v>0</v>
      </c>
      <c r="H12" s="10">
        <v>13.15558</v>
      </c>
      <c r="I12" s="10">
        <v>12.95923</v>
      </c>
      <c r="J12" s="10">
        <v>13.970840000000001</v>
      </c>
      <c r="K12" s="10">
        <v>12.00202</v>
      </c>
      <c r="L12" s="10">
        <v>11.68294</v>
      </c>
      <c r="M12" s="10">
        <v>11.535679999999999</v>
      </c>
      <c r="N12" s="10">
        <v>11.535679999999999</v>
      </c>
      <c r="O12" s="10">
        <v>14.554589999999999</v>
      </c>
      <c r="P12" s="10">
        <v>15.401287008203175</v>
      </c>
      <c r="Q12" s="10">
        <v>11.707488000000001</v>
      </c>
      <c r="R12" s="10">
        <v>13.940992</v>
      </c>
      <c r="S12" s="10">
        <v>13.0984</v>
      </c>
      <c r="T12" s="10">
        <v>13.172699999999999</v>
      </c>
      <c r="U12" s="10">
        <v>13.247</v>
      </c>
      <c r="V12" s="10">
        <v>13</v>
      </c>
      <c r="W12" s="10">
        <v>13</v>
      </c>
      <c r="Z12" s="10" t="s">
        <v>690</v>
      </c>
    </row>
    <row r="13" spans="1:28" ht="15.75" customHeight="1">
      <c r="A13" s="2" t="str">
        <f t="shared" si="1"/>
        <v>#REF!</v>
      </c>
      <c r="B13" s="10" t="s">
        <v>699</v>
      </c>
      <c r="C13" s="10" t="s">
        <v>16</v>
      </c>
      <c r="E13" s="10" t="s">
        <v>302</v>
      </c>
      <c r="F13" s="10">
        <v>15123.76</v>
      </c>
      <c r="G13" s="10">
        <v>15977.31</v>
      </c>
      <c r="H13" s="10">
        <v>15630.55</v>
      </c>
      <c r="I13" s="10">
        <v>14883.7</v>
      </c>
      <c r="J13" s="10">
        <v>15022.39</v>
      </c>
      <c r="K13" s="10">
        <v>14670.32</v>
      </c>
      <c r="L13" s="10">
        <v>16137.35</v>
      </c>
      <c r="M13" s="10">
        <v>16937.55</v>
      </c>
      <c r="N13" s="10">
        <v>16350.73</v>
      </c>
      <c r="O13" s="10">
        <v>14616.97</v>
      </c>
      <c r="P13" s="10">
        <v>15467.292076496295</v>
      </c>
      <c r="Q13" s="10">
        <v>19124.756100000002</v>
      </c>
      <c r="R13" s="10">
        <v>17497.684799999999</v>
      </c>
      <c r="S13" s="10">
        <v>17243.2</v>
      </c>
      <c r="T13" s="10">
        <v>17427</v>
      </c>
      <c r="U13" s="10">
        <v>17610.8</v>
      </c>
      <c r="V13" s="10">
        <v>17795</v>
      </c>
      <c r="W13" s="10">
        <v>17978</v>
      </c>
      <c r="Z13" s="10" t="s">
        <v>693</v>
      </c>
    </row>
    <row r="14" spans="1:28" ht="15.75" customHeight="1">
      <c r="A14" s="2" t="str">
        <f t="shared" si="1"/>
        <v>#REF!</v>
      </c>
      <c r="B14" s="10" t="s">
        <v>699</v>
      </c>
      <c r="C14" s="1" t="s">
        <v>694</v>
      </c>
      <c r="E14" s="10" t="s">
        <v>302</v>
      </c>
      <c r="F14" s="10">
        <v>37446.299999999996</v>
      </c>
      <c r="G14" s="10">
        <v>60434.1</v>
      </c>
      <c r="H14" s="10">
        <v>80967.599999999991</v>
      </c>
      <c r="I14" s="10">
        <v>93190.5</v>
      </c>
      <c r="J14" s="10">
        <v>109738.79999999999</v>
      </c>
      <c r="K14" s="10">
        <v>121427.09999999999</v>
      </c>
      <c r="L14" s="10">
        <v>137003.4</v>
      </c>
      <c r="M14" s="10">
        <v>160083.5470095257</v>
      </c>
      <c r="N14" s="10">
        <v>183163.69401905141</v>
      </c>
      <c r="O14" s="10">
        <v>206243.84102857715</v>
      </c>
      <c r="P14" s="10">
        <v>229323.98803810286</v>
      </c>
      <c r="Q14" s="10">
        <v>183997.77399999998</v>
      </c>
      <c r="R14" s="10">
        <v>191811.94899999999</v>
      </c>
      <c r="S14" s="10">
        <v>235951</v>
      </c>
      <c r="T14" s="10">
        <v>248137</v>
      </c>
      <c r="U14" s="10">
        <v>248137</v>
      </c>
      <c r="V14" s="10">
        <v>276299</v>
      </c>
      <c r="W14" s="10">
        <v>294415</v>
      </c>
      <c r="Z14" s="10" t="s">
        <v>695</v>
      </c>
      <c r="AB14" s="10" t="s">
        <v>696</v>
      </c>
    </row>
    <row r="15" spans="1:28" ht="15.75" customHeight="1">
      <c r="A15" s="2" t="str">
        <f t="shared" si="1"/>
        <v>#REF!</v>
      </c>
      <c r="B15" s="10" t="s">
        <v>701</v>
      </c>
      <c r="C15" s="10" t="s">
        <v>702</v>
      </c>
      <c r="E15" s="10" t="s">
        <v>302</v>
      </c>
      <c r="F15" s="10">
        <v>121680</v>
      </c>
      <c r="G15" s="10">
        <v>121680</v>
      </c>
      <c r="H15" s="10">
        <v>121680</v>
      </c>
      <c r="I15" s="10">
        <v>121680</v>
      </c>
      <c r="J15" s="10">
        <v>121680</v>
      </c>
      <c r="K15" s="10">
        <v>121680</v>
      </c>
      <c r="L15" s="10">
        <v>121680</v>
      </c>
      <c r="M15" s="10">
        <v>121680</v>
      </c>
      <c r="N15" s="10">
        <v>121533.55811999999</v>
      </c>
      <c r="O15" s="10">
        <v>121577.22096000001</v>
      </c>
      <c r="P15" s="10">
        <v>121655.10629999998</v>
      </c>
      <c r="Q15" s="10">
        <v>121655.10629999998</v>
      </c>
      <c r="R15" s="10">
        <v>121655.10629999998</v>
      </c>
      <c r="S15" s="10">
        <v>94381</v>
      </c>
      <c r="T15" s="10">
        <v>90975</v>
      </c>
      <c r="U15" s="10">
        <v>89211</v>
      </c>
      <c r="V15" s="10">
        <v>86352</v>
      </c>
      <c r="W15" s="10">
        <v>83767</v>
      </c>
      <c r="Z15" s="10" t="s">
        <v>690</v>
      </c>
    </row>
    <row r="16" spans="1:28" ht="15.75" customHeight="1">
      <c r="A16" s="2" t="str">
        <f t="shared" si="1"/>
        <v>#REF!</v>
      </c>
      <c r="B16" s="10" t="s">
        <v>701</v>
      </c>
      <c r="C16" s="10" t="s">
        <v>703</v>
      </c>
      <c r="E16" s="10" t="s">
        <v>302</v>
      </c>
      <c r="F16" s="10">
        <v>190400</v>
      </c>
      <c r="G16" s="10">
        <v>190400</v>
      </c>
      <c r="H16" s="10">
        <v>190400</v>
      </c>
      <c r="I16" s="10">
        <v>190400</v>
      </c>
      <c r="J16" s="10">
        <v>190400</v>
      </c>
      <c r="K16" s="10">
        <v>190400</v>
      </c>
      <c r="L16" s="10">
        <v>0</v>
      </c>
      <c r="M16" s="10">
        <v>0</v>
      </c>
      <c r="N16" s="10">
        <v>0</v>
      </c>
      <c r="O16" s="10">
        <v>0</v>
      </c>
      <c r="P16" s="10">
        <v>0</v>
      </c>
      <c r="Q16" s="10">
        <v>0</v>
      </c>
      <c r="R16" s="10">
        <v>0</v>
      </c>
      <c r="S16" s="10">
        <v>0</v>
      </c>
      <c r="T16" s="10">
        <v>0</v>
      </c>
      <c r="U16" s="10">
        <v>0</v>
      </c>
      <c r="V16" s="10">
        <v>0</v>
      </c>
      <c r="W16" s="10">
        <v>0</v>
      </c>
      <c r="Z16" s="10" t="s">
        <v>690</v>
      </c>
    </row>
    <row r="17" spans="1:28" ht="15.75" customHeight="1">
      <c r="A17" s="2" t="str">
        <f t="shared" si="1"/>
        <v>#REF!</v>
      </c>
      <c r="B17" s="10" t="s">
        <v>701</v>
      </c>
      <c r="C17" s="10" t="s">
        <v>704</v>
      </c>
      <c r="E17" s="10" t="s">
        <v>302</v>
      </c>
      <c r="F17" s="10">
        <v>1780.8159714891353</v>
      </c>
      <c r="G17" s="10">
        <v>1748.56430568106</v>
      </c>
      <c r="H17" s="10">
        <v>1639.1706513752945</v>
      </c>
      <c r="I17" s="10">
        <v>1993.3452128602914</v>
      </c>
      <c r="J17" s="10">
        <v>2063.3055037116483</v>
      </c>
      <c r="K17" s="10">
        <v>2232</v>
      </c>
      <c r="L17" s="10">
        <v>2293.2249999999995</v>
      </c>
      <c r="M17" s="10">
        <v>2354.4499999999994</v>
      </c>
      <c r="N17" s="10">
        <v>2415.6749999999997</v>
      </c>
      <c r="O17" s="10">
        <v>2476.8999999999992</v>
      </c>
      <c r="P17" s="10">
        <v>2538.1249999999995</v>
      </c>
      <c r="Q17" s="10">
        <v>2599.35</v>
      </c>
      <c r="R17" s="10">
        <v>2660.5750000000003</v>
      </c>
      <c r="S17" s="10">
        <v>2721.8000000000006</v>
      </c>
      <c r="T17" s="10">
        <v>2783.0250000000005</v>
      </c>
      <c r="U17" s="10">
        <v>2844.2500000000009</v>
      </c>
      <c r="V17" s="10">
        <v>2905.4750000000013</v>
      </c>
      <c r="W17" s="10">
        <v>2966.7000000000012</v>
      </c>
      <c r="Z17" s="10" t="s">
        <v>690</v>
      </c>
    </row>
    <row r="18" spans="1:28" ht="15.75" customHeight="1">
      <c r="A18" s="2" t="str">
        <f t="shared" ref="A18:A24" si="2">A$52</f>
        <v>#REF!</v>
      </c>
      <c r="B18" s="10" t="s">
        <v>705</v>
      </c>
    </row>
    <row r="19" spans="1:28" ht="15.75" customHeight="1">
      <c r="A19" s="2" t="str">
        <f t="shared" si="2"/>
        <v>#REF!</v>
      </c>
      <c r="B19" s="10" t="s">
        <v>705</v>
      </c>
      <c r="C19" s="10" t="s">
        <v>706</v>
      </c>
      <c r="E19" s="10" t="s">
        <v>302</v>
      </c>
      <c r="F19" s="10">
        <v>3555.4319999999998</v>
      </c>
      <c r="G19" s="10">
        <v>3536.28</v>
      </c>
      <c r="H19" s="10">
        <v>3534.57</v>
      </c>
      <c r="I19" s="10">
        <v>3648.114</v>
      </c>
      <c r="J19" s="10">
        <v>3756.721</v>
      </c>
      <c r="K19" s="10">
        <v>3818.43</v>
      </c>
      <c r="L19" s="10">
        <v>3857.4180000000001</v>
      </c>
      <c r="M19" s="10">
        <v>3952.8359999999998</v>
      </c>
      <c r="N19" s="10">
        <v>3785.598</v>
      </c>
      <c r="O19" s="10">
        <v>3869.0459999999998</v>
      </c>
      <c r="P19" s="10">
        <v>4094.1228647247867</v>
      </c>
      <c r="Q19" s="10">
        <v>4091.346</v>
      </c>
      <c r="R19" s="10">
        <v>4006.1880000000001</v>
      </c>
      <c r="S19" s="10">
        <v>3814</v>
      </c>
      <c r="T19" s="10">
        <v>3880</v>
      </c>
      <c r="U19" s="10">
        <v>4129</v>
      </c>
      <c r="V19" s="10">
        <v>4248</v>
      </c>
      <c r="W19" s="10">
        <v>4495</v>
      </c>
      <c r="Z19" s="10" t="s">
        <v>690</v>
      </c>
    </row>
    <row r="20" spans="1:28" ht="15.75" customHeight="1">
      <c r="A20" s="2" t="str">
        <f t="shared" si="2"/>
        <v>#REF!</v>
      </c>
      <c r="B20" s="10" t="s">
        <v>705</v>
      </c>
      <c r="C20" s="10" t="s">
        <v>689</v>
      </c>
      <c r="E20" s="10" t="s">
        <v>302</v>
      </c>
      <c r="F20" s="10">
        <v>2917.2280000000001</v>
      </c>
      <c r="G20" s="10">
        <v>2675.5439999999999</v>
      </c>
      <c r="H20" s="10">
        <v>2535.98</v>
      </c>
      <c r="I20" s="10">
        <v>2617.6759999999999</v>
      </c>
      <c r="J20" s="10">
        <v>2714.2860000000001</v>
      </c>
      <c r="K20" s="10">
        <v>2590.444</v>
      </c>
      <c r="L20" s="10">
        <v>2512.152</v>
      </c>
      <c r="M20" s="10">
        <v>2372.5880000000002</v>
      </c>
      <c r="N20" s="10">
        <v>1810.9280000000001</v>
      </c>
      <c r="O20" s="10">
        <v>1855.18</v>
      </c>
      <c r="P20" s="10">
        <v>1963.1027535418625</v>
      </c>
      <c r="Q20" s="10">
        <v>1977.7239999999999</v>
      </c>
      <c r="R20" s="10">
        <v>1599.8799999999999</v>
      </c>
      <c r="S20" s="10">
        <v>3428</v>
      </c>
      <c r="T20" s="10">
        <v>4330.84</v>
      </c>
      <c r="U20" s="10">
        <v>5703.65</v>
      </c>
      <c r="V20" s="10">
        <v>2941</v>
      </c>
      <c r="W20" s="10">
        <v>3162</v>
      </c>
      <c r="Z20" s="10" t="s">
        <v>693</v>
      </c>
    </row>
    <row r="21" spans="1:28" ht="15.75" customHeight="1">
      <c r="A21" s="2" t="str">
        <f t="shared" si="2"/>
        <v>#REF!</v>
      </c>
      <c r="B21" s="10" t="s">
        <v>705</v>
      </c>
      <c r="C21" s="10" t="s">
        <v>691</v>
      </c>
      <c r="E21" s="10" t="s">
        <v>302</v>
      </c>
      <c r="F21" s="10">
        <v>21444.967999999997</v>
      </c>
      <c r="G21" s="10">
        <v>22247.356</v>
      </c>
      <c r="H21" s="10">
        <v>23423.502</v>
      </c>
      <c r="I21" s="10">
        <v>24904.825999999997</v>
      </c>
      <c r="J21" s="10">
        <v>26329.949000000001</v>
      </c>
      <c r="K21" s="10">
        <v>27826.34</v>
      </c>
      <c r="L21" s="10">
        <v>29859.736000000001</v>
      </c>
      <c r="M21" s="10">
        <v>33456.754000000001</v>
      </c>
      <c r="N21" s="10">
        <v>33473.894</v>
      </c>
      <c r="O21" s="10">
        <v>33473.894</v>
      </c>
      <c r="P21" s="10">
        <v>36290.522898393756</v>
      </c>
      <c r="Q21" s="10">
        <v>38490.525000000009</v>
      </c>
      <c r="R21" s="10">
        <v>38617.398000000001</v>
      </c>
      <c r="S21" s="10">
        <v>41317</v>
      </c>
      <c r="T21" s="10">
        <v>41624.199999999997</v>
      </c>
      <c r="U21" s="10">
        <v>40900.129999999997</v>
      </c>
      <c r="V21" s="10">
        <v>44633</v>
      </c>
      <c r="W21" s="10">
        <v>46107</v>
      </c>
      <c r="Z21" s="10" t="s">
        <v>695</v>
      </c>
      <c r="AB21" s="10" t="s">
        <v>696</v>
      </c>
    </row>
    <row r="22" spans="1:28" ht="15.75" customHeight="1">
      <c r="A22" s="2" t="str">
        <f t="shared" si="2"/>
        <v>#REF!</v>
      </c>
      <c r="B22" s="10" t="s">
        <v>705</v>
      </c>
      <c r="C22" s="10" t="s">
        <v>700</v>
      </c>
      <c r="E22" s="10" t="s">
        <v>302</v>
      </c>
      <c r="F22" s="10">
        <v>2057.1410000000001</v>
      </c>
      <c r="G22" s="10">
        <v>2057.1410000000001</v>
      </c>
      <c r="H22" s="10">
        <v>1986.7159999999999</v>
      </c>
      <c r="I22" s="10">
        <v>1957.0640000000001</v>
      </c>
      <c r="J22" s="10">
        <v>2109.8330000000001</v>
      </c>
      <c r="K22" s="10">
        <v>1812.508</v>
      </c>
      <c r="L22" s="10">
        <v>1764.3230000000001</v>
      </c>
      <c r="M22" s="10">
        <v>1742.0830000000001</v>
      </c>
      <c r="N22" s="10">
        <v>1742.0830000000001</v>
      </c>
      <c r="O22" s="10">
        <v>2197.9899999999998</v>
      </c>
      <c r="P22" s="10">
        <v>2325.8553770015301</v>
      </c>
      <c r="Q22" s="10">
        <v>1768.0291200000001</v>
      </c>
      <c r="R22" s="10">
        <v>2105.3260799999998</v>
      </c>
      <c r="S22" s="10">
        <v>2186.7907999999998</v>
      </c>
      <c r="T22" s="10">
        <v>2277.88</v>
      </c>
      <c r="U22" s="10">
        <v>2381.0288</v>
      </c>
      <c r="V22" s="10">
        <v>2496</v>
      </c>
      <c r="W22" s="10">
        <v>2624</v>
      </c>
      <c r="Z22" s="10" t="s">
        <v>690</v>
      </c>
    </row>
    <row r="23" spans="1:28" ht="15.75" customHeight="1">
      <c r="A23" s="2" t="str">
        <f t="shared" si="2"/>
        <v>#REF!</v>
      </c>
      <c r="B23" s="10" t="s">
        <v>705</v>
      </c>
      <c r="C23" s="10" t="s">
        <v>16</v>
      </c>
      <c r="E23" s="10" t="s">
        <v>302</v>
      </c>
      <c r="F23" s="10">
        <v>43.902810000000002</v>
      </c>
      <c r="G23" s="10">
        <v>46.380569999999999</v>
      </c>
      <c r="H23" s="10">
        <v>45.373980000000003</v>
      </c>
      <c r="I23" s="10">
        <v>43.205939999999998</v>
      </c>
      <c r="J23" s="10">
        <v>43.608530000000002</v>
      </c>
      <c r="K23" s="10">
        <v>42.586500000000001</v>
      </c>
      <c r="L23" s="10">
        <v>46.845149999999997</v>
      </c>
      <c r="M23" s="10">
        <v>49.168050000000001</v>
      </c>
      <c r="N23" s="10">
        <v>47.464590000000001</v>
      </c>
      <c r="O23" s="10">
        <v>42.431640000000002</v>
      </c>
      <c r="P23" s="10">
        <v>44.900047068908158</v>
      </c>
      <c r="Q23" s="10">
        <v>55.517310000000002</v>
      </c>
      <c r="R23" s="10">
        <v>50.794080000000001</v>
      </c>
      <c r="S23" s="10">
        <v>40</v>
      </c>
      <c r="T23" s="10">
        <v>37</v>
      </c>
      <c r="U23" s="10">
        <v>45</v>
      </c>
      <c r="V23" s="10">
        <v>45</v>
      </c>
      <c r="W23" s="10">
        <v>45</v>
      </c>
      <c r="Z23" s="10" t="s">
        <v>690</v>
      </c>
    </row>
    <row r="24" spans="1:28" ht="15.75" customHeight="1">
      <c r="A24" s="2" t="str">
        <f t="shared" si="2"/>
        <v>#REF!</v>
      </c>
      <c r="B24" s="10" t="s">
        <v>705</v>
      </c>
      <c r="C24" s="1" t="s">
        <v>694</v>
      </c>
      <c r="E24" s="10" t="s">
        <v>302</v>
      </c>
      <c r="F24" s="10">
        <v>1781.57</v>
      </c>
      <c r="G24" s="10">
        <v>0</v>
      </c>
      <c r="H24" s="10">
        <v>0</v>
      </c>
      <c r="I24" s="10">
        <v>0</v>
      </c>
      <c r="J24" s="10">
        <v>0</v>
      </c>
      <c r="K24" s="10">
        <v>0</v>
      </c>
      <c r="L24" s="10">
        <v>0</v>
      </c>
      <c r="M24" s="10">
        <v>0</v>
      </c>
      <c r="N24" s="10">
        <v>0</v>
      </c>
      <c r="O24" s="10">
        <v>0</v>
      </c>
      <c r="P24" s="10">
        <v>0</v>
      </c>
      <c r="Q24" s="10">
        <v>0</v>
      </c>
      <c r="R24" s="10">
        <v>0</v>
      </c>
      <c r="S24" s="10">
        <v>418</v>
      </c>
      <c r="T24" s="10">
        <v>647.19000000000005</v>
      </c>
      <c r="U24" s="10">
        <v>1403.22</v>
      </c>
      <c r="V24" s="10">
        <v>1403</v>
      </c>
      <c r="W24" s="10">
        <v>1403</v>
      </c>
      <c r="Z24" s="10" t="s">
        <v>690</v>
      </c>
    </row>
    <row r="25" spans="1:28" ht="15.75" customHeight="1"/>
    <row r="26" spans="1:28" ht="15.75" customHeight="1"/>
    <row r="27" spans="1:28" ht="15.75" customHeight="1">
      <c r="A27" s="165" t="s">
        <v>707</v>
      </c>
      <c r="B27" s="1"/>
      <c r="C27" s="1"/>
      <c r="D27" s="1"/>
      <c r="E27" s="1"/>
      <c r="F27" s="299" t="s">
        <v>688</v>
      </c>
      <c r="G27" s="1"/>
      <c r="H27" s="1"/>
      <c r="I27" s="1"/>
      <c r="J27" s="1"/>
      <c r="K27" s="1"/>
      <c r="L27" s="1"/>
      <c r="M27" s="1"/>
      <c r="N27" s="1"/>
      <c r="O27" s="1"/>
      <c r="P27" s="1"/>
      <c r="Q27" s="1"/>
      <c r="R27" s="1"/>
      <c r="S27" s="1"/>
      <c r="T27" s="1"/>
      <c r="U27" s="1"/>
      <c r="V27" s="1"/>
      <c r="W27" s="1"/>
      <c r="X27" s="1"/>
      <c r="Y27" s="1"/>
      <c r="Z27" s="1"/>
      <c r="AA27" s="1"/>
      <c r="AB27" s="1"/>
    </row>
    <row r="28" spans="1:28" ht="15.75" customHeight="1">
      <c r="A28" s="300"/>
      <c r="B28" s="299" t="s">
        <v>683</v>
      </c>
      <c r="C28" s="299" t="s">
        <v>684</v>
      </c>
      <c r="D28" s="299" t="s">
        <v>9</v>
      </c>
      <c r="E28" s="299" t="s">
        <v>685</v>
      </c>
      <c r="F28" s="299">
        <v>2000</v>
      </c>
      <c r="G28" s="299">
        <v>2001</v>
      </c>
      <c r="H28" s="299">
        <v>2002</v>
      </c>
      <c r="I28" s="299">
        <v>2003</v>
      </c>
      <c r="J28" s="299">
        <v>2004</v>
      </c>
      <c r="K28" s="299">
        <v>2005</v>
      </c>
      <c r="L28" s="299">
        <v>2006</v>
      </c>
      <c r="M28" s="299">
        <v>2007</v>
      </c>
      <c r="N28" s="299">
        <v>2008</v>
      </c>
      <c r="O28" s="299">
        <v>2009</v>
      </c>
      <c r="P28" s="299">
        <v>2010</v>
      </c>
      <c r="Q28" s="299">
        <v>2011</v>
      </c>
      <c r="R28" s="299">
        <v>2012</v>
      </c>
      <c r="S28" s="299">
        <v>2013</v>
      </c>
      <c r="T28" s="299">
        <v>2014</v>
      </c>
      <c r="U28" s="299">
        <v>2015</v>
      </c>
      <c r="V28" s="299">
        <v>2016</v>
      </c>
      <c r="W28" s="299">
        <v>2017</v>
      </c>
      <c r="X28" s="301" t="s">
        <v>686</v>
      </c>
      <c r="Y28" s="1"/>
      <c r="Z28" s="1"/>
      <c r="AA28" s="1"/>
      <c r="AB28" s="1"/>
    </row>
    <row r="29" spans="1:28" ht="15.75" customHeight="1">
      <c r="A29" s="2" t="s">
        <v>44</v>
      </c>
      <c r="B29" s="1" t="s">
        <v>708</v>
      </c>
      <c r="C29" s="1" t="s">
        <v>206</v>
      </c>
      <c r="D29" s="299"/>
      <c r="E29" s="1" t="s">
        <v>302</v>
      </c>
      <c r="F29" s="302">
        <v>697.59799999999996</v>
      </c>
      <c r="G29" s="302">
        <v>639.80399999999997</v>
      </c>
      <c r="H29" s="302">
        <v>606.42999999999995</v>
      </c>
      <c r="I29" s="302">
        <v>625.96600000000001</v>
      </c>
      <c r="J29" s="302">
        <v>649.06830000000002</v>
      </c>
      <c r="K29" s="302">
        <v>619.45399999999995</v>
      </c>
      <c r="L29" s="302">
        <v>600.73199999999997</v>
      </c>
      <c r="M29" s="302">
        <v>567.35799999999995</v>
      </c>
      <c r="N29" s="302">
        <v>433.048</v>
      </c>
      <c r="O29" s="302">
        <v>443.63</v>
      </c>
      <c r="P29" s="302">
        <v>469.43761497740189</v>
      </c>
      <c r="Q29" s="302">
        <v>472.93399999999997</v>
      </c>
      <c r="R29" s="302">
        <v>382.58</v>
      </c>
      <c r="S29" s="302">
        <v>388.94600000000003</v>
      </c>
      <c r="T29" s="302">
        <v>365.3</v>
      </c>
      <c r="U29" s="302">
        <v>341.654</v>
      </c>
      <c r="V29" s="303">
        <v>318</v>
      </c>
      <c r="W29" s="303">
        <v>294</v>
      </c>
      <c r="X29" s="1"/>
      <c r="Y29" s="1"/>
      <c r="Z29" s="1" t="s">
        <v>709</v>
      </c>
      <c r="AA29" s="1"/>
      <c r="AB29" s="1"/>
    </row>
    <row r="30" spans="1:28" ht="15.75" customHeight="1">
      <c r="A30" s="2" t="s">
        <v>44</v>
      </c>
      <c r="B30" s="1" t="s">
        <v>708</v>
      </c>
      <c r="C30" s="1" t="s">
        <v>710</v>
      </c>
      <c r="D30" s="1"/>
      <c r="E30" s="1" t="s">
        <v>302</v>
      </c>
      <c r="F30" s="302">
        <v>9531.0959999999995</v>
      </c>
      <c r="G30" s="302">
        <v>9887.7119999999995</v>
      </c>
      <c r="H30" s="302">
        <v>10410.444</v>
      </c>
      <c r="I30" s="302">
        <v>11068.812</v>
      </c>
      <c r="J30" s="302">
        <v>11702.198</v>
      </c>
      <c r="K30" s="302">
        <v>12367.26</v>
      </c>
      <c r="L30" s="302">
        <v>13270.992</v>
      </c>
      <c r="M30" s="302">
        <v>14869.668</v>
      </c>
      <c r="N30" s="302">
        <v>14877.288</v>
      </c>
      <c r="O30" s="302">
        <v>14877.288</v>
      </c>
      <c r="P30" s="302">
        <v>16129.121288175002</v>
      </c>
      <c r="Q30" s="302">
        <v>17106.900000000001</v>
      </c>
      <c r="R30" s="302">
        <v>17163.288</v>
      </c>
      <c r="S30" s="302">
        <v>18137.16</v>
      </c>
      <c r="T30" s="302">
        <v>18824.199999999997</v>
      </c>
      <c r="U30" s="302">
        <v>19511.239999999998</v>
      </c>
      <c r="V30" s="304">
        <v>20198</v>
      </c>
      <c r="W30" s="304">
        <v>20885</v>
      </c>
      <c r="X30" s="1"/>
      <c r="Y30" s="1"/>
      <c r="Z30" s="1" t="s">
        <v>709</v>
      </c>
      <c r="AA30" s="1"/>
      <c r="AB30" s="1"/>
    </row>
    <row r="31" spans="1:28" ht="15.75" customHeight="1">
      <c r="A31" s="2" t="s">
        <v>44</v>
      </c>
      <c r="B31" s="1" t="s">
        <v>708</v>
      </c>
      <c r="C31" s="1" t="s">
        <v>700</v>
      </c>
      <c r="D31" s="1"/>
      <c r="E31" s="1" t="s">
        <v>302</v>
      </c>
      <c r="F31" s="302">
        <v>193.9392</v>
      </c>
      <c r="G31" s="302">
        <v>193.9392</v>
      </c>
      <c r="H31" s="302">
        <v>187.2998</v>
      </c>
      <c r="I31" s="302">
        <v>184.5043</v>
      </c>
      <c r="J31" s="302">
        <v>198.9068</v>
      </c>
      <c r="K31" s="302">
        <v>170.87620000000001</v>
      </c>
      <c r="L31" s="302">
        <v>166.33340000000001</v>
      </c>
      <c r="M31" s="302">
        <v>164.23679999999999</v>
      </c>
      <c r="N31" s="302">
        <v>164.23679999999999</v>
      </c>
      <c r="O31" s="302">
        <v>207.21789999999999</v>
      </c>
      <c r="P31" s="302">
        <v>219.27256079475706</v>
      </c>
      <c r="Q31" s="302">
        <v>166.68287999999998</v>
      </c>
      <c r="R31" s="302">
        <v>198.48191999999997</v>
      </c>
      <c r="S31" s="302">
        <v>186.26839999999999</v>
      </c>
      <c r="T31" s="302">
        <v>186.32899999999998</v>
      </c>
      <c r="U31" s="302">
        <v>186.3896</v>
      </c>
      <c r="V31" s="305">
        <v>186</v>
      </c>
      <c r="W31" s="305">
        <v>187</v>
      </c>
      <c r="X31" s="1"/>
      <c r="Y31" s="1"/>
      <c r="Z31" s="1" t="s">
        <v>709</v>
      </c>
      <c r="AA31" s="1"/>
      <c r="AB31" s="1"/>
    </row>
    <row r="32" spans="1:28" ht="15.75" customHeight="1">
      <c r="A32" s="2" t="s">
        <v>44</v>
      </c>
      <c r="B32" s="1" t="s">
        <v>708</v>
      </c>
      <c r="C32" s="1" t="s">
        <v>16</v>
      </c>
      <c r="D32" s="1"/>
      <c r="E32" s="1" t="s">
        <v>302</v>
      </c>
      <c r="F32" s="302">
        <v>109.0001</v>
      </c>
      <c r="G32" s="302">
        <v>115.15179999999999</v>
      </c>
      <c r="H32" s="302">
        <v>112.65260000000001</v>
      </c>
      <c r="I32" s="302">
        <v>107.26990000000001</v>
      </c>
      <c r="J32" s="302">
        <v>108.2694</v>
      </c>
      <c r="K32" s="302">
        <v>105.732</v>
      </c>
      <c r="L32" s="302">
        <v>116.3052</v>
      </c>
      <c r="M32" s="302">
        <v>122.0724</v>
      </c>
      <c r="N32" s="302">
        <v>117.84310000000001</v>
      </c>
      <c r="O32" s="302">
        <v>105.3475</v>
      </c>
      <c r="P32" s="302">
        <v>111.47597892970302</v>
      </c>
      <c r="Q32" s="302">
        <v>137.83608000000001</v>
      </c>
      <c r="R32" s="302">
        <v>126.10944000000001</v>
      </c>
      <c r="S32" s="302">
        <v>124.2758</v>
      </c>
      <c r="T32" s="302">
        <v>125.60050000000001</v>
      </c>
      <c r="U32" s="302">
        <v>126.9252</v>
      </c>
      <c r="V32" s="303">
        <v>128</v>
      </c>
      <c r="W32" s="303">
        <v>130</v>
      </c>
      <c r="X32" s="1"/>
      <c r="Y32" s="1"/>
      <c r="Z32" s="1" t="s">
        <v>709</v>
      </c>
      <c r="AA32" s="1"/>
      <c r="AB32" s="1"/>
    </row>
    <row r="33" spans="1:28" ht="15.75" customHeight="1">
      <c r="A33" s="2" t="s">
        <v>44</v>
      </c>
      <c r="B33" s="1" t="s">
        <v>708</v>
      </c>
      <c r="C33" s="1" t="s">
        <v>211</v>
      </c>
      <c r="D33" s="1"/>
      <c r="E33" s="1" t="s">
        <v>302</v>
      </c>
      <c r="F33" s="302">
        <v>5053.3811999999998</v>
      </c>
      <c r="G33" s="302">
        <v>5584.1015999999991</v>
      </c>
      <c r="H33" s="302">
        <v>6160.9715999999989</v>
      </c>
      <c r="I33" s="302">
        <v>6276.3455999999996</v>
      </c>
      <c r="J33" s="302">
        <v>6381.9862690872951</v>
      </c>
      <c r="K33" s="302">
        <v>7037.8139999999994</v>
      </c>
      <c r="L33" s="302">
        <v>7245.4872000000005</v>
      </c>
      <c r="M33" s="302">
        <v>7706.9831999999997</v>
      </c>
      <c r="N33" s="302">
        <v>7475.3204191786908</v>
      </c>
      <c r="O33" s="302">
        <v>7601.5660230527901</v>
      </c>
      <c r="P33" s="302">
        <v>8043.7775262158921</v>
      </c>
      <c r="Q33" s="302">
        <v>7536.4707599999992</v>
      </c>
      <c r="R33" s="302">
        <v>9806.8933199999992</v>
      </c>
      <c r="S33" s="302">
        <v>9094.94</v>
      </c>
      <c r="T33" s="302">
        <v>9384.2000000000007</v>
      </c>
      <c r="U33" s="302">
        <v>9673.4599999999991</v>
      </c>
      <c r="V33" s="304">
        <v>9963</v>
      </c>
      <c r="W33" s="304">
        <v>10252</v>
      </c>
      <c r="X33" s="1"/>
      <c r="Y33" s="1"/>
      <c r="Z33" s="1" t="s">
        <v>709</v>
      </c>
      <c r="AA33" s="1"/>
      <c r="AB33" s="1"/>
    </row>
    <row r="34" spans="1:28" ht="15.75" customHeight="1">
      <c r="A34" s="2" t="s">
        <v>44</v>
      </c>
      <c r="B34" s="1" t="s">
        <v>708</v>
      </c>
      <c r="C34" s="1" t="s">
        <v>694</v>
      </c>
      <c r="D34" s="1"/>
      <c r="E34" s="1" t="s">
        <v>302</v>
      </c>
      <c r="F34" s="302">
        <v>302353.98249600001</v>
      </c>
      <c r="G34" s="302">
        <v>295803.76392</v>
      </c>
      <c r="H34" s="302">
        <v>306400.87922399997</v>
      </c>
      <c r="I34" s="302">
        <v>328424.165568</v>
      </c>
      <c r="J34" s="302">
        <v>347343.98616000003</v>
      </c>
      <c r="K34" s="302">
        <v>337162.03149600001</v>
      </c>
      <c r="L34" s="302">
        <v>344183.17240799998</v>
      </c>
      <c r="M34" s="302">
        <v>355304.16071999999</v>
      </c>
      <c r="N34" s="302">
        <v>383032.13644799998</v>
      </c>
      <c r="O34" s="302">
        <v>359011.423152</v>
      </c>
      <c r="P34" s="302">
        <v>365686.777008</v>
      </c>
      <c r="Q34" s="302">
        <v>243904.02600000001</v>
      </c>
      <c r="R34" s="302">
        <v>254262.35100000002</v>
      </c>
      <c r="S34" s="302">
        <v>338982</v>
      </c>
      <c r="T34" s="302">
        <v>322743</v>
      </c>
      <c r="U34" s="302">
        <v>319709</v>
      </c>
      <c r="V34" s="306">
        <v>322672</v>
      </c>
      <c r="W34" s="306">
        <v>322366</v>
      </c>
      <c r="X34" s="1"/>
      <c r="Y34" s="1"/>
      <c r="Z34" s="1" t="s">
        <v>709</v>
      </c>
      <c r="AA34" s="1"/>
      <c r="AB34" s="1"/>
    </row>
    <row r="35" spans="1:28" ht="15.75" customHeight="1">
      <c r="A35" s="2" t="s">
        <v>44</v>
      </c>
      <c r="B35" s="1" t="s">
        <v>708</v>
      </c>
      <c r="C35" s="1" t="s">
        <v>195</v>
      </c>
      <c r="D35" s="1"/>
      <c r="E35" s="1" t="s">
        <v>302</v>
      </c>
      <c r="F35" s="302">
        <v>39532</v>
      </c>
      <c r="G35" s="302">
        <v>41241</v>
      </c>
      <c r="H35" s="302">
        <v>43048</v>
      </c>
      <c r="I35" s="302">
        <v>48749</v>
      </c>
      <c r="J35" s="302">
        <v>50361</v>
      </c>
      <c r="K35" s="302">
        <v>53165.84</v>
      </c>
      <c r="L35" s="302">
        <v>56037.84</v>
      </c>
      <c r="M35" s="302">
        <v>58908.41</v>
      </c>
      <c r="N35" s="302">
        <v>61777.55</v>
      </c>
      <c r="O35" s="302">
        <v>64645.26</v>
      </c>
      <c r="P35" s="302">
        <v>68405.919656963932</v>
      </c>
      <c r="Q35" s="302">
        <v>51381.792000000001</v>
      </c>
      <c r="R35" s="302">
        <v>44518.175999999999</v>
      </c>
      <c r="S35" s="302">
        <v>62379.199999999997</v>
      </c>
      <c r="T35" s="302">
        <v>63798.5</v>
      </c>
      <c r="U35" s="302">
        <v>65217.8</v>
      </c>
      <c r="V35" s="307">
        <v>66637</v>
      </c>
      <c r="W35" s="307">
        <v>68056</v>
      </c>
      <c r="X35" s="1"/>
      <c r="Y35" s="1"/>
      <c r="Z35" s="1" t="s">
        <v>709</v>
      </c>
      <c r="AA35" s="1"/>
      <c r="AB35" s="1"/>
    </row>
    <row r="36" spans="1:28" ht="15.75" customHeight="1"/>
    <row r="37" spans="1:28" ht="15.75" customHeight="1">
      <c r="A37" s="2" t="s">
        <v>711</v>
      </c>
    </row>
    <row r="38" spans="1:28" ht="15.75" customHeight="1"/>
    <row r="39" spans="1:28" ht="15.75" customHeight="1"/>
    <row r="40" spans="1:28" ht="15.75" customHeight="1"/>
    <row r="41" spans="1:28" ht="15.75" customHeight="1"/>
    <row r="42" spans="1:28" ht="15.75" customHeight="1"/>
    <row r="43" spans="1:28" ht="15.75" customHeight="1"/>
    <row r="44" spans="1:28" ht="15.75" customHeight="1"/>
    <row r="45" spans="1:28" ht="15.75" customHeight="1"/>
    <row r="46" spans="1:28" ht="15.75" customHeight="1"/>
    <row r="47" spans="1:28" ht="15.75" customHeight="1"/>
    <row r="48" spans="1:28" ht="15.75" customHeight="1">
      <c r="A48" s="165" t="s">
        <v>712</v>
      </c>
      <c r="B48" s="165" t="s">
        <v>694</v>
      </c>
      <c r="C48" s="165" t="str">
        <f>C15</f>
        <v>Wood/Wood Waste</v>
      </c>
      <c r="D48" s="165" t="str">
        <f>C35</f>
        <v>Natural Gas</v>
      </c>
      <c r="E48" s="10" t="str">
        <f>C8</f>
        <v>Gas work gas</v>
      </c>
      <c r="F48" s="10" t="str">
        <f>C4</f>
        <v>Other kerosene</v>
      </c>
      <c r="G48" s="10" t="str">
        <f>C5</f>
        <v>Gas/diesel oil</v>
      </c>
      <c r="H48" s="10" t="str">
        <f>C6</f>
        <v>Residual Fuel Oil (HFO)</v>
      </c>
    </row>
    <row r="49" spans="1:10" ht="15.75" customHeight="1">
      <c r="A49" s="2" t="s">
        <v>1546</v>
      </c>
      <c r="B49" s="10">
        <f t="shared" ref="B49:I49" si="3">SUMIFS($W$3:$W$35,$A$3:$A$35,$A49,$C$3:$C$35,B$48)</f>
        <v>0</v>
      </c>
      <c r="C49" s="10">
        <f t="shared" si="3"/>
        <v>0</v>
      </c>
      <c r="D49" s="10">
        <f t="shared" si="3"/>
        <v>0</v>
      </c>
      <c r="E49" s="10">
        <f t="shared" si="3"/>
        <v>0</v>
      </c>
      <c r="F49" s="10">
        <f t="shared" si="3"/>
        <v>0</v>
      </c>
      <c r="G49" s="10">
        <f t="shared" si="3"/>
        <v>0</v>
      </c>
      <c r="H49" s="10">
        <f t="shared" si="3"/>
        <v>0</v>
      </c>
      <c r="I49" s="10">
        <f t="shared" si="3"/>
        <v>0</v>
      </c>
    </row>
    <row r="50" spans="1:10" ht="15.75" customHeight="1">
      <c r="A50" s="2" t="s">
        <v>1546</v>
      </c>
      <c r="B50" s="10">
        <f t="shared" ref="B50:B51" si="4">SUMIFS($W$3:$W$35,$A$3:$A$35,$A50)</f>
        <v>0</v>
      </c>
      <c r="C50" s="10">
        <f t="shared" ref="C50:I50" si="5">SUMIFS($W$3:$W$35,$A$3:$A$35,$A50,$C$3:$C$35,C$48)</f>
        <v>0</v>
      </c>
      <c r="D50" s="10">
        <f t="shared" si="5"/>
        <v>0</v>
      </c>
      <c r="E50" s="10">
        <f t="shared" si="5"/>
        <v>0</v>
      </c>
      <c r="F50" s="10">
        <f t="shared" si="5"/>
        <v>0</v>
      </c>
      <c r="G50" s="10">
        <f t="shared" si="5"/>
        <v>0</v>
      </c>
      <c r="H50" s="10">
        <f t="shared" si="5"/>
        <v>0</v>
      </c>
      <c r="I50" s="10">
        <f t="shared" si="5"/>
        <v>0</v>
      </c>
    </row>
    <row r="51" spans="1:10" ht="15.75" customHeight="1">
      <c r="A51" s="308" t="s">
        <v>1546</v>
      </c>
      <c r="B51" s="210">
        <f t="shared" si="4"/>
        <v>0</v>
      </c>
      <c r="C51" s="210">
        <f t="shared" ref="C51:I51" si="6">SUMIFS($W$3:$W$35,$A$3:$A$35,$A51,$C$3:$C$35,C$48)</f>
        <v>0</v>
      </c>
      <c r="D51" s="210">
        <f t="shared" si="6"/>
        <v>0</v>
      </c>
      <c r="E51" s="210">
        <f t="shared" si="6"/>
        <v>0</v>
      </c>
      <c r="F51" s="210">
        <f t="shared" si="6"/>
        <v>0</v>
      </c>
      <c r="G51" s="210">
        <f t="shared" si="6"/>
        <v>0</v>
      </c>
      <c r="H51" s="210">
        <f t="shared" si="6"/>
        <v>0</v>
      </c>
      <c r="I51" s="210">
        <f t="shared" si="6"/>
        <v>0</v>
      </c>
      <c r="J51" s="1" t="s">
        <v>713</v>
      </c>
    </row>
    <row r="52" spans="1:10" ht="15.75" customHeight="1">
      <c r="A52" s="2" t="s">
        <v>1546</v>
      </c>
      <c r="B52" s="10">
        <f t="shared" ref="B52:I52" si="7">SUMIFS($W$3:$W$35,$A$3:$A$35,$A52,$C$3:$C$35,B$48)</f>
        <v>0</v>
      </c>
      <c r="C52" s="10">
        <f t="shared" si="7"/>
        <v>0</v>
      </c>
      <c r="D52" s="10">
        <f t="shared" si="7"/>
        <v>0</v>
      </c>
      <c r="E52" s="10">
        <f t="shared" si="7"/>
        <v>0</v>
      </c>
      <c r="F52" s="10">
        <f t="shared" si="7"/>
        <v>0</v>
      </c>
      <c r="G52" s="10">
        <f t="shared" si="7"/>
        <v>0</v>
      </c>
      <c r="H52" s="10">
        <f t="shared" si="7"/>
        <v>0</v>
      </c>
      <c r="I52" s="10">
        <f t="shared" si="7"/>
        <v>0</v>
      </c>
    </row>
    <row r="53" spans="1:10" ht="15.75" customHeight="1">
      <c r="A53" s="2" t="s">
        <v>1546</v>
      </c>
      <c r="B53" s="10">
        <f t="shared" ref="B53:I53" si="8">SUMIFS($W$3:$W$35,$A$3:$A$35,$A53,$C$3:$C$35,B$48)</f>
        <v>0</v>
      </c>
      <c r="C53" s="10">
        <f t="shared" si="8"/>
        <v>0</v>
      </c>
      <c r="D53" s="10">
        <f t="shared" si="8"/>
        <v>0</v>
      </c>
      <c r="E53" s="10">
        <f t="shared" si="8"/>
        <v>0</v>
      </c>
      <c r="F53" s="10">
        <f t="shared" si="8"/>
        <v>0</v>
      </c>
      <c r="G53" s="10">
        <f t="shared" si="8"/>
        <v>0</v>
      </c>
      <c r="H53" s="10">
        <f t="shared" si="8"/>
        <v>0</v>
      </c>
      <c r="I53" s="10">
        <f t="shared" si="8"/>
        <v>0</v>
      </c>
    </row>
    <row r="54" spans="1:10" ht="15.75" customHeight="1">
      <c r="A54" s="2" t="s">
        <v>1546</v>
      </c>
      <c r="B54" s="10">
        <f t="shared" ref="B54:I54" si="9">SUMIFS($W$3:$W$35,$A$3:$A$35,$A54,$C$3:$C$35,B$48)</f>
        <v>0</v>
      </c>
      <c r="C54" s="10">
        <f t="shared" si="9"/>
        <v>0</v>
      </c>
      <c r="D54" s="10">
        <f t="shared" si="9"/>
        <v>0</v>
      </c>
      <c r="E54" s="10">
        <f t="shared" si="9"/>
        <v>0</v>
      </c>
      <c r="F54" s="10">
        <f t="shared" si="9"/>
        <v>0</v>
      </c>
      <c r="G54" s="10">
        <f t="shared" si="9"/>
        <v>0</v>
      </c>
      <c r="H54" s="10">
        <f t="shared" si="9"/>
        <v>0</v>
      </c>
      <c r="I54" s="10">
        <f t="shared" si="9"/>
        <v>0</v>
      </c>
    </row>
    <row r="55" spans="1:10" ht="15.75" customHeight="1">
      <c r="A55" s="2" t="s">
        <v>1546</v>
      </c>
      <c r="B55" s="10">
        <f t="shared" ref="B55:I55" si="10">SUMIFS($W$3:$W$35,$A$3:$A$35,$A55,$C$3:$C$35,B$48)</f>
        <v>0</v>
      </c>
      <c r="C55" s="10">
        <f t="shared" si="10"/>
        <v>0</v>
      </c>
      <c r="D55" s="10">
        <f t="shared" si="10"/>
        <v>0</v>
      </c>
      <c r="E55" s="10">
        <f t="shared" si="10"/>
        <v>0</v>
      </c>
      <c r="F55" s="10">
        <f t="shared" si="10"/>
        <v>0</v>
      </c>
      <c r="G55" s="10">
        <f t="shared" si="10"/>
        <v>0</v>
      </c>
      <c r="H55" s="10">
        <f t="shared" si="10"/>
        <v>0</v>
      </c>
      <c r="I55" s="10">
        <f t="shared" si="10"/>
        <v>0</v>
      </c>
    </row>
    <row r="56" spans="1:10" ht="15.75" customHeight="1">
      <c r="A56" s="2" t="s">
        <v>1546</v>
      </c>
      <c r="B56" s="10">
        <f t="shared" ref="B56:I56" si="11">SUMIFS($W$3:$W$35,$A$3:$A$35,$A56,$C$3:$C$35,B$48)</f>
        <v>0</v>
      </c>
      <c r="C56" s="10">
        <f t="shared" si="11"/>
        <v>0</v>
      </c>
      <c r="D56" s="10">
        <f t="shared" si="11"/>
        <v>0</v>
      </c>
      <c r="E56" s="10">
        <f t="shared" si="11"/>
        <v>0</v>
      </c>
      <c r="F56" s="10">
        <f t="shared" si="11"/>
        <v>0</v>
      </c>
      <c r="G56" s="10">
        <f t="shared" si="11"/>
        <v>0</v>
      </c>
      <c r="H56" s="10">
        <f t="shared" si="11"/>
        <v>0</v>
      </c>
      <c r="I56" s="10">
        <f t="shared" si="11"/>
        <v>0</v>
      </c>
    </row>
    <row r="57" spans="1:10" ht="15.75" customHeight="1">
      <c r="A57" s="2"/>
    </row>
    <row r="58" spans="1:10" ht="15.75" customHeight="1"/>
    <row r="59" spans="1:10" ht="15.75" customHeight="1"/>
    <row r="60" spans="1:10" ht="15.75" customHeight="1"/>
    <row r="61" spans="1:10" ht="15.75" customHeight="1"/>
    <row r="62" spans="1:10" ht="15.75" customHeight="1"/>
    <row r="63" spans="1:10" ht="15.75" customHeight="1"/>
    <row r="64" spans="1:1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extLst>
    <ext xmlns:x14="http://schemas.microsoft.com/office/spreadsheetml/2009/9/main" uri="{05C60535-1F16-4fd2-B633-F4F36F0B64E0}">
      <x14:sparklineGroups xmlns:xm="http://schemas.microsoft.com/office/excel/2006/main">
        <x14:sparklineGroup displayEmptyCellsAs="gap" xr2:uid="{00000000-0003-0000-0800-000006000000}">
          <x14:colorSeries rgb="FF376092"/>
          <x14:sparklines>
            <x14:sparkline>
              <xm:f>Inventory!F35:W35</xm:f>
              <xm:sqref>X35</xm:sqref>
            </x14:sparkline>
          </x14:sparklines>
        </x14:sparklineGroup>
        <x14:sparklineGroup displayEmptyCellsAs="gap" xr2:uid="{00000000-0003-0000-0800-000005000000}">
          <x14:colorSeries rgb="FF376092"/>
          <x14:sparklines>
            <x14:sparkline>
              <xm:f>Inventory!F34:W34</xm:f>
              <xm:sqref>X34</xm:sqref>
            </x14:sparkline>
          </x14:sparklines>
        </x14:sparklineGroup>
        <x14:sparklineGroup displayEmptyCellsAs="gap" xr2:uid="{00000000-0003-0000-0800-000004000000}">
          <x14:colorSeries rgb="FF376092"/>
          <x14:sparklines>
            <x14:sparkline>
              <xm:f>Inventory!F33:W33</xm:f>
              <xm:sqref>X33</xm:sqref>
            </x14:sparkline>
          </x14:sparklines>
        </x14:sparklineGroup>
        <x14:sparklineGroup displayEmptyCellsAs="gap" xr2:uid="{00000000-0003-0000-0800-000003000000}">
          <x14:colorSeries rgb="FF376092"/>
          <x14:sparklines>
            <x14:sparkline>
              <xm:f>Inventory!F32:W32</xm:f>
              <xm:sqref>X32</xm:sqref>
            </x14:sparkline>
          </x14:sparklines>
        </x14:sparklineGroup>
        <x14:sparklineGroup displayEmptyCellsAs="gap" xr2:uid="{00000000-0003-0000-0800-000002000000}">
          <x14:colorSeries rgb="FF376092"/>
          <x14:sparklines>
            <x14:sparkline>
              <xm:f>Inventory!F31:W31</xm:f>
              <xm:sqref>X31</xm:sqref>
            </x14:sparkline>
          </x14:sparklines>
        </x14:sparklineGroup>
        <x14:sparklineGroup displayEmptyCellsAs="gap" xr2:uid="{00000000-0003-0000-0800-000001000000}">
          <x14:colorSeries rgb="FF376092"/>
          <x14:sparklines>
            <x14:sparkline>
              <xm:f>Inventory!F30:W30</xm:f>
              <xm:sqref>X30</xm:sqref>
            </x14:sparkline>
          </x14:sparklines>
        </x14:sparklineGroup>
        <x14:sparklineGroup displayEmptyCellsAs="gap" xr2:uid="{00000000-0003-0000-0800-000000000000}">
          <x14:colorSeries rgb="FF376092"/>
          <x14:sparklines>
            <x14:sparkline>
              <xm:f>Inventory!F29:W29</xm:f>
              <xm:sqref>X29</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B1000"/>
  <sheetViews>
    <sheetView workbookViewId="0"/>
  </sheetViews>
  <sheetFormatPr defaultColWidth="11.21875" defaultRowHeight="15" customHeight="1"/>
  <cols>
    <col min="1" max="1" width="24.109375" customWidth="1"/>
    <col min="2" max="26" width="10.5546875" customWidth="1"/>
  </cols>
  <sheetData>
    <row r="1" spans="1:2" ht="15.75" customHeight="1"/>
    <row r="2" spans="1:2" ht="15.75" customHeight="1"/>
    <row r="3" spans="1:2" ht="15.75" customHeight="1">
      <c r="B3" s="1" t="s">
        <v>426</v>
      </c>
    </row>
    <row r="4" spans="1:2" ht="15.75" customHeight="1">
      <c r="A4" s="4">
        <v>2017</v>
      </c>
      <c r="B4" s="4" t="s">
        <v>284</v>
      </c>
    </row>
    <row r="5" spans="1:2" ht="15.75" customHeight="1">
      <c r="A5" s="2" t="s">
        <v>44</v>
      </c>
      <c r="B5" s="166">
        <f>SUMIFS('DMRE 2017EB'!$AF$4:$AF$101,'DMRE 2017EB'!$N$4:$N$101,A5)-B6</f>
        <v>396975.34375</v>
      </c>
    </row>
    <row r="6" spans="1:2" ht="15.75" customHeight="1">
      <c r="A6" s="2" t="s">
        <v>136</v>
      </c>
      <c r="B6" s="166">
        <f>SUMIFS('DMRE 2017EB'!$AF$4:$AF$101,'DMRE 2017EB'!$N$4:$N$101,A6)</f>
        <v>0</v>
      </c>
    </row>
    <row r="7" spans="1:2" ht="15.75" customHeight="1">
      <c r="A7" s="2" t="s">
        <v>143</v>
      </c>
      <c r="B7" s="166">
        <f>SUMIFS('DMRE 2017EB'!$AF$4:$AF$101,'DMRE 2017EB'!$N$4:$N$101,A7)</f>
        <v>0</v>
      </c>
    </row>
    <row r="8" spans="1:2" ht="15.75" customHeight="1">
      <c r="A8" s="2" t="s">
        <v>41</v>
      </c>
      <c r="B8" s="166">
        <f>SUMIFS('DMRE 2017EB'!$AF$4:$AF$101,'DMRE 2017EB'!$N$4:$N$101,A8)</f>
        <v>0</v>
      </c>
    </row>
    <row r="9" spans="1:2" ht="15.75" customHeight="1">
      <c r="A9" s="2" t="s">
        <v>152</v>
      </c>
      <c r="B9" s="166">
        <f>SUMIFS('DMRE 2017EB'!$AF$4:$AF$101,'DMRE 2017EB'!$N$4:$N$101,A9)</f>
        <v>0</v>
      </c>
    </row>
    <row r="10" spans="1:2" ht="15.75" customHeight="1">
      <c r="A10" s="2" t="s">
        <v>56</v>
      </c>
      <c r="B10" s="166">
        <f>SUMIFS('DMRE 2017EB'!$AF$4:$AF$101,'DMRE 2017EB'!$N$4:$N$101,A10)</f>
        <v>28925.7578125</v>
      </c>
    </row>
    <row r="11" spans="1:2" ht="15.75" customHeight="1">
      <c r="A11" s="2" t="s">
        <v>58</v>
      </c>
      <c r="B11" s="166">
        <f>SUMIFS('DMRE 2017EB'!$AF$4:$AF$101,'DMRE 2017EB'!$N$4:$N$101,A11)</f>
        <v>0</v>
      </c>
    </row>
    <row r="12" spans="1:2" ht="15.75" customHeight="1">
      <c r="A12" s="2" t="s">
        <v>107</v>
      </c>
      <c r="B12" s="166">
        <f>SUMIFS('DMRE 2017EB'!$AF$4:$AF$101,'DMRE 2017EB'!$N$4:$N$101,A12)</f>
        <v>0</v>
      </c>
    </row>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P150"/>
  <sheetViews>
    <sheetView workbookViewId="0"/>
  </sheetViews>
  <sheetFormatPr defaultColWidth="11.21875" defaultRowHeight="15" customHeight="1"/>
  <cols>
    <col min="4" max="4" width="17.88671875" customWidth="1"/>
  </cols>
  <sheetData>
    <row r="1" spans="1:16" ht="15" customHeight="1">
      <c r="A1" s="309" t="s">
        <v>714</v>
      </c>
      <c r="B1" s="310" t="s">
        <v>715</v>
      </c>
      <c r="C1" s="310" t="s">
        <v>716</v>
      </c>
      <c r="D1" s="310" t="s">
        <v>717</v>
      </c>
      <c r="E1" s="310" t="s">
        <v>718</v>
      </c>
      <c r="F1" s="311" t="s">
        <v>719</v>
      </c>
      <c r="G1" s="312" t="s">
        <v>720</v>
      </c>
      <c r="H1" s="310" t="s">
        <v>721</v>
      </c>
      <c r="I1" s="310" t="s">
        <v>722</v>
      </c>
      <c r="J1" s="310" t="s">
        <v>723</v>
      </c>
      <c r="K1" s="310" t="s">
        <v>724</v>
      </c>
      <c r="L1" s="310" t="s">
        <v>725</v>
      </c>
      <c r="M1" s="310" t="s">
        <v>726</v>
      </c>
      <c r="N1" s="310" t="s">
        <v>727</v>
      </c>
      <c r="O1" s="310" t="s">
        <v>728</v>
      </c>
      <c r="P1" s="310" t="s">
        <v>729</v>
      </c>
    </row>
    <row r="2" spans="1:16" ht="15" customHeight="1">
      <c r="A2" s="313" t="s">
        <v>730</v>
      </c>
      <c r="B2" s="314" t="s">
        <v>272</v>
      </c>
      <c r="C2" s="314" t="s">
        <v>731</v>
      </c>
      <c r="D2" s="314" t="s">
        <v>732</v>
      </c>
      <c r="E2" s="314" t="s">
        <v>4</v>
      </c>
      <c r="F2" s="315" t="s">
        <v>281</v>
      </c>
      <c r="G2" s="315" t="s">
        <v>733</v>
      </c>
      <c r="H2" s="316">
        <v>2018</v>
      </c>
      <c r="I2" s="317">
        <v>1980</v>
      </c>
      <c r="J2" s="317">
        <v>11778390.859999999</v>
      </c>
      <c r="K2" s="317">
        <v>915105.89</v>
      </c>
      <c r="L2" s="317">
        <v>10863284.970000001</v>
      </c>
      <c r="M2" s="316">
        <v>0</v>
      </c>
      <c r="N2" s="317">
        <v>10863284.970000001</v>
      </c>
      <c r="O2" s="316">
        <v>0</v>
      </c>
      <c r="P2" s="317">
        <v>10863284.970000001</v>
      </c>
    </row>
    <row r="3" spans="1:16" ht="15" customHeight="1">
      <c r="A3" s="313" t="s">
        <v>730</v>
      </c>
      <c r="B3" s="314" t="s">
        <v>272</v>
      </c>
      <c r="C3" s="314" t="s">
        <v>731</v>
      </c>
      <c r="D3" s="314" t="s">
        <v>734</v>
      </c>
      <c r="E3" s="314" t="s">
        <v>4</v>
      </c>
      <c r="F3" s="315" t="s">
        <v>281</v>
      </c>
      <c r="G3" s="315" t="s">
        <v>733</v>
      </c>
      <c r="H3" s="316">
        <v>2018</v>
      </c>
      <c r="I3" s="317">
        <v>1520</v>
      </c>
      <c r="J3" s="317">
        <v>8127675.9699999997</v>
      </c>
      <c r="K3" s="317">
        <v>640966.31999999995</v>
      </c>
      <c r="L3" s="317">
        <v>7486709.6500000004</v>
      </c>
      <c r="M3" s="316">
        <v>0</v>
      </c>
      <c r="N3" s="317">
        <v>7486709.6500000004</v>
      </c>
      <c r="O3" s="316">
        <v>0</v>
      </c>
      <c r="P3" s="317">
        <v>7486709.6500000004</v>
      </c>
    </row>
    <row r="4" spans="1:16" ht="15" customHeight="1">
      <c r="A4" s="313" t="s">
        <v>730</v>
      </c>
      <c r="B4" s="314" t="s">
        <v>272</v>
      </c>
      <c r="C4" s="314" t="s">
        <v>731</v>
      </c>
      <c r="D4" s="314" t="s">
        <v>735</v>
      </c>
      <c r="E4" s="314" t="s">
        <v>4</v>
      </c>
      <c r="F4" s="315" t="s">
        <v>281</v>
      </c>
      <c r="G4" s="315" t="s">
        <v>733</v>
      </c>
      <c r="H4" s="316">
        <v>2018</v>
      </c>
      <c r="I4" s="317">
        <v>3450</v>
      </c>
      <c r="J4" s="317">
        <v>11698000.35</v>
      </c>
      <c r="K4" s="317">
        <v>1086090.8400000001</v>
      </c>
      <c r="L4" s="317">
        <v>10611909.51</v>
      </c>
      <c r="M4" s="316">
        <v>0</v>
      </c>
      <c r="N4" s="317">
        <v>10611909.51</v>
      </c>
      <c r="O4" s="316">
        <v>0</v>
      </c>
      <c r="P4" s="317">
        <v>10611909.51</v>
      </c>
    </row>
    <row r="5" spans="1:16" ht="15" customHeight="1">
      <c r="A5" s="313" t="s">
        <v>730</v>
      </c>
      <c r="B5" s="314" t="s">
        <v>272</v>
      </c>
      <c r="C5" s="314" t="s">
        <v>731</v>
      </c>
      <c r="D5" s="314" t="s">
        <v>736</v>
      </c>
      <c r="E5" s="314" t="s">
        <v>4</v>
      </c>
      <c r="F5" s="315" t="s">
        <v>281</v>
      </c>
      <c r="G5" s="315" t="s">
        <v>733</v>
      </c>
      <c r="H5" s="316">
        <v>2018</v>
      </c>
      <c r="I5" s="317">
        <v>1130</v>
      </c>
      <c r="J5" s="317">
        <v>2644796.23</v>
      </c>
      <c r="K5" s="317">
        <v>237762.33</v>
      </c>
      <c r="L5" s="317">
        <v>2407033.9</v>
      </c>
      <c r="M5" s="316">
        <v>0</v>
      </c>
      <c r="N5" s="317">
        <v>2407033.9</v>
      </c>
      <c r="O5" s="316">
        <v>0</v>
      </c>
      <c r="P5" s="317">
        <v>2407033.9</v>
      </c>
    </row>
    <row r="6" spans="1:16" ht="15" customHeight="1">
      <c r="A6" s="313" t="s">
        <v>730</v>
      </c>
      <c r="B6" s="314" t="s">
        <v>272</v>
      </c>
      <c r="C6" s="314" t="s">
        <v>731</v>
      </c>
      <c r="D6" s="314" t="s">
        <v>737</v>
      </c>
      <c r="E6" s="314" t="s">
        <v>4</v>
      </c>
      <c r="F6" s="315" t="s">
        <v>281</v>
      </c>
      <c r="G6" s="315" t="s">
        <v>733</v>
      </c>
      <c r="H6" s="316">
        <v>2018</v>
      </c>
      <c r="I6" s="317">
        <v>1900</v>
      </c>
      <c r="J6" s="317">
        <v>8601265.8000000007</v>
      </c>
      <c r="K6" s="317">
        <v>616233.37</v>
      </c>
      <c r="L6" s="317">
        <v>7985032.4299999997</v>
      </c>
      <c r="M6" s="316">
        <v>0</v>
      </c>
      <c r="N6" s="317">
        <v>7985032.4299999997</v>
      </c>
      <c r="O6" s="316">
        <v>0</v>
      </c>
      <c r="P6" s="317">
        <v>7985032.4299999997</v>
      </c>
    </row>
    <row r="7" spans="1:16" ht="15" customHeight="1">
      <c r="A7" s="313" t="s">
        <v>730</v>
      </c>
      <c r="B7" s="314" t="s">
        <v>272</v>
      </c>
      <c r="C7" s="314" t="s">
        <v>731</v>
      </c>
      <c r="D7" s="314" t="s">
        <v>738</v>
      </c>
      <c r="E7" s="314" t="s">
        <v>4</v>
      </c>
      <c r="F7" s="315" t="s">
        <v>281</v>
      </c>
      <c r="G7" s="315" t="s">
        <v>733</v>
      </c>
      <c r="H7" s="316">
        <v>2018</v>
      </c>
      <c r="I7" s="317">
        <v>3840</v>
      </c>
      <c r="J7" s="317">
        <v>24612913.059999999</v>
      </c>
      <c r="K7" s="317">
        <v>1918505.09</v>
      </c>
      <c r="L7" s="317">
        <v>22694407.969999999</v>
      </c>
      <c r="M7" s="316">
        <v>0</v>
      </c>
      <c r="N7" s="317">
        <v>22694407.969999999</v>
      </c>
      <c r="O7" s="316">
        <v>0</v>
      </c>
      <c r="P7" s="317">
        <v>22694407.969999999</v>
      </c>
    </row>
    <row r="8" spans="1:16" ht="15" customHeight="1">
      <c r="A8" s="313" t="s">
        <v>730</v>
      </c>
      <c r="B8" s="314" t="s">
        <v>272</v>
      </c>
      <c r="C8" s="314" t="s">
        <v>731</v>
      </c>
      <c r="D8" s="314" t="s">
        <v>739</v>
      </c>
      <c r="E8" s="314" t="s">
        <v>4</v>
      </c>
      <c r="F8" s="315" t="s">
        <v>281</v>
      </c>
      <c r="G8" s="315" t="s">
        <v>733</v>
      </c>
      <c r="H8" s="316">
        <v>2018</v>
      </c>
      <c r="I8" s="317">
        <v>1000</v>
      </c>
      <c r="J8" s="317">
        <v>2318905.87</v>
      </c>
      <c r="K8" s="317">
        <v>165328.51</v>
      </c>
      <c r="L8" s="317">
        <v>2153577.36</v>
      </c>
      <c r="M8" s="316">
        <v>0</v>
      </c>
      <c r="N8" s="317">
        <v>2153577.36</v>
      </c>
      <c r="O8" s="316">
        <v>0</v>
      </c>
      <c r="P8" s="317">
        <v>2153577.36</v>
      </c>
    </row>
    <row r="9" spans="1:16" ht="15" customHeight="1">
      <c r="A9" s="313" t="s">
        <v>730</v>
      </c>
      <c r="B9" s="314" t="s">
        <v>272</v>
      </c>
      <c r="C9" s="314" t="s">
        <v>731</v>
      </c>
      <c r="D9" s="314" t="s">
        <v>740</v>
      </c>
      <c r="E9" s="314" t="s">
        <v>4</v>
      </c>
      <c r="F9" s="315" t="s">
        <v>281</v>
      </c>
      <c r="G9" s="315" t="s">
        <v>733</v>
      </c>
      <c r="H9" s="316">
        <v>2018</v>
      </c>
      <c r="I9" s="317">
        <v>2850</v>
      </c>
      <c r="J9" s="317">
        <v>13465249.300000001</v>
      </c>
      <c r="K9" s="317">
        <v>870173.16</v>
      </c>
      <c r="L9" s="317">
        <v>12595076.140000001</v>
      </c>
      <c r="M9" s="316">
        <v>0</v>
      </c>
      <c r="N9" s="317">
        <v>12595076.140000001</v>
      </c>
      <c r="O9" s="316">
        <v>0</v>
      </c>
      <c r="P9" s="317">
        <v>12595076.140000001</v>
      </c>
    </row>
    <row r="10" spans="1:16" ht="15" customHeight="1">
      <c r="A10" s="313" t="s">
        <v>730</v>
      </c>
      <c r="B10" s="314" t="s">
        <v>272</v>
      </c>
      <c r="C10" s="314" t="s">
        <v>731</v>
      </c>
      <c r="D10" s="314" t="s">
        <v>741</v>
      </c>
      <c r="E10" s="314" t="s">
        <v>4</v>
      </c>
      <c r="F10" s="315" t="s">
        <v>277</v>
      </c>
      <c r="G10" s="315" t="s">
        <v>733</v>
      </c>
      <c r="H10" s="316">
        <v>2018</v>
      </c>
      <c r="I10" s="317">
        <v>3558</v>
      </c>
      <c r="J10" s="317">
        <v>20827205.899999999</v>
      </c>
      <c r="K10" s="317">
        <v>1172157.79</v>
      </c>
      <c r="L10" s="317">
        <v>19655048.109999999</v>
      </c>
      <c r="M10" s="316">
        <v>0</v>
      </c>
      <c r="N10" s="317">
        <v>19655048.109999999</v>
      </c>
      <c r="O10" s="316">
        <v>0</v>
      </c>
      <c r="P10" s="317">
        <v>19655048.109999999</v>
      </c>
    </row>
    <row r="11" spans="1:16" ht="15" customHeight="1">
      <c r="A11" s="313" t="s">
        <v>730</v>
      </c>
      <c r="B11" s="314" t="s">
        <v>272</v>
      </c>
      <c r="C11" s="314" t="s">
        <v>731</v>
      </c>
      <c r="D11" s="314" t="s">
        <v>742</v>
      </c>
      <c r="E11" s="314" t="s">
        <v>4</v>
      </c>
      <c r="F11" s="315" t="s">
        <v>281</v>
      </c>
      <c r="G11" s="315" t="s">
        <v>733</v>
      </c>
      <c r="H11" s="316">
        <v>2018</v>
      </c>
      <c r="I11" s="317">
        <v>3843</v>
      </c>
      <c r="J11" s="317">
        <v>26301014.129999999</v>
      </c>
      <c r="K11" s="317">
        <v>1909230.08</v>
      </c>
      <c r="L11" s="317">
        <v>24391784.050000001</v>
      </c>
      <c r="M11" s="316">
        <v>0</v>
      </c>
      <c r="N11" s="317">
        <v>24391784.050000001</v>
      </c>
      <c r="O11" s="316">
        <v>0</v>
      </c>
      <c r="P11" s="317">
        <v>24391784.050000001</v>
      </c>
    </row>
    <row r="12" spans="1:16" ht="15" customHeight="1">
      <c r="A12" s="313" t="s">
        <v>730</v>
      </c>
      <c r="B12" s="314" t="s">
        <v>272</v>
      </c>
      <c r="C12" s="314" t="s">
        <v>731</v>
      </c>
      <c r="D12" s="314" t="s">
        <v>743</v>
      </c>
      <c r="E12" s="314" t="s">
        <v>4</v>
      </c>
      <c r="F12" s="315" t="s">
        <v>282</v>
      </c>
      <c r="G12" s="315" t="s">
        <v>733</v>
      </c>
      <c r="H12" s="316">
        <v>2018</v>
      </c>
      <c r="I12" s="317">
        <v>3690</v>
      </c>
      <c r="J12" s="317">
        <v>29602780.120000001</v>
      </c>
      <c r="K12" s="317">
        <v>2586669.4</v>
      </c>
      <c r="L12" s="317">
        <v>27016110.719999999</v>
      </c>
      <c r="M12" s="316">
        <v>0</v>
      </c>
      <c r="N12" s="317">
        <v>27016110.719999999</v>
      </c>
      <c r="O12" s="316">
        <v>0</v>
      </c>
      <c r="P12" s="317">
        <v>27016110.719999999</v>
      </c>
    </row>
    <row r="13" spans="1:16" ht="15" customHeight="1">
      <c r="A13" s="313" t="s">
        <v>730</v>
      </c>
      <c r="B13" s="314" t="s">
        <v>272</v>
      </c>
      <c r="C13" s="314" t="s">
        <v>731</v>
      </c>
      <c r="D13" s="314" t="s">
        <v>744</v>
      </c>
      <c r="E13" s="314" t="s">
        <v>4</v>
      </c>
      <c r="F13" s="315" t="s">
        <v>281</v>
      </c>
      <c r="G13" s="315" t="s">
        <v>733</v>
      </c>
      <c r="H13" s="316">
        <v>2018</v>
      </c>
      <c r="I13" s="317">
        <v>3450</v>
      </c>
      <c r="J13" s="317">
        <v>20761579.800000001</v>
      </c>
      <c r="K13" s="317">
        <v>1218096.32</v>
      </c>
      <c r="L13" s="317">
        <v>19543483.48</v>
      </c>
      <c r="M13" s="316">
        <v>0</v>
      </c>
      <c r="N13" s="317">
        <v>19543483.48</v>
      </c>
      <c r="O13" s="316">
        <v>0</v>
      </c>
      <c r="P13" s="317">
        <v>19543483.48</v>
      </c>
    </row>
    <row r="14" spans="1:16" ht="15" customHeight="1">
      <c r="A14" s="313" t="s">
        <v>730</v>
      </c>
      <c r="B14" s="314" t="s">
        <v>272</v>
      </c>
      <c r="C14" s="314" t="s">
        <v>731</v>
      </c>
      <c r="D14" s="314" t="s">
        <v>745</v>
      </c>
      <c r="E14" s="314" t="s">
        <v>4</v>
      </c>
      <c r="F14" s="315" t="s">
        <v>281</v>
      </c>
      <c r="G14" s="315" t="s">
        <v>733</v>
      </c>
      <c r="H14" s="316">
        <v>2018</v>
      </c>
      <c r="I14" s="317">
        <v>3510</v>
      </c>
      <c r="J14" s="317">
        <v>17465880.77</v>
      </c>
      <c r="K14" s="317">
        <v>1226462.5900000001</v>
      </c>
      <c r="L14" s="317">
        <v>16239418.18</v>
      </c>
      <c r="M14" s="316">
        <v>0</v>
      </c>
      <c r="N14" s="317">
        <v>16239418.18</v>
      </c>
      <c r="O14" s="316">
        <v>0</v>
      </c>
      <c r="P14" s="317">
        <v>16239418.18</v>
      </c>
    </row>
    <row r="15" spans="1:16" ht="15" customHeight="1">
      <c r="A15" s="313" t="s">
        <v>730</v>
      </c>
      <c r="B15" s="314" t="s">
        <v>272</v>
      </c>
      <c r="C15" s="314" t="s">
        <v>731</v>
      </c>
      <c r="D15" s="314" t="s">
        <v>746</v>
      </c>
      <c r="E15" s="314" t="s">
        <v>9</v>
      </c>
      <c r="F15" s="315" t="s">
        <v>274</v>
      </c>
      <c r="G15" s="315" t="s">
        <v>733</v>
      </c>
      <c r="H15" s="316">
        <v>2018</v>
      </c>
      <c r="I15" s="316">
        <v>171</v>
      </c>
      <c r="J15" s="317">
        <v>1258</v>
      </c>
      <c r="K15" s="316">
        <v>0</v>
      </c>
      <c r="L15" s="317">
        <v>1258</v>
      </c>
      <c r="M15" s="316">
        <v>0</v>
      </c>
      <c r="N15" s="317">
        <v>1258</v>
      </c>
      <c r="O15" s="316">
        <v>0</v>
      </c>
      <c r="P15" s="317">
        <v>1258</v>
      </c>
    </row>
    <row r="16" spans="1:16" ht="15" customHeight="1">
      <c r="A16" s="313" t="s">
        <v>730</v>
      </c>
      <c r="B16" s="314" t="s">
        <v>272</v>
      </c>
      <c r="C16" s="314" t="s">
        <v>731</v>
      </c>
      <c r="D16" s="314" t="s">
        <v>747</v>
      </c>
      <c r="E16" s="314" t="s">
        <v>9</v>
      </c>
      <c r="F16" s="315" t="s">
        <v>274</v>
      </c>
      <c r="G16" s="315" t="s">
        <v>733</v>
      </c>
      <c r="H16" s="316">
        <v>2018</v>
      </c>
      <c r="I16" s="316">
        <v>588</v>
      </c>
      <c r="J16" s="317">
        <v>340236.39</v>
      </c>
      <c r="K16" s="317">
        <v>1622.2</v>
      </c>
      <c r="L16" s="317">
        <v>338614.19</v>
      </c>
      <c r="M16" s="316">
        <v>0</v>
      </c>
      <c r="N16" s="317">
        <v>338614.19</v>
      </c>
      <c r="O16" s="316">
        <v>0</v>
      </c>
      <c r="P16" s="317">
        <v>338614.19</v>
      </c>
    </row>
    <row r="17" spans="1:16" ht="15" customHeight="1">
      <c r="A17" s="313" t="s">
        <v>730</v>
      </c>
      <c r="B17" s="314" t="s">
        <v>272</v>
      </c>
      <c r="C17" s="314" t="s">
        <v>731</v>
      </c>
      <c r="D17" s="314" t="s">
        <v>748</v>
      </c>
      <c r="E17" s="314" t="s">
        <v>9</v>
      </c>
      <c r="F17" s="315" t="s">
        <v>274</v>
      </c>
      <c r="G17" s="315" t="s">
        <v>733</v>
      </c>
      <c r="H17" s="316">
        <v>2018</v>
      </c>
      <c r="I17" s="316">
        <v>438</v>
      </c>
      <c r="J17" s="317">
        <v>173101.81</v>
      </c>
      <c r="K17" s="317">
        <v>1141.8</v>
      </c>
      <c r="L17" s="317">
        <v>171960.01</v>
      </c>
      <c r="M17" s="316">
        <v>0</v>
      </c>
      <c r="N17" s="317">
        <v>171960.01</v>
      </c>
      <c r="O17" s="316">
        <v>0</v>
      </c>
      <c r="P17" s="317">
        <v>171960.01</v>
      </c>
    </row>
    <row r="18" spans="1:16" ht="15" customHeight="1">
      <c r="A18" s="313" t="s">
        <v>730</v>
      </c>
      <c r="B18" s="314" t="s">
        <v>272</v>
      </c>
      <c r="C18" s="314" t="s">
        <v>731</v>
      </c>
      <c r="D18" s="314" t="s">
        <v>749</v>
      </c>
      <c r="E18" s="314" t="s">
        <v>9</v>
      </c>
      <c r="F18" s="315" t="s">
        <v>275</v>
      </c>
      <c r="G18" s="315" t="s">
        <v>733</v>
      </c>
      <c r="H18" s="316">
        <v>2018</v>
      </c>
      <c r="I18" s="316">
        <v>171</v>
      </c>
      <c r="J18" s="317">
        <v>1189</v>
      </c>
      <c r="K18" s="316">
        <v>-3</v>
      </c>
      <c r="L18" s="317">
        <v>1192</v>
      </c>
      <c r="M18" s="316">
        <v>0</v>
      </c>
      <c r="N18" s="317">
        <v>1192</v>
      </c>
      <c r="O18" s="316">
        <v>0</v>
      </c>
      <c r="P18" s="317">
        <v>1192</v>
      </c>
    </row>
    <row r="19" spans="1:16" ht="15" customHeight="1">
      <c r="A19" s="313" t="s">
        <v>730</v>
      </c>
      <c r="B19" s="314" t="s">
        <v>272</v>
      </c>
      <c r="C19" s="314" t="s">
        <v>731</v>
      </c>
      <c r="D19" s="314" t="s">
        <v>750</v>
      </c>
      <c r="E19" s="314" t="s">
        <v>96</v>
      </c>
      <c r="F19" s="315" t="s">
        <v>751</v>
      </c>
      <c r="G19" s="315" t="s">
        <v>733</v>
      </c>
      <c r="H19" s="316">
        <v>2018</v>
      </c>
      <c r="I19" s="316">
        <v>360</v>
      </c>
      <c r="J19" s="317">
        <v>529767</v>
      </c>
      <c r="K19" s="316">
        <v>650.86</v>
      </c>
      <c r="L19" s="317">
        <v>529116.14</v>
      </c>
      <c r="M19" s="316">
        <v>0</v>
      </c>
      <c r="N19" s="317">
        <v>529116.14</v>
      </c>
      <c r="O19" s="316">
        <v>0</v>
      </c>
      <c r="P19" s="317">
        <v>529116.14</v>
      </c>
    </row>
    <row r="20" spans="1:16" ht="15" customHeight="1">
      <c r="A20" s="313" t="s">
        <v>730</v>
      </c>
      <c r="B20" s="314" t="s">
        <v>272</v>
      </c>
      <c r="C20" s="314" t="s">
        <v>731</v>
      </c>
      <c r="D20" s="314" t="s">
        <v>752</v>
      </c>
      <c r="E20" s="314" t="s">
        <v>96</v>
      </c>
      <c r="F20" s="315" t="s">
        <v>276</v>
      </c>
      <c r="G20" s="315" t="s">
        <v>733</v>
      </c>
      <c r="H20" s="316">
        <v>2018</v>
      </c>
      <c r="I20" s="316">
        <v>240</v>
      </c>
      <c r="J20" s="317">
        <v>550949</v>
      </c>
      <c r="K20" s="317">
        <v>5376.91</v>
      </c>
      <c r="L20" s="317">
        <v>545572.09</v>
      </c>
      <c r="M20" s="316">
        <v>0</v>
      </c>
      <c r="N20" s="317">
        <v>545572.09</v>
      </c>
      <c r="O20" s="316">
        <v>0</v>
      </c>
      <c r="P20" s="317">
        <v>545572.09</v>
      </c>
    </row>
    <row r="21" spans="1:16" ht="15" customHeight="1">
      <c r="A21" s="313" t="s">
        <v>730</v>
      </c>
      <c r="B21" s="314" t="s">
        <v>272</v>
      </c>
      <c r="C21" s="314" t="s">
        <v>731</v>
      </c>
      <c r="D21" s="314" t="s">
        <v>753</v>
      </c>
      <c r="E21" s="314" t="s">
        <v>95</v>
      </c>
      <c r="F21" s="315" t="s">
        <v>274</v>
      </c>
      <c r="G21" s="315" t="s">
        <v>733</v>
      </c>
      <c r="H21" s="316">
        <v>2018</v>
      </c>
      <c r="I21" s="317">
        <v>1870</v>
      </c>
      <c r="J21" s="317">
        <v>11090472</v>
      </c>
      <c r="K21" s="317">
        <v>529100</v>
      </c>
      <c r="L21" s="317">
        <v>10561372</v>
      </c>
      <c r="M21" s="316">
        <v>0</v>
      </c>
      <c r="N21" s="317">
        <v>10561372</v>
      </c>
      <c r="O21" s="316">
        <v>0</v>
      </c>
      <c r="P21" s="317">
        <v>10561372</v>
      </c>
    </row>
    <row r="22" spans="1:16" ht="15" customHeight="1">
      <c r="A22" s="313" t="s">
        <v>730</v>
      </c>
      <c r="B22" s="314" t="s">
        <v>272</v>
      </c>
      <c r="C22" s="314" t="s">
        <v>731</v>
      </c>
      <c r="D22" s="314" t="s">
        <v>754</v>
      </c>
      <c r="E22" s="314" t="s">
        <v>755</v>
      </c>
      <c r="F22" s="315" t="s">
        <v>278</v>
      </c>
      <c r="G22" s="315" t="s">
        <v>733</v>
      </c>
      <c r="H22" s="316">
        <v>2018</v>
      </c>
      <c r="I22" s="317">
        <v>1000</v>
      </c>
      <c r="J22" s="317">
        <v>1154748</v>
      </c>
      <c r="K22" s="317">
        <v>1373.95</v>
      </c>
      <c r="L22" s="317">
        <v>1153374.05</v>
      </c>
      <c r="M22" s="317">
        <v>1613750.4</v>
      </c>
      <c r="N22" s="317">
        <v>-460376.35</v>
      </c>
      <c r="O22" s="316">
        <v>0</v>
      </c>
      <c r="P22" s="317">
        <v>-460376.35</v>
      </c>
    </row>
    <row r="23" spans="1:16" ht="15" customHeight="1">
      <c r="A23" s="313" t="s">
        <v>730</v>
      </c>
      <c r="B23" s="314" t="s">
        <v>272</v>
      </c>
      <c r="C23" s="314" t="s">
        <v>731</v>
      </c>
      <c r="D23" s="314" t="s">
        <v>756</v>
      </c>
      <c r="E23" s="314" t="s">
        <v>755</v>
      </c>
      <c r="F23" s="315" t="s">
        <v>274</v>
      </c>
      <c r="G23" s="315" t="s">
        <v>733</v>
      </c>
      <c r="H23" s="316">
        <v>2018</v>
      </c>
      <c r="I23" s="316">
        <v>400</v>
      </c>
      <c r="J23" s="317">
        <v>882477</v>
      </c>
      <c r="K23" s="316">
        <v>-190.07</v>
      </c>
      <c r="L23" s="317">
        <v>882667.07</v>
      </c>
      <c r="M23" s="317">
        <v>1147189.73</v>
      </c>
      <c r="N23" s="317">
        <v>-264522.65999999997</v>
      </c>
      <c r="O23" s="316">
        <v>0</v>
      </c>
      <c r="P23" s="317">
        <v>-264522.65999999997</v>
      </c>
    </row>
    <row r="24" spans="1:16" ht="15" customHeight="1">
      <c r="A24" s="313" t="s">
        <v>730</v>
      </c>
      <c r="B24" s="314" t="s">
        <v>272</v>
      </c>
      <c r="C24" s="314" t="s">
        <v>731</v>
      </c>
      <c r="D24" s="314" t="s">
        <v>757</v>
      </c>
      <c r="E24" s="314" t="s">
        <v>96</v>
      </c>
      <c r="F24" s="315" t="s">
        <v>275</v>
      </c>
      <c r="G24" s="315" t="s">
        <v>733</v>
      </c>
      <c r="H24" s="316">
        <v>2018</v>
      </c>
      <c r="I24" s="316">
        <v>2.1</v>
      </c>
      <c r="J24" s="317">
        <v>1129.32</v>
      </c>
      <c r="K24" s="316">
        <v>0</v>
      </c>
      <c r="L24" s="317">
        <v>1129.32</v>
      </c>
      <c r="M24" s="316">
        <v>0</v>
      </c>
      <c r="N24" s="317">
        <v>1129.32</v>
      </c>
      <c r="O24" s="316">
        <v>0</v>
      </c>
      <c r="P24" s="317">
        <v>1129.32</v>
      </c>
    </row>
    <row r="25" spans="1:16" ht="15" customHeight="1">
      <c r="A25" s="313" t="s">
        <v>730</v>
      </c>
      <c r="B25" s="314" t="s">
        <v>272</v>
      </c>
      <c r="C25" s="314" t="s">
        <v>731</v>
      </c>
      <c r="D25" s="314" t="s">
        <v>758</v>
      </c>
      <c r="E25" s="314" t="s">
        <v>96</v>
      </c>
      <c r="F25" s="315" t="s">
        <v>275</v>
      </c>
      <c r="G25" s="315" t="s">
        <v>733</v>
      </c>
      <c r="H25" s="316">
        <v>2018</v>
      </c>
      <c r="I25" s="316">
        <v>42</v>
      </c>
      <c r="J25" s="316">
        <v>0</v>
      </c>
      <c r="K25" s="316">
        <v>0</v>
      </c>
      <c r="L25" s="316">
        <v>0</v>
      </c>
      <c r="M25" s="316">
        <v>0</v>
      </c>
      <c r="N25" s="316">
        <v>0</v>
      </c>
      <c r="O25" s="316">
        <v>0</v>
      </c>
      <c r="P25" s="316">
        <v>0</v>
      </c>
    </row>
    <row r="26" spans="1:16" ht="15" customHeight="1">
      <c r="A26" s="313" t="s">
        <v>730</v>
      </c>
      <c r="B26" s="314" t="s">
        <v>272</v>
      </c>
      <c r="C26" s="314" t="s">
        <v>731</v>
      </c>
      <c r="D26" s="314" t="s">
        <v>759</v>
      </c>
      <c r="E26" s="314" t="s">
        <v>96</v>
      </c>
      <c r="F26" s="315" t="s">
        <v>275</v>
      </c>
      <c r="G26" s="315" t="s">
        <v>733</v>
      </c>
      <c r="H26" s="316">
        <v>2018</v>
      </c>
      <c r="I26" s="316">
        <v>6</v>
      </c>
      <c r="J26" s="316">
        <v>0</v>
      </c>
      <c r="K26" s="316">
        <v>0</v>
      </c>
      <c r="L26" s="316">
        <v>0</v>
      </c>
      <c r="M26" s="316">
        <v>0</v>
      </c>
      <c r="N26" s="316">
        <v>0</v>
      </c>
      <c r="O26" s="316">
        <v>0</v>
      </c>
      <c r="P26" s="316">
        <v>0</v>
      </c>
    </row>
    <row r="27" spans="1:16" ht="15" customHeight="1">
      <c r="A27" s="313" t="s">
        <v>730</v>
      </c>
      <c r="B27" s="314" t="s">
        <v>272</v>
      </c>
      <c r="C27" s="314" t="s">
        <v>731</v>
      </c>
      <c r="D27" s="314" t="s">
        <v>760</v>
      </c>
      <c r="E27" s="314" t="s">
        <v>96</v>
      </c>
      <c r="F27" s="315" t="s">
        <v>275</v>
      </c>
      <c r="G27" s="315" t="s">
        <v>733</v>
      </c>
      <c r="H27" s="316">
        <v>2018</v>
      </c>
      <c r="I27" s="316">
        <v>11</v>
      </c>
      <c r="J27" s="316">
        <v>0</v>
      </c>
      <c r="K27" s="316">
        <v>0</v>
      </c>
      <c r="L27" s="316">
        <v>0</v>
      </c>
      <c r="M27" s="316">
        <v>0</v>
      </c>
      <c r="N27" s="316">
        <v>0</v>
      </c>
      <c r="O27" s="316">
        <v>0</v>
      </c>
      <c r="P27" s="316">
        <v>0</v>
      </c>
    </row>
    <row r="28" spans="1:16" ht="15" customHeight="1">
      <c r="A28" s="313" t="s">
        <v>730</v>
      </c>
      <c r="B28" s="314" t="s">
        <v>272</v>
      </c>
      <c r="C28" s="314" t="s">
        <v>731</v>
      </c>
      <c r="D28" s="314" t="s">
        <v>761</v>
      </c>
      <c r="E28" s="314" t="s">
        <v>217</v>
      </c>
      <c r="F28" s="315" t="s">
        <v>274</v>
      </c>
      <c r="G28" s="315" t="s">
        <v>733</v>
      </c>
      <c r="H28" s="316">
        <v>2018</v>
      </c>
      <c r="I28" s="316">
        <v>105.8</v>
      </c>
      <c r="J28" s="317">
        <v>335790.32</v>
      </c>
      <c r="K28" s="317">
        <v>2797.84</v>
      </c>
      <c r="L28" s="317">
        <v>332992.46999999997</v>
      </c>
      <c r="M28" s="316">
        <v>672.1</v>
      </c>
      <c r="N28" s="317">
        <v>332320.37</v>
      </c>
      <c r="O28" s="316">
        <v>0</v>
      </c>
      <c r="P28" s="317">
        <v>332320.37</v>
      </c>
    </row>
    <row r="29" spans="1:16" ht="15" customHeight="1">
      <c r="A29" s="313" t="s">
        <v>730</v>
      </c>
      <c r="B29" s="314" t="s">
        <v>272</v>
      </c>
      <c r="C29" s="314" t="s">
        <v>731</v>
      </c>
      <c r="D29" s="314" t="s">
        <v>762</v>
      </c>
      <c r="E29" s="314" t="s">
        <v>4</v>
      </c>
      <c r="F29" s="315" t="s">
        <v>282</v>
      </c>
      <c r="G29" s="315" t="s">
        <v>733</v>
      </c>
      <c r="H29" s="316">
        <v>2018</v>
      </c>
      <c r="I29" s="317">
        <v>4500</v>
      </c>
      <c r="J29" s="317">
        <v>13799324.470000001</v>
      </c>
      <c r="K29" s="317">
        <v>1243806.3500000001</v>
      </c>
      <c r="L29" s="317">
        <v>12555518.119999999</v>
      </c>
      <c r="M29" s="316">
        <v>0</v>
      </c>
      <c r="N29" s="317">
        <v>12555518.119999999</v>
      </c>
      <c r="O29" s="316">
        <v>0</v>
      </c>
      <c r="P29" s="317">
        <v>12555518.119999999</v>
      </c>
    </row>
    <row r="30" spans="1:16" ht="15" customHeight="1">
      <c r="A30" s="313" t="s">
        <v>730</v>
      </c>
      <c r="B30" s="314" t="s">
        <v>272</v>
      </c>
      <c r="C30" s="314" t="s">
        <v>731</v>
      </c>
      <c r="D30" s="314" t="s">
        <v>763</v>
      </c>
      <c r="E30" s="314" t="s">
        <v>755</v>
      </c>
      <c r="F30" s="315" t="s">
        <v>278</v>
      </c>
      <c r="G30" s="315" t="s">
        <v>733</v>
      </c>
      <c r="H30" s="316">
        <v>2018</v>
      </c>
      <c r="I30" s="317">
        <v>1332</v>
      </c>
      <c r="J30" s="317">
        <v>2704940</v>
      </c>
      <c r="K30" s="317">
        <v>33458.839999999997</v>
      </c>
      <c r="L30" s="317">
        <v>2671481.16</v>
      </c>
      <c r="M30" s="317">
        <v>3348082.8</v>
      </c>
      <c r="N30" s="317">
        <v>-676601.64</v>
      </c>
      <c r="O30" s="316">
        <v>0</v>
      </c>
      <c r="P30" s="317">
        <v>-676601.64</v>
      </c>
    </row>
    <row r="31" spans="1:16" ht="15" customHeight="1">
      <c r="A31" s="313" t="s">
        <v>730</v>
      </c>
      <c r="B31" s="314" t="s">
        <v>272</v>
      </c>
      <c r="C31" s="314" t="s">
        <v>731</v>
      </c>
      <c r="D31" s="314" t="s">
        <v>764</v>
      </c>
      <c r="E31" s="314" t="s">
        <v>4</v>
      </c>
      <c r="F31" s="315" t="s">
        <v>281</v>
      </c>
      <c r="G31" s="315" t="s">
        <v>733</v>
      </c>
      <c r="H31" s="316">
        <v>2018</v>
      </c>
      <c r="I31" s="317">
        <v>4800</v>
      </c>
      <c r="J31" s="317">
        <v>3899915.64</v>
      </c>
      <c r="K31" s="317">
        <v>402669.64</v>
      </c>
      <c r="L31" s="317">
        <v>3497246</v>
      </c>
      <c r="M31" s="316">
        <v>0</v>
      </c>
      <c r="N31" s="317">
        <v>3497246</v>
      </c>
      <c r="O31" s="316">
        <v>0</v>
      </c>
      <c r="P31" s="317">
        <v>3497246</v>
      </c>
    </row>
    <row r="32" spans="1:16" ht="15" customHeight="1">
      <c r="A32" s="318" t="s">
        <v>765</v>
      </c>
      <c r="B32" s="319" t="s">
        <v>416</v>
      </c>
      <c r="C32" s="320" t="s">
        <v>766</v>
      </c>
      <c r="D32" s="320" t="s">
        <v>767</v>
      </c>
      <c r="E32" s="320" t="s">
        <v>768</v>
      </c>
      <c r="F32" s="321" t="s">
        <v>275</v>
      </c>
      <c r="G32" s="315" t="s">
        <v>733</v>
      </c>
      <c r="H32" s="322">
        <v>2018</v>
      </c>
      <c r="I32" s="322">
        <v>0.8</v>
      </c>
      <c r="J32" s="323">
        <v>7017.39</v>
      </c>
      <c r="K32" s="322">
        <v>0</v>
      </c>
      <c r="L32" s="323">
        <v>7017.39</v>
      </c>
      <c r="M32" s="322">
        <v>174.2</v>
      </c>
      <c r="N32" s="323">
        <v>7017.39</v>
      </c>
      <c r="O32" s="323">
        <v>7191.59</v>
      </c>
      <c r="P32" s="322">
        <v>0</v>
      </c>
    </row>
    <row r="33" spans="1:16" ht="15" customHeight="1">
      <c r="A33" s="324" t="s">
        <v>769</v>
      </c>
      <c r="B33" s="320" t="s">
        <v>416</v>
      </c>
      <c r="C33" s="320" t="s">
        <v>770</v>
      </c>
      <c r="D33" s="320" t="s">
        <v>771</v>
      </c>
      <c r="E33" s="320" t="s">
        <v>217</v>
      </c>
      <c r="F33" s="321" t="s">
        <v>275</v>
      </c>
      <c r="G33" s="315" t="s">
        <v>733</v>
      </c>
      <c r="H33" s="322">
        <v>2018</v>
      </c>
      <c r="I33" s="322">
        <v>86.6</v>
      </c>
      <c r="J33" s="323">
        <v>244175.71</v>
      </c>
      <c r="K33" s="322">
        <v>0</v>
      </c>
      <c r="L33" s="323">
        <v>244175.71</v>
      </c>
      <c r="M33" s="322">
        <v>571.67999999999995</v>
      </c>
      <c r="N33" s="323">
        <v>243604.03</v>
      </c>
      <c r="O33" s="322">
        <v>6</v>
      </c>
      <c r="P33" s="323">
        <v>243598.03</v>
      </c>
    </row>
    <row r="34" spans="1:16" ht="15" customHeight="1">
      <c r="A34" s="324" t="s">
        <v>772</v>
      </c>
      <c r="B34" s="320" t="s">
        <v>416</v>
      </c>
      <c r="C34" s="320" t="s">
        <v>773</v>
      </c>
      <c r="D34" s="320" t="s">
        <v>774</v>
      </c>
      <c r="E34" s="320" t="s">
        <v>775</v>
      </c>
      <c r="F34" s="321" t="s">
        <v>276</v>
      </c>
      <c r="G34" s="315" t="s">
        <v>733</v>
      </c>
      <c r="H34" s="322">
        <v>2018</v>
      </c>
      <c r="I34" s="322">
        <v>50</v>
      </c>
      <c r="J34" s="323">
        <v>230595.59</v>
      </c>
      <c r="K34" s="323">
        <v>23349.52</v>
      </c>
      <c r="L34" s="323">
        <v>207246.07</v>
      </c>
      <c r="M34" s="323">
        <v>5110.34</v>
      </c>
      <c r="N34" s="323">
        <v>207246.07</v>
      </c>
      <c r="O34" s="322">
        <v>0</v>
      </c>
      <c r="P34" s="323">
        <v>207246.07</v>
      </c>
    </row>
    <row r="35" spans="1:16" ht="15" customHeight="1">
      <c r="A35" s="324" t="s">
        <v>776</v>
      </c>
      <c r="B35" s="320" t="s">
        <v>416</v>
      </c>
      <c r="C35" s="320" t="s">
        <v>777</v>
      </c>
      <c r="D35" s="320" t="s">
        <v>778</v>
      </c>
      <c r="E35" s="320" t="s">
        <v>779</v>
      </c>
      <c r="F35" s="321" t="s">
        <v>276</v>
      </c>
      <c r="G35" s="315" t="s">
        <v>733</v>
      </c>
      <c r="H35" s="322">
        <v>2018</v>
      </c>
      <c r="I35" s="322">
        <v>75</v>
      </c>
      <c r="J35" s="323">
        <v>150738</v>
      </c>
      <c r="K35" s="322">
        <v>0</v>
      </c>
      <c r="L35" s="323">
        <v>150738</v>
      </c>
      <c r="M35" s="323">
        <v>1064.1199999999999</v>
      </c>
      <c r="N35" s="323">
        <v>149673.88</v>
      </c>
      <c r="O35" s="322">
        <v>0</v>
      </c>
      <c r="P35" s="323">
        <v>149673.88</v>
      </c>
    </row>
    <row r="36" spans="1:16" ht="15" customHeight="1">
      <c r="A36" s="324" t="s">
        <v>780</v>
      </c>
      <c r="B36" s="320" t="s">
        <v>416</v>
      </c>
      <c r="C36" s="320" t="s">
        <v>781</v>
      </c>
      <c r="D36" s="320" t="s">
        <v>782</v>
      </c>
      <c r="E36" s="320" t="s">
        <v>779</v>
      </c>
      <c r="F36" s="321" t="s">
        <v>276</v>
      </c>
      <c r="G36" s="315" t="s">
        <v>733</v>
      </c>
      <c r="H36" s="322">
        <v>2018</v>
      </c>
      <c r="I36" s="322">
        <v>10</v>
      </c>
      <c r="J36" s="323">
        <v>27261.72</v>
      </c>
      <c r="K36" s="322">
        <v>0</v>
      </c>
      <c r="L36" s="323">
        <v>27261.72</v>
      </c>
      <c r="M36" s="322">
        <v>101.32</v>
      </c>
      <c r="N36" s="323">
        <v>27261.72</v>
      </c>
      <c r="O36" s="322">
        <v>29.88</v>
      </c>
      <c r="P36" s="323">
        <v>27261.72</v>
      </c>
    </row>
    <row r="37" spans="1:16" ht="15" customHeight="1">
      <c r="A37" s="324" t="s">
        <v>783</v>
      </c>
      <c r="B37" s="320" t="s">
        <v>416</v>
      </c>
      <c r="C37" s="320" t="s">
        <v>784</v>
      </c>
      <c r="D37" s="320" t="s">
        <v>785</v>
      </c>
      <c r="E37" s="320" t="s">
        <v>779</v>
      </c>
      <c r="F37" s="321" t="s">
        <v>276</v>
      </c>
      <c r="G37" s="315" t="s">
        <v>733</v>
      </c>
      <c r="H37" s="322">
        <v>2018</v>
      </c>
      <c r="I37" s="322">
        <v>19.98</v>
      </c>
      <c r="J37" s="323">
        <v>53464.91</v>
      </c>
      <c r="K37" s="322">
        <v>0</v>
      </c>
      <c r="L37" s="323">
        <v>53464.91</v>
      </c>
      <c r="M37" s="322">
        <v>175.33</v>
      </c>
      <c r="N37" s="323">
        <v>53464.91</v>
      </c>
      <c r="O37" s="322">
        <v>33.69</v>
      </c>
      <c r="P37" s="323">
        <v>53464.91</v>
      </c>
    </row>
    <row r="38" spans="1:16">
      <c r="A38" s="324" t="s">
        <v>786</v>
      </c>
      <c r="B38" s="320" t="s">
        <v>416</v>
      </c>
      <c r="C38" s="320" t="s">
        <v>787</v>
      </c>
      <c r="D38" s="320" t="s">
        <v>788</v>
      </c>
      <c r="E38" s="320" t="s">
        <v>4</v>
      </c>
      <c r="F38" s="321" t="s">
        <v>280</v>
      </c>
      <c r="G38" s="315" t="s">
        <v>733</v>
      </c>
      <c r="H38" s="322">
        <v>2018</v>
      </c>
      <c r="I38" s="322">
        <v>600</v>
      </c>
      <c r="J38" s="323">
        <v>1857223</v>
      </c>
      <c r="K38" s="323">
        <v>150128</v>
      </c>
      <c r="L38" s="323">
        <v>1707095</v>
      </c>
      <c r="M38" s="322">
        <v>0</v>
      </c>
      <c r="N38" s="323">
        <v>1707095</v>
      </c>
      <c r="O38" s="322">
        <v>0</v>
      </c>
      <c r="P38" s="323">
        <v>1707095</v>
      </c>
    </row>
    <row r="39" spans="1:16">
      <c r="A39" s="324" t="s">
        <v>789</v>
      </c>
      <c r="B39" s="320" t="s">
        <v>416</v>
      </c>
      <c r="C39" s="320" t="s">
        <v>790</v>
      </c>
      <c r="D39" s="320" t="s">
        <v>791</v>
      </c>
      <c r="E39" s="320" t="s">
        <v>217</v>
      </c>
      <c r="F39" s="321" t="s">
        <v>275</v>
      </c>
      <c r="G39" s="315" t="s">
        <v>733</v>
      </c>
      <c r="H39" s="322">
        <v>2018</v>
      </c>
      <c r="I39" s="322">
        <v>133.69999999999999</v>
      </c>
      <c r="J39" s="323">
        <v>412035.51</v>
      </c>
      <c r="K39" s="322">
        <v>0</v>
      </c>
      <c r="L39" s="323">
        <v>412035.51</v>
      </c>
      <c r="M39" s="322">
        <v>295.79000000000002</v>
      </c>
      <c r="N39" s="323">
        <v>411739.73</v>
      </c>
      <c r="O39" s="322">
        <v>282.14999999999998</v>
      </c>
      <c r="P39" s="323">
        <v>403587.3</v>
      </c>
    </row>
    <row r="40" spans="1:16">
      <c r="A40" s="324" t="s">
        <v>792</v>
      </c>
      <c r="B40" s="320" t="s">
        <v>416</v>
      </c>
      <c r="C40" s="320" t="s">
        <v>793</v>
      </c>
      <c r="D40" s="320" t="s">
        <v>794</v>
      </c>
      <c r="E40" s="320" t="s">
        <v>217</v>
      </c>
      <c r="F40" s="321" t="s">
        <v>274</v>
      </c>
      <c r="G40" s="315" t="s">
        <v>733</v>
      </c>
      <c r="H40" s="322">
        <v>2018</v>
      </c>
      <c r="I40" s="322">
        <v>90.8</v>
      </c>
      <c r="J40" s="323">
        <v>287529.33</v>
      </c>
      <c r="K40" s="322">
        <v>0</v>
      </c>
      <c r="L40" s="323">
        <v>287529.33</v>
      </c>
      <c r="M40" s="322">
        <v>385.34</v>
      </c>
      <c r="N40" s="323">
        <v>287143.99</v>
      </c>
      <c r="O40" s="322">
        <v>385.34</v>
      </c>
      <c r="P40" s="323">
        <v>287529.33</v>
      </c>
    </row>
    <row r="41" spans="1:16">
      <c r="A41" s="324" t="s">
        <v>795</v>
      </c>
      <c r="B41" s="320" t="s">
        <v>416</v>
      </c>
      <c r="C41" s="320" t="s">
        <v>796</v>
      </c>
      <c r="D41" s="320" t="s">
        <v>797</v>
      </c>
      <c r="E41" s="320" t="s">
        <v>779</v>
      </c>
      <c r="F41" s="321" t="s">
        <v>274</v>
      </c>
      <c r="G41" s="315" t="s">
        <v>733</v>
      </c>
      <c r="H41" s="322">
        <v>2018</v>
      </c>
      <c r="I41" s="322">
        <v>9</v>
      </c>
      <c r="J41" s="323">
        <v>18691.12</v>
      </c>
      <c r="K41" s="322">
        <v>135.21</v>
      </c>
      <c r="L41" s="323">
        <v>18826.330000000002</v>
      </c>
      <c r="M41" s="322">
        <v>0</v>
      </c>
      <c r="N41" s="323">
        <v>18691.12</v>
      </c>
      <c r="O41" s="322">
        <v>0</v>
      </c>
      <c r="P41" s="323">
        <v>18691.12</v>
      </c>
    </row>
    <row r="42" spans="1:16">
      <c r="A42" s="324" t="s">
        <v>798</v>
      </c>
      <c r="B42" s="320" t="s">
        <v>416</v>
      </c>
      <c r="C42" s="320" t="s">
        <v>799</v>
      </c>
      <c r="D42" s="320" t="s">
        <v>800</v>
      </c>
      <c r="E42" s="320" t="s">
        <v>217</v>
      </c>
      <c r="F42" s="321" t="s">
        <v>275</v>
      </c>
      <c r="G42" s="315" t="s">
        <v>733</v>
      </c>
      <c r="H42" s="322">
        <v>2018</v>
      </c>
      <c r="I42" s="322">
        <v>1.8</v>
      </c>
      <c r="J42" s="323">
        <v>5559.23</v>
      </c>
      <c r="K42" s="322">
        <v>0</v>
      </c>
      <c r="L42" s="323">
        <v>5559.23</v>
      </c>
      <c r="M42" s="322">
        <v>0</v>
      </c>
      <c r="N42" s="323">
        <v>5559.23</v>
      </c>
      <c r="O42" s="322">
        <v>0</v>
      </c>
      <c r="P42" s="323">
        <v>5559.23</v>
      </c>
    </row>
    <row r="43" spans="1:16">
      <c r="A43" s="324" t="s">
        <v>801</v>
      </c>
      <c r="B43" s="320" t="s">
        <v>416</v>
      </c>
      <c r="C43" s="320" t="s">
        <v>802</v>
      </c>
      <c r="D43" s="320" t="s">
        <v>803</v>
      </c>
      <c r="E43" s="320" t="s">
        <v>9</v>
      </c>
      <c r="F43" s="315" t="s">
        <v>278</v>
      </c>
      <c r="G43" s="315" t="s">
        <v>733</v>
      </c>
      <c r="H43" s="322">
        <v>2018</v>
      </c>
      <c r="I43" s="322">
        <v>670</v>
      </c>
      <c r="J43" s="323">
        <v>270194.19</v>
      </c>
      <c r="K43" s="323">
        <v>2990.47</v>
      </c>
      <c r="L43" s="323">
        <v>267203.71000000002</v>
      </c>
      <c r="M43" s="323">
        <v>12944.81</v>
      </c>
      <c r="N43" s="323">
        <v>267203.71000000002</v>
      </c>
      <c r="O43" s="322">
        <v>0</v>
      </c>
      <c r="P43" s="323">
        <v>267203.71000000002</v>
      </c>
    </row>
    <row r="44" spans="1:16">
      <c r="A44" s="324" t="s">
        <v>804</v>
      </c>
      <c r="B44" s="320" t="s">
        <v>416</v>
      </c>
      <c r="C44" s="320" t="s">
        <v>805</v>
      </c>
      <c r="D44" s="320" t="s">
        <v>806</v>
      </c>
      <c r="E44" s="320" t="s">
        <v>96</v>
      </c>
      <c r="F44" s="321" t="s">
        <v>277</v>
      </c>
      <c r="G44" s="315" t="s">
        <v>733</v>
      </c>
      <c r="H44" s="322">
        <v>2018</v>
      </c>
      <c r="I44" s="322">
        <v>4</v>
      </c>
      <c r="J44" s="323">
        <v>28112.14</v>
      </c>
      <c r="K44" s="322">
        <v>0</v>
      </c>
      <c r="L44" s="323">
        <v>28112.14</v>
      </c>
      <c r="M44" s="322">
        <v>0</v>
      </c>
      <c r="N44" s="323">
        <v>28112.14</v>
      </c>
      <c r="O44" s="322">
        <v>11.45</v>
      </c>
      <c r="P44" s="323">
        <v>28100.69</v>
      </c>
    </row>
    <row r="45" spans="1:16">
      <c r="A45" s="324" t="s">
        <v>804</v>
      </c>
      <c r="B45" s="320" t="s">
        <v>416</v>
      </c>
      <c r="C45" s="320" t="s">
        <v>805</v>
      </c>
      <c r="D45" s="320" t="s">
        <v>807</v>
      </c>
      <c r="E45" s="320" t="s">
        <v>96</v>
      </c>
      <c r="F45" s="321" t="s">
        <v>277</v>
      </c>
      <c r="G45" s="315" t="s">
        <v>733</v>
      </c>
      <c r="H45" s="322">
        <v>2018</v>
      </c>
      <c r="I45" s="322">
        <v>3</v>
      </c>
      <c r="J45" s="323">
        <v>17759.64</v>
      </c>
      <c r="K45" s="322">
        <v>0</v>
      </c>
      <c r="L45" s="323">
        <v>17759.64</v>
      </c>
      <c r="M45" s="322">
        <v>0</v>
      </c>
      <c r="N45" s="323">
        <v>17759.64</v>
      </c>
      <c r="O45" s="322">
        <v>10.1</v>
      </c>
      <c r="P45" s="323">
        <v>17749.54</v>
      </c>
    </row>
    <row r="46" spans="1:16">
      <c r="A46" s="324" t="s">
        <v>808</v>
      </c>
      <c r="B46" s="320" t="s">
        <v>416</v>
      </c>
      <c r="C46" s="320" t="s">
        <v>809</v>
      </c>
      <c r="D46" s="320" t="s">
        <v>810</v>
      </c>
      <c r="E46" s="320" t="s">
        <v>217</v>
      </c>
      <c r="F46" s="321" t="s">
        <v>276</v>
      </c>
      <c r="G46" s="315" t="s">
        <v>733</v>
      </c>
      <c r="H46" s="322">
        <v>2018</v>
      </c>
      <c r="I46" s="322">
        <v>135.19999999999999</v>
      </c>
      <c r="J46" s="323">
        <v>336163.48</v>
      </c>
      <c r="K46" s="322">
        <v>0</v>
      </c>
      <c r="L46" s="323">
        <v>336163.48</v>
      </c>
      <c r="M46" s="323">
        <v>1514.49</v>
      </c>
      <c r="N46" s="323">
        <v>336163.48</v>
      </c>
      <c r="O46" s="323">
        <v>1514.49</v>
      </c>
      <c r="P46" s="323">
        <v>336163.48</v>
      </c>
    </row>
    <row r="47" spans="1:16">
      <c r="A47" s="318" t="s">
        <v>811</v>
      </c>
      <c r="B47" s="319" t="s">
        <v>416</v>
      </c>
      <c r="C47" s="320" t="s">
        <v>812</v>
      </c>
      <c r="D47" s="320" t="s">
        <v>813</v>
      </c>
      <c r="E47" s="320" t="s">
        <v>814</v>
      </c>
      <c r="F47" s="321" t="s">
        <v>280</v>
      </c>
      <c r="G47" s="315" t="s">
        <v>733</v>
      </c>
      <c r="H47" s="322">
        <v>2018</v>
      </c>
      <c r="I47" s="322">
        <v>4.2</v>
      </c>
      <c r="J47" s="323">
        <v>18919.62</v>
      </c>
      <c r="K47" s="323">
        <v>3059.41</v>
      </c>
      <c r="L47" s="323">
        <v>15860.21</v>
      </c>
      <c r="M47" s="322">
        <v>0</v>
      </c>
      <c r="N47" s="323">
        <v>15860.21</v>
      </c>
      <c r="O47" s="322">
        <v>0</v>
      </c>
      <c r="P47" s="323">
        <v>15860.21</v>
      </c>
    </row>
    <row r="48" spans="1:16">
      <c r="A48" s="324" t="s">
        <v>815</v>
      </c>
      <c r="B48" s="320" t="s">
        <v>416</v>
      </c>
      <c r="C48" s="320" t="s">
        <v>816</v>
      </c>
      <c r="D48" s="320" t="s">
        <v>817</v>
      </c>
      <c r="E48" s="320" t="s">
        <v>217</v>
      </c>
      <c r="F48" s="321" t="s">
        <v>276</v>
      </c>
      <c r="G48" s="315" t="s">
        <v>733</v>
      </c>
      <c r="H48" s="322">
        <v>2018</v>
      </c>
      <c r="I48" s="322">
        <v>21</v>
      </c>
      <c r="J48" s="323">
        <v>59884.14</v>
      </c>
      <c r="K48" s="322">
        <v>0</v>
      </c>
      <c r="L48" s="323">
        <v>59884.14</v>
      </c>
      <c r="M48" s="322">
        <v>130.03</v>
      </c>
      <c r="N48" s="323">
        <v>59754.11</v>
      </c>
      <c r="O48" s="322">
        <v>0</v>
      </c>
      <c r="P48" s="323">
        <v>59754.11</v>
      </c>
    </row>
    <row r="49" spans="1:16">
      <c r="A49" s="324">
        <v>820655</v>
      </c>
      <c r="B49" s="320" t="s">
        <v>818</v>
      </c>
      <c r="C49" s="320" t="s">
        <v>819</v>
      </c>
      <c r="D49" s="320" t="s">
        <v>820</v>
      </c>
      <c r="E49" s="320" t="s">
        <v>9</v>
      </c>
      <c r="F49" s="321" t="s">
        <v>274</v>
      </c>
      <c r="G49" s="315" t="s">
        <v>733</v>
      </c>
      <c r="H49" s="322">
        <v>2018</v>
      </c>
      <c r="I49" s="322">
        <v>40</v>
      </c>
      <c r="J49" s="322">
        <v>158.16999999999999</v>
      </c>
      <c r="K49" s="322">
        <v>89.28</v>
      </c>
      <c r="L49" s="322">
        <v>68.89</v>
      </c>
      <c r="M49" s="322">
        <v>0</v>
      </c>
      <c r="N49" s="322">
        <v>68.89</v>
      </c>
      <c r="O49" s="322">
        <v>0</v>
      </c>
      <c r="P49" s="322">
        <v>68.89</v>
      </c>
    </row>
    <row r="50" spans="1:16">
      <c r="A50" s="324">
        <v>820655</v>
      </c>
      <c r="B50" s="320" t="s">
        <v>818</v>
      </c>
      <c r="C50" s="320" t="s">
        <v>819</v>
      </c>
      <c r="D50" s="320" t="s">
        <v>821</v>
      </c>
      <c r="E50" s="320" t="s">
        <v>9</v>
      </c>
      <c r="F50" s="321" t="s">
        <v>274</v>
      </c>
      <c r="G50" s="315" t="s">
        <v>733</v>
      </c>
      <c r="H50" s="322">
        <v>2018</v>
      </c>
      <c r="I50" s="322">
        <v>40</v>
      </c>
      <c r="J50" s="322">
        <v>157.04</v>
      </c>
      <c r="K50" s="322">
        <v>18.350000000000001</v>
      </c>
      <c r="L50" s="322">
        <v>138.69</v>
      </c>
      <c r="M50" s="322">
        <v>0</v>
      </c>
      <c r="N50" s="322">
        <v>138.69</v>
      </c>
      <c r="O50" s="322">
        <v>0</v>
      </c>
      <c r="P50" s="322">
        <v>138.69</v>
      </c>
    </row>
    <row r="51" spans="1:16">
      <c r="A51" s="324">
        <v>820655</v>
      </c>
      <c r="B51" s="320" t="s">
        <v>818</v>
      </c>
      <c r="C51" s="320" t="s">
        <v>819</v>
      </c>
      <c r="D51" s="320" t="s">
        <v>822</v>
      </c>
      <c r="E51" s="320" t="s">
        <v>755</v>
      </c>
      <c r="F51" s="321" t="s">
        <v>274</v>
      </c>
      <c r="G51" s="315" t="s">
        <v>733</v>
      </c>
      <c r="H51" s="322">
        <v>2018</v>
      </c>
      <c r="I51" s="322">
        <v>180</v>
      </c>
      <c r="J51" s="323">
        <v>69519.759999999995</v>
      </c>
      <c r="K51" s="322">
        <v>821.56</v>
      </c>
      <c r="L51" s="323">
        <v>68698.2</v>
      </c>
      <c r="M51" s="323">
        <v>61116.4</v>
      </c>
      <c r="N51" s="323">
        <v>7581.8</v>
      </c>
      <c r="O51" s="322">
        <v>0</v>
      </c>
      <c r="P51" s="323">
        <v>7581.8</v>
      </c>
    </row>
    <row r="52" spans="1:16">
      <c r="A52" s="324" t="s">
        <v>823</v>
      </c>
      <c r="B52" s="320" t="s">
        <v>818</v>
      </c>
      <c r="C52" s="320" t="s">
        <v>824</v>
      </c>
      <c r="D52" s="320" t="s">
        <v>825</v>
      </c>
      <c r="E52" s="320" t="s">
        <v>4</v>
      </c>
      <c r="F52" s="321" t="s">
        <v>280</v>
      </c>
      <c r="G52" s="315" t="s">
        <v>733</v>
      </c>
      <c r="H52" s="322">
        <v>2018</v>
      </c>
      <c r="I52" s="322">
        <v>300</v>
      </c>
      <c r="J52" s="322">
        <v>0</v>
      </c>
      <c r="K52" s="322">
        <v>0</v>
      </c>
      <c r="L52" s="322">
        <v>0</v>
      </c>
      <c r="M52" s="323">
        <v>3503.9</v>
      </c>
      <c r="N52" s="323">
        <v>-3503.9</v>
      </c>
      <c r="O52" s="322">
        <v>0</v>
      </c>
      <c r="P52" s="325"/>
    </row>
    <row r="53" spans="1:16">
      <c r="A53" s="324" t="s">
        <v>823</v>
      </c>
      <c r="B53" s="320" t="s">
        <v>818</v>
      </c>
      <c r="C53" s="320" t="s">
        <v>824</v>
      </c>
      <c r="D53" s="320" t="s">
        <v>826</v>
      </c>
      <c r="E53" s="320" t="s">
        <v>827</v>
      </c>
      <c r="F53" s="321" t="s">
        <v>280</v>
      </c>
      <c r="G53" s="315" t="s">
        <v>733</v>
      </c>
      <c r="H53" s="322">
        <v>2018</v>
      </c>
      <c r="I53" s="322">
        <v>204</v>
      </c>
      <c r="J53" s="322">
        <v>0</v>
      </c>
      <c r="K53" s="322">
        <v>0</v>
      </c>
      <c r="L53" s="322">
        <v>0</v>
      </c>
      <c r="M53" s="322">
        <v>0</v>
      </c>
      <c r="N53" s="322">
        <v>0</v>
      </c>
      <c r="O53" s="323">
        <v>2174</v>
      </c>
      <c r="P53" s="325"/>
    </row>
    <row r="54" spans="1:16">
      <c r="A54" s="324" t="s">
        <v>828</v>
      </c>
      <c r="B54" s="320" t="s">
        <v>416</v>
      </c>
      <c r="C54" s="320" t="s">
        <v>829</v>
      </c>
      <c r="D54" s="320" t="s">
        <v>830</v>
      </c>
      <c r="E54" s="320" t="s">
        <v>96</v>
      </c>
      <c r="F54" s="321" t="s">
        <v>274</v>
      </c>
      <c r="G54" s="315" t="s">
        <v>733</v>
      </c>
      <c r="H54" s="322">
        <v>2018</v>
      </c>
      <c r="I54" s="322">
        <v>1.5</v>
      </c>
      <c r="J54" s="323">
        <v>4819.1000000000004</v>
      </c>
      <c r="K54" s="322">
        <v>55.91</v>
      </c>
      <c r="L54" s="323">
        <v>4763.1899999999996</v>
      </c>
      <c r="M54" s="322">
        <v>0</v>
      </c>
      <c r="N54" s="323">
        <v>4763.1899999999996</v>
      </c>
      <c r="O54" s="322">
        <v>0</v>
      </c>
      <c r="P54" s="323">
        <v>4763.1899999999996</v>
      </c>
    </row>
    <row r="55" spans="1:16">
      <c r="A55" s="324" t="s">
        <v>831</v>
      </c>
      <c r="B55" s="320" t="s">
        <v>416</v>
      </c>
      <c r="C55" s="320" t="s">
        <v>832</v>
      </c>
      <c r="D55" s="320" t="s">
        <v>833</v>
      </c>
      <c r="E55" s="320" t="s">
        <v>779</v>
      </c>
      <c r="F55" s="321" t="s">
        <v>282</v>
      </c>
      <c r="G55" s="315" t="s">
        <v>733</v>
      </c>
      <c r="H55" s="322">
        <v>2018</v>
      </c>
      <c r="I55" s="322">
        <v>30</v>
      </c>
      <c r="J55" s="323">
        <v>59888.800000000003</v>
      </c>
      <c r="K55" s="322">
        <v>0</v>
      </c>
      <c r="L55" s="323">
        <v>59888.800000000003</v>
      </c>
      <c r="M55" s="322">
        <v>425.2</v>
      </c>
      <c r="N55" s="323">
        <v>59463.6</v>
      </c>
      <c r="O55" s="322">
        <v>0</v>
      </c>
      <c r="P55" s="323">
        <v>59463.6</v>
      </c>
    </row>
    <row r="56" spans="1:16">
      <c r="A56" s="324" t="s">
        <v>834</v>
      </c>
      <c r="B56" s="320" t="s">
        <v>416</v>
      </c>
      <c r="C56" s="320" t="s">
        <v>835</v>
      </c>
      <c r="D56" s="320" t="s">
        <v>836</v>
      </c>
      <c r="E56" s="320" t="s">
        <v>217</v>
      </c>
      <c r="F56" s="321" t="s">
        <v>276</v>
      </c>
      <c r="G56" s="315" t="s">
        <v>733</v>
      </c>
      <c r="H56" s="322">
        <v>2018</v>
      </c>
      <c r="I56" s="322">
        <v>75</v>
      </c>
      <c r="J56" s="323">
        <v>228711.26</v>
      </c>
      <c r="K56" s="322">
        <v>540.02</v>
      </c>
      <c r="L56" s="323">
        <v>228171.24</v>
      </c>
      <c r="M56" s="322">
        <v>0</v>
      </c>
      <c r="N56" s="323">
        <v>228171.24</v>
      </c>
      <c r="O56" s="322">
        <v>540.02</v>
      </c>
      <c r="P56" s="323">
        <v>228171.24</v>
      </c>
    </row>
    <row r="57" spans="1:16">
      <c r="A57" s="324" t="s">
        <v>837</v>
      </c>
      <c r="B57" s="320" t="s">
        <v>416</v>
      </c>
      <c r="C57" s="320" t="s">
        <v>838</v>
      </c>
      <c r="D57" s="320" t="s">
        <v>839</v>
      </c>
      <c r="E57" s="320" t="s">
        <v>779</v>
      </c>
      <c r="F57" s="321" t="s">
        <v>274</v>
      </c>
      <c r="G57" s="315" t="s">
        <v>733</v>
      </c>
      <c r="H57" s="322">
        <v>2018</v>
      </c>
      <c r="I57" s="322">
        <v>36</v>
      </c>
      <c r="J57" s="323">
        <v>70552.17</v>
      </c>
      <c r="K57" s="322">
        <v>0</v>
      </c>
      <c r="L57" s="323">
        <v>70552.17</v>
      </c>
      <c r="M57" s="322">
        <v>153.01</v>
      </c>
      <c r="N57" s="323">
        <v>70399.16</v>
      </c>
      <c r="O57" s="322">
        <v>0</v>
      </c>
      <c r="P57" s="323">
        <v>70552.17</v>
      </c>
    </row>
    <row r="58" spans="1:16">
      <c r="A58" s="324" t="s">
        <v>840</v>
      </c>
      <c r="B58" s="320" t="s">
        <v>416</v>
      </c>
      <c r="C58" s="320" t="s">
        <v>841</v>
      </c>
      <c r="D58" s="320" t="s">
        <v>842</v>
      </c>
      <c r="E58" s="320" t="s">
        <v>217</v>
      </c>
      <c r="F58" s="321" t="s">
        <v>274</v>
      </c>
      <c r="G58" s="315" t="s">
        <v>733</v>
      </c>
      <c r="H58" s="322">
        <v>2018</v>
      </c>
      <c r="I58" s="322">
        <v>5.2</v>
      </c>
      <c r="J58" s="323">
        <v>7786.4</v>
      </c>
      <c r="K58" s="322">
        <v>0</v>
      </c>
      <c r="L58" s="323">
        <v>7786.4</v>
      </c>
      <c r="M58" s="322">
        <v>57.93</v>
      </c>
      <c r="N58" s="323">
        <v>7728.48</v>
      </c>
      <c r="O58" s="322">
        <v>0</v>
      </c>
      <c r="P58" s="323">
        <v>7728.48</v>
      </c>
    </row>
    <row r="59" spans="1:16">
      <c r="A59" s="324" t="s">
        <v>843</v>
      </c>
      <c r="B59" s="320" t="s">
        <v>416</v>
      </c>
      <c r="C59" s="320" t="s">
        <v>844</v>
      </c>
      <c r="D59" s="320" t="s">
        <v>845</v>
      </c>
      <c r="E59" s="320" t="s">
        <v>9</v>
      </c>
      <c r="F59" s="321" t="s">
        <v>275</v>
      </c>
      <c r="G59" s="315" t="s">
        <v>733</v>
      </c>
      <c r="H59" s="322">
        <v>2018</v>
      </c>
      <c r="I59" s="322">
        <v>335</v>
      </c>
      <c r="J59" s="323">
        <v>121766.35</v>
      </c>
      <c r="K59" s="323">
        <v>1329.99</v>
      </c>
      <c r="L59" s="323">
        <v>120436.35</v>
      </c>
      <c r="M59" s="323">
        <v>6720.49</v>
      </c>
      <c r="N59" s="323">
        <v>120436.35</v>
      </c>
      <c r="O59" s="322">
        <v>0</v>
      </c>
      <c r="P59" s="323">
        <v>120436.35</v>
      </c>
    </row>
    <row r="60" spans="1:16">
      <c r="A60" s="324" t="s">
        <v>846</v>
      </c>
      <c r="B60" s="320" t="s">
        <v>416</v>
      </c>
      <c r="C60" s="320" t="s">
        <v>847</v>
      </c>
      <c r="D60" s="320" t="s">
        <v>848</v>
      </c>
      <c r="E60" s="320" t="s">
        <v>217</v>
      </c>
      <c r="F60" s="321" t="s">
        <v>275</v>
      </c>
      <c r="G60" s="315" t="s">
        <v>733</v>
      </c>
      <c r="H60" s="322">
        <v>2018</v>
      </c>
      <c r="I60" s="322">
        <v>100</v>
      </c>
      <c r="J60" s="323">
        <v>313350.28000000003</v>
      </c>
      <c r="K60" s="322">
        <v>0</v>
      </c>
      <c r="L60" s="323">
        <v>313350.28000000003</v>
      </c>
      <c r="M60" s="322">
        <v>362.98</v>
      </c>
      <c r="N60" s="323">
        <v>306211.75</v>
      </c>
      <c r="O60" s="322">
        <v>362.98</v>
      </c>
      <c r="P60" s="323">
        <v>306211.75</v>
      </c>
    </row>
    <row r="61" spans="1:16">
      <c r="A61" s="324" t="s">
        <v>849</v>
      </c>
      <c r="B61" s="320" t="s">
        <v>416</v>
      </c>
      <c r="C61" s="320" t="s">
        <v>850</v>
      </c>
      <c r="D61" s="320" t="s">
        <v>851</v>
      </c>
      <c r="E61" s="320" t="s">
        <v>779</v>
      </c>
      <c r="F61" s="321" t="s">
        <v>274</v>
      </c>
      <c r="G61" s="315" t="s">
        <v>733</v>
      </c>
      <c r="H61" s="322">
        <v>2018</v>
      </c>
      <c r="I61" s="322">
        <v>75</v>
      </c>
      <c r="J61" s="323">
        <v>147180.51999999999</v>
      </c>
      <c r="K61" s="322">
        <v>0</v>
      </c>
      <c r="L61" s="323">
        <v>147180.51999999999</v>
      </c>
      <c r="M61" s="323">
        <v>1091.8900000000001</v>
      </c>
      <c r="N61" s="323">
        <v>146088.63</v>
      </c>
      <c r="O61" s="322">
        <v>6</v>
      </c>
      <c r="P61" s="323">
        <v>146082.63</v>
      </c>
    </row>
    <row r="62" spans="1:16">
      <c r="A62" s="324" t="s">
        <v>852</v>
      </c>
      <c r="B62" s="320" t="s">
        <v>416</v>
      </c>
      <c r="C62" s="320" t="s">
        <v>853</v>
      </c>
      <c r="D62" s="320" t="s">
        <v>854</v>
      </c>
      <c r="E62" s="320" t="s">
        <v>855</v>
      </c>
      <c r="F62" s="321" t="s">
        <v>280</v>
      </c>
      <c r="G62" s="315" t="s">
        <v>733</v>
      </c>
      <c r="H62" s="322">
        <v>2018</v>
      </c>
      <c r="I62" s="322">
        <v>3</v>
      </c>
      <c r="J62" s="323">
        <v>20344.45</v>
      </c>
      <c r="K62" s="322">
        <v>0</v>
      </c>
      <c r="L62" s="323">
        <v>20344.45</v>
      </c>
      <c r="M62" s="322">
        <v>0</v>
      </c>
      <c r="N62" s="323">
        <v>20344.45</v>
      </c>
      <c r="O62" s="322">
        <v>0</v>
      </c>
      <c r="P62" s="323">
        <v>20344.45</v>
      </c>
    </row>
    <row r="63" spans="1:16">
      <c r="A63" s="318" t="s">
        <v>852</v>
      </c>
      <c r="B63" s="319" t="s">
        <v>416</v>
      </c>
      <c r="C63" s="320" t="s">
        <v>853</v>
      </c>
      <c r="D63" s="320" t="s">
        <v>856</v>
      </c>
      <c r="E63" s="320" t="s">
        <v>855</v>
      </c>
      <c r="F63" s="321" t="s">
        <v>280</v>
      </c>
      <c r="G63" s="315" t="s">
        <v>733</v>
      </c>
      <c r="H63" s="322">
        <v>2018</v>
      </c>
      <c r="I63" s="322">
        <v>5</v>
      </c>
      <c r="J63" s="323">
        <v>2954.68</v>
      </c>
      <c r="K63" s="322">
        <v>6.03</v>
      </c>
      <c r="L63" s="323">
        <v>2954.68</v>
      </c>
      <c r="M63" s="322">
        <v>6.03</v>
      </c>
      <c r="N63" s="323">
        <v>2954.68</v>
      </c>
      <c r="O63" s="322">
        <v>6.03</v>
      </c>
      <c r="P63" s="323">
        <v>2954.68</v>
      </c>
    </row>
    <row r="64" spans="1:16">
      <c r="A64" s="318" t="s">
        <v>852</v>
      </c>
      <c r="B64" s="319" t="s">
        <v>416</v>
      </c>
      <c r="C64" s="320" t="s">
        <v>853</v>
      </c>
      <c r="D64" s="320" t="s">
        <v>857</v>
      </c>
      <c r="E64" s="320" t="s">
        <v>855</v>
      </c>
      <c r="F64" s="321" t="s">
        <v>280</v>
      </c>
      <c r="G64" s="315" t="s">
        <v>733</v>
      </c>
      <c r="H64" s="322">
        <v>2018</v>
      </c>
      <c r="I64" s="322">
        <v>5</v>
      </c>
      <c r="J64" s="323">
        <v>9794.1</v>
      </c>
      <c r="K64" s="322">
        <v>4.95</v>
      </c>
      <c r="L64" s="323">
        <v>9794.1</v>
      </c>
      <c r="M64" s="322">
        <v>4.95</v>
      </c>
      <c r="N64" s="323">
        <v>9794.1</v>
      </c>
      <c r="O64" s="322">
        <v>4.95</v>
      </c>
      <c r="P64" s="323">
        <v>9794.1</v>
      </c>
    </row>
    <row r="65" spans="1:16">
      <c r="A65" s="324" t="s">
        <v>858</v>
      </c>
      <c r="B65" s="320" t="s">
        <v>416</v>
      </c>
      <c r="C65" s="320" t="s">
        <v>859</v>
      </c>
      <c r="D65" s="320" t="s">
        <v>860</v>
      </c>
      <c r="E65" s="320" t="s">
        <v>779</v>
      </c>
      <c r="F65" s="321" t="s">
        <v>280</v>
      </c>
      <c r="G65" s="315" t="s">
        <v>733</v>
      </c>
      <c r="H65" s="322">
        <v>2018</v>
      </c>
      <c r="I65" s="322">
        <v>28</v>
      </c>
      <c r="J65" s="323">
        <v>58938.3</v>
      </c>
      <c r="K65" s="322">
        <v>0</v>
      </c>
      <c r="L65" s="323">
        <v>58938.3</v>
      </c>
      <c r="M65" s="322">
        <v>592.4</v>
      </c>
      <c r="N65" s="323">
        <v>58345.9</v>
      </c>
      <c r="O65" s="322">
        <v>0</v>
      </c>
      <c r="P65" s="323">
        <v>58345.9</v>
      </c>
    </row>
    <row r="66" spans="1:16">
      <c r="A66" s="324" t="s">
        <v>861</v>
      </c>
      <c r="B66" s="320" t="s">
        <v>416</v>
      </c>
      <c r="C66" s="320" t="s">
        <v>862</v>
      </c>
      <c r="D66" s="320" t="s">
        <v>863</v>
      </c>
      <c r="E66" s="320" t="s">
        <v>779</v>
      </c>
      <c r="F66" s="321" t="s">
        <v>276</v>
      </c>
      <c r="G66" s="315" t="s">
        <v>733</v>
      </c>
      <c r="H66" s="322">
        <v>2018</v>
      </c>
      <c r="I66" s="322">
        <v>60</v>
      </c>
      <c r="J66" s="323">
        <v>128270.93</v>
      </c>
      <c r="K66" s="322">
        <v>0</v>
      </c>
      <c r="L66" s="323">
        <v>128270.93</v>
      </c>
      <c r="M66" s="322">
        <v>817.64</v>
      </c>
      <c r="N66" s="323">
        <v>127453.29</v>
      </c>
      <c r="O66" s="322">
        <v>0</v>
      </c>
      <c r="P66" s="323">
        <v>127453.29</v>
      </c>
    </row>
    <row r="67" spans="1:16">
      <c r="A67" s="324" t="s">
        <v>864</v>
      </c>
      <c r="B67" s="320" t="s">
        <v>416</v>
      </c>
      <c r="C67" s="320" t="s">
        <v>865</v>
      </c>
      <c r="D67" s="320" t="s">
        <v>866</v>
      </c>
      <c r="E67" s="320" t="s">
        <v>779</v>
      </c>
      <c r="F67" s="321" t="s">
        <v>275</v>
      </c>
      <c r="G67" s="315" t="s">
        <v>733</v>
      </c>
      <c r="H67" s="322">
        <v>2018</v>
      </c>
      <c r="I67" s="322">
        <v>64</v>
      </c>
      <c r="J67" s="323">
        <v>145349.66</v>
      </c>
      <c r="K67" s="323">
        <v>1250.28</v>
      </c>
      <c r="L67" s="323">
        <v>144099.39000000001</v>
      </c>
      <c r="M67" s="322">
        <v>0</v>
      </c>
      <c r="N67" s="323">
        <v>144099.39000000001</v>
      </c>
      <c r="O67" s="322">
        <v>0</v>
      </c>
      <c r="P67" s="323">
        <v>144099.39000000001</v>
      </c>
    </row>
    <row r="68" spans="1:16">
      <c r="A68" s="324" t="s">
        <v>867</v>
      </c>
      <c r="B68" s="320" t="s">
        <v>416</v>
      </c>
      <c r="C68" s="320" t="s">
        <v>868</v>
      </c>
      <c r="D68" s="320" t="s">
        <v>869</v>
      </c>
      <c r="E68" s="320" t="s">
        <v>96</v>
      </c>
      <c r="F68" s="321" t="s">
        <v>281</v>
      </c>
      <c r="G68" s="315" t="s">
        <v>733</v>
      </c>
      <c r="H68" s="322">
        <v>2018</v>
      </c>
      <c r="I68" s="322">
        <v>2.5</v>
      </c>
      <c r="J68" s="323">
        <v>12472.39</v>
      </c>
      <c r="K68" s="322">
        <v>0</v>
      </c>
      <c r="L68" s="323">
        <v>12472.39</v>
      </c>
      <c r="M68" s="322">
        <v>0</v>
      </c>
      <c r="N68" s="323">
        <v>12472.39</v>
      </c>
      <c r="O68" s="322">
        <v>124.72</v>
      </c>
      <c r="P68" s="323">
        <v>12347.67</v>
      </c>
    </row>
    <row r="69" spans="1:16">
      <c r="A69" s="324" t="s">
        <v>870</v>
      </c>
      <c r="B69" s="320" t="s">
        <v>416</v>
      </c>
      <c r="C69" s="320" t="s">
        <v>871</v>
      </c>
      <c r="D69" s="320" t="s">
        <v>872</v>
      </c>
      <c r="E69" s="320" t="s">
        <v>217</v>
      </c>
      <c r="F69" s="321" t="s">
        <v>276</v>
      </c>
      <c r="G69" s="315" t="s">
        <v>733</v>
      </c>
      <c r="H69" s="322">
        <v>2018</v>
      </c>
      <c r="I69" s="322">
        <v>111</v>
      </c>
      <c r="J69" s="323">
        <v>370867.36</v>
      </c>
      <c r="K69" s="322">
        <v>0</v>
      </c>
      <c r="L69" s="323">
        <v>370867.36</v>
      </c>
      <c r="M69" s="322">
        <v>276.16000000000003</v>
      </c>
      <c r="N69" s="323">
        <v>370591.2</v>
      </c>
      <c r="O69" s="322">
        <v>6</v>
      </c>
      <c r="P69" s="323">
        <v>370585.2</v>
      </c>
    </row>
    <row r="70" spans="1:16">
      <c r="A70" s="324" t="s">
        <v>873</v>
      </c>
      <c r="B70" s="320" t="s">
        <v>416</v>
      </c>
      <c r="C70" s="320" t="s">
        <v>874</v>
      </c>
      <c r="D70" s="320" t="s">
        <v>875</v>
      </c>
      <c r="E70" s="320" t="s">
        <v>217</v>
      </c>
      <c r="F70" s="321" t="s">
        <v>275</v>
      </c>
      <c r="G70" s="315" t="s">
        <v>733</v>
      </c>
      <c r="H70" s="322">
        <v>2018</v>
      </c>
      <c r="I70" s="322">
        <v>59.8</v>
      </c>
      <c r="J70" s="323">
        <v>164323.68</v>
      </c>
      <c r="K70" s="322">
        <v>0</v>
      </c>
      <c r="L70" s="323">
        <v>164323.68</v>
      </c>
      <c r="M70" s="322">
        <v>529.15</v>
      </c>
      <c r="N70" s="323">
        <v>163794.51999999999</v>
      </c>
      <c r="O70" s="322">
        <v>0</v>
      </c>
      <c r="P70" s="323">
        <v>163794.51999999999</v>
      </c>
    </row>
    <row r="71" spans="1:16">
      <c r="A71" s="324" t="s">
        <v>876</v>
      </c>
      <c r="B71" s="320" t="s">
        <v>416</v>
      </c>
      <c r="C71" s="320" t="s">
        <v>877</v>
      </c>
      <c r="D71" s="320" t="s">
        <v>878</v>
      </c>
      <c r="E71" s="320" t="s">
        <v>17</v>
      </c>
      <c r="F71" s="315" t="s">
        <v>278</v>
      </c>
      <c r="G71" s="315" t="s">
        <v>733</v>
      </c>
      <c r="H71" s="322">
        <v>2018</v>
      </c>
      <c r="I71" s="322">
        <v>2</v>
      </c>
      <c r="J71" s="323">
        <v>29747.439999999999</v>
      </c>
      <c r="K71" s="323">
        <v>26817.73</v>
      </c>
      <c r="L71" s="323">
        <v>2929.71</v>
      </c>
      <c r="M71" s="323">
        <v>1901.06</v>
      </c>
      <c r="N71" s="323">
        <v>1028.6500000000001</v>
      </c>
      <c r="O71" s="323">
        <v>28718.79</v>
      </c>
      <c r="P71" s="322">
        <v>0</v>
      </c>
    </row>
    <row r="72" spans="1:16">
      <c r="A72" s="324" t="s">
        <v>879</v>
      </c>
      <c r="B72" s="320" t="s">
        <v>416</v>
      </c>
      <c r="C72" s="320" t="s">
        <v>880</v>
      </c>
      <c r="D72" s="320" t="s">
        <v>881</v>
      </c>
      <c r="E72" s="320" t="s">
        <v>779</v>
      </c>
      <c r="F72" s="321" t="s">
        <v>276</v>
      </c>
      <c r="G72" s="315" t="s">
        <v>733</v>
      </c>
      <c r="H72" s="322">
        <v>2018</v>
      </c>
      <c r="I72" s="322">
        <v>75</v>
      </c>
      <c r="J72" s="323">
        <v>175645.18</v>
      </c>
      <c r="K72" s="322">
        <v>0</v>
      </c>
      <c r="L72" s="323">
        <v>175645.18</v>
      </c>
      <c r="M72" s="323">
        <v>1123.27</v>
      </c>
      <c r="N72" s="323">
        <v>174521.91</v>
      </c>
      <c r="O72" s="322">
        <v>13.72</v>
      </c>
      <c r="P72" s="323">
        <v>174508.19</v>
      </c>
    </row>
    <row r="73" spans="1:16">
      <c r="A73" s="324" t="s">
        <v>882</v>
      </c>
      <c r="B73" s="320" t="s">
        <v>416</v>
      </c>
      <c r="C73" s="320" t="s">
        <v>883</v>
      </c>
      <c r="D73" s="320" t="s">
        <v>884</v>
      </c>
      <c r="E73" s="320" t="s">
        <v>217</v>
      </c>
      <c r="F73" s="321" t="s">
        <v>275</v>
      </c>
      <c r="G73" s="315" t="s">
        <v>733</v>
      </c>
      <c r="H73" s="322">
        <v>2018</v>
      </c>
      <c r="I73" s="322">
        <v>133.86000000000001</v>
      </c>
      <c r="J73" s="323">
        <v>416304.23</v>
      </c>
      <c r="K73" s="322">
        <v>0</v>
      </c>
      <c r="L73" s="323">
        <v>416304.49</v>
      </c>
      <c r="M73" s="322">
        <v>0</v>
      </c>
      <c r="N73" s="323">
        <v>416304.49</v>
      </c>
      <c r="O73" s="322">
        <v>0</v>
      </c>
      <c r="P73" s="323">
        <v>416304.49</v>
      </c>
    </row>
    <row r="74" spans="1:16">
      <c r="A74" s="324" t="s">
        <v>885</v>
      </c>
      <c r="B74" s="320" t="s">
        <v>416</v>
      </c>
      <c r="C74" s="320" t="s">
        <v>886</v>
      </c>
      <c r="D74" s="320" t="s">
        <v>887</v>
      </c>
      <c r="E74" s="320" t="s">
        <v>775</v>
      </c>
      <c r="F74" s="321" t="s">
        <v>276</v>
      </c>
      <c r="G74" s="315" t="s">
        <v>733</v>
      </c>
      <c r="H74" s="322">
        <v>2018</v>
      </c>
      <c r="I74" s="322">
        <v>100</v>
      </c>
      <c r="J74" s="323">
        <v>348742.72</v>
      </c>
      <c r="K74" s="323">
        <v>33324.67</v>
      </c>
      <c r="L74" s="323">
        <v>348742.72</v>
      </c>
      <c r="M74" s="323">
        <v>9061.51</v>
      </c>
      <c r="N74" s="323">
        <v>315418.05</v>
      </c>
      <c r="O74" s="323">
        <v>33324.67</v>
      </c>
      <c r="P74" s="323">
        <v>315418.05</v>
      </c>
    </row>
    <row r="75" spans="1:16">
      <c r="A75" s="324" t="s">
        <v>888</v>
      </c>
      <c r="B75" s="320" t="s">
        <v>416</v>
      </c>
      <c r="C75" s="320" t="s">
        <v>889</v>
      </c>
      <c r="D75" s="320" t="s">
        <v>890</v>
      </c>
      <c r="E75" s="320" t="s">
        <v>96</v>
      </c>
      <c r="F75" s="321" t="s">
        <v>276</v>
      </c>
      <c r="G75" s="315" t="s">
        <v>733</v>
      </c>
      <c r="H75" s="322">
        <v>2018</v>
      </c>
      <c r="I75" s="322">
        <v>10</v>
      </c>
      <c r="J75" s="323">
        <v>43103.21</v>
      </c>
      <c r="K75" s="322">
        <v>0</v>
      </c>
      <c r="L75" s="323">
        <v>43103.21</v>
      </c>
      <c r="M75" s="322">
        <v>26.83</v>
      </c>
      <c r="N75" s="323">
        <v>42814.01</v>
      </c>
      <c r="O75" s="322">
        <v>26.83</v>
      </c>
      <c r="P75" s="323">
        <v>42814.01</v>
      </c>
    </row>
    <row r="76" spans="1:16">
      <c r="A76" s="324" t="s">
        <v>891</v>
      </c>
      <c r="B76" s="320" t="s">
        <v>416</v>
      </c>
      <c r="C76" s="320" t="s">
        <v>892</v>
      </c>
      <c r="D76" s="320" t="s">
        <v>893</v>
      </c>
      <c r="E76" s="320" t="s">
        <v>775</v>
      </c>
      <c r="F76" s="321" t="s">
        <v>276</v>
      </c>
      <c r="G76" s="315" t="s">
        <v>733</v>
      </c>
      <c r="H76" s="322">
        <v>2018</v>
      </c>
      <c r="I76" s="322">
        <v>50</v>
      </c>
      <c r="J76" s="323">
        <v>111959.79</v>
      </c>
      <c r="K76" s="323">
        <v>6141.48</v>
      </c>
      <c r="L76" s="323">
        <v>111959.79</v>
      </c>
      <c r="M76" s="323">
        <v>8348.31</v>
      </c>
      <c r="N76" s="323">
        <v>105818.31</v>
      </c>
      <c r="O76" s="323">
        <v>6141.48</v>
      </c>
      <c r="P76" s="323">
        <v>105818.31</v>
      </c>
    </row>
    <row r="77" spans="1:16">
      <c r="A77" s="324" t="s">
        <v>894</v>
      </c>
      <c r="B77" s="320" t="s">
        <v>416</v>
      </c>
      <c r="C77" s="320" t="s">
        <v>895</v>
      </c>
      <c r="D77" s="320" t="s">
        <v>896</v>
      </c>
      <c r="E77" s="320" t="s">
        <v>217</v>
      </c>
      <c r="F77" s="321" t="s">
        <v>274</v>
      </c>
      <c r="G77" s="315" t="s">
        <v>733</v>
      </c>
      <c r="H77" s="322">
        <v>2018</v>
      </c>
      <c r="I77" s="322">
        <v>27</v>
      </c>
      <c r="J77" s="323">
        <v>73823.570000000007</v>
      </c>
      <c r="K77" s="322">
        <v>142.01</v>
      </c>
      <c r="L77" s="323">
        <v>73681.56</v>
      </c>
      <c r="M77" s="322">
        <v>142.01</v>
      </c>
      <c r="N77" s="323">
        <v>73823.570000000007</v>
      </c>
      <c r="O77" s="322">
        <v>142.01</v>
      </c>
      <c r="P77" s="323">
        <v>73823.570000000007</v>
      </c>
    </row>
    <row r="78" spans="1:16">
      <c r="A78" s="324" t="s">
        <v>897</v>
      </c>
      <c r="B78" s="320" t="s">
        <v>416</v>
      </c>
      <c r="C78" s="320" t="s">
        <v>898</v>
      </c>
      <c r="D78" s="320" t="s">
        <v>898</v>
      </c>
      <c r="E78" s="320" t="s">
        <v>779</v>
      </c>
      <c r="F78" s="321" t="s">
        <v>276</v>
      </c>
      <c r="G78" s="315" t="s">
        <v>733</v>
      </c>
      <c r="H78" s="322">
        <v>2018</v>
      </c>
      <c r="I78" s="322">
        <v>10</v>
      </c>
      <c r="J78" s="323">
        <v>21753.75</v>
      </c>
      <c r="K78" s="322">
        <v>0</v>
      </c>
      <c r="L78" s="323">
        <v>21753.75</v>
      </c>
      <c r="M78" s="322">
        <v>75.31</v>
      </c>
      <c r="N78" s="323">
        <v>21753.75</v>
      </c>
      <c r="O78" s="322">
        <v>28.18</v>
      </c>
      <c r="P78" s="323">
        <v>21753.75</v>
      </c>
    </row>
    <row r="79" spans="1:16">
      <c r="A79" s="318" t="s">
        <v>899</v>
      </c>
      <c r="B79" s="319" t="s">
        <v>416</v>
      </c>
      <c r="C79" s="320" t="s">
        <v>900</v>
      </c>
      <c r="D79" s="320" t="s">
        <v>901</v>
      </c>
      <c r="E79" s="320" t="s">
        <v>96</v>
      </c>
      <c r="F79" s="321" t="s">
        <v>274</v>
      </c>
      <c r="G79" s="315" t="s">
        <v>733</v>
      </c>
      <c r="H79" s="322">
        <v>2018</v>
      </c>
      <c r="I79" s="322">
        <v>2.42</v>
      </c>
      <c r="J79" s="322">
        <v>0</v>
      </c>
      <c r="K79" s="322">
        <v>14.09</v>
      </c>
      <c r="L79" s="322">
        <v>-14.09</v>
      </c>
      <c r="M79" s="323">
        <v>4536.0600000000004</v>
      </c>
      <c r="N79" s="322">
        <v>-14.09</v>
      </c>
      <c r="O79" s="322">
        <v>0</v>
      </c>
      <c r="P79" s="322">
        <v>0</v>
      </c>
    </row>
    <row r="80" spans="1:16">
      <c r="A80" s="324" t="s">
        <v>902</v>
      </c>
      <c r="B80" s="320" t="s">
        <v>416</v>
      </c>
      <c r="C80" s="320" t="s">
        <v>903</v>
      </c>
      <c r="D80" s="320" t="s">
        <v>904</v>
      </c>
      <c r="E80" s="320" t="s">
        <v>217</v>
      </c>
      <c r="F80" s="321" t="s">
        <v>276</v>
      </c>
      <c r="G80" s="315" t="s">
        <v>733</v>
      </c>
      <c r="H80" s="322">
        <v>2018</v>
      </c>
      <c r="I80" s="322">
        <v>138.96</v>
      </c>
      <c r="J80" s="323">
        <v>467892.82</v>
      </c>
      <c r="K80" s="322">
        <v>0</v>
      </c>
      <c r="L80" s="323">
        <v>467892.82</v>
      </c>
      <c r="M80" s="322">
        <v>296.08999999999997</v>
      </c>
      <c r="N80" s="323">
        <v>453663.82</v>
      </c>
      <c r="O80" s="323">
        <v>14525.1</v>
      </c>
      <c r="P80" s="323">
        <v>453663.82</v>
      </c>
    </row>
    <row r="81" spans="1:16">
      <c r="A81" s="324" t="s">
        <v>905</v>
      </c>
      <c r="B81" s="320" t="s">
        <v>416</v>
      </c>
      <c r="C81" s="320" t="s">
        <v>906</v>
      </c>
      <c r="D81" s="320" t="s">
        <v>907</v>
      </c>
      <c r="E81" s="320" t="s">
        <v>217</v>
      </c>
      <c r="F81" s="321" t="s">
        <v>276</v>
      </c>
      <c r="G81" s="315" t="s">
        <v>733</v>
      </c>
      <c r="H81" s="322">
        <v>2018</v>
      </c>
      <c r="I81" s="322">
        <v>96.48</v>
      </c>
      <c r="J81" s="323">
        <v>294538.07</v>
      </c>
      <c r="K81" s="322">
        <v>0</v>
      </c>
      <c r="L81" s="323">
        <v>294538.07</v>
      </c>
      <c r="M81" s="322">
        <v>340.69</v>
      </c>
      <c r="N81" s="323">
        <v>285035.07</v>
      </c>
      <c r="O81" s="323">
        <v>9843.69</v>
      </c>
      <c r="P81" s="323">
        <v>285035.07</v>
      </c>
    </row>
    <row r="82" spans="1:16">
      <c r="A82" s="324" t="s">
        <v>908</v>
      </c>
      <c r="B82" s="320" t="s">
        <v>416</v>
      </c>
      <c r="C82" s="320" t="s">
        <v>909</v>
      </c>
      <c r="D82" s="320" t="s">
        <v>910</v>
      </c>
      <c r="E82" s="320" t="s">
        <v>9</v>
      </c>
      <c r="F82" s="321" t="s">
        <v>274</v>
      </c>
      <c r="G82" s="315" t="s">
        <v>733</v>
      </c>
      <c r="H82" s="322">
        <v>2018</v>
      </c>
      <c r="I82" s="322">
        <v>4.25</v>
      </c>
      <c r="J82" s="323">
        <v>8721.81</v>
      </c>
      <c r="K82" s="322">
        <v>0</v>
      </c>
      <c r="L82" s="323">
        <v>8721.81</v>
      </c>
      <c r="M82" s="322">
        <v>456.8</v>
      </c>
      <c r="N82" s="323">
        <v>8290.43</v>
      </c>
      <c r="O82" s="322">
        <v>0</v>
      </c>
      <c r="P82" s="323">
        <v>8290.43</v>
      </c>
    </row>
    <row r="83" spans="1:16">
      <c r="A83" s="324" t="s">
        <v>911</v>
      </c>
      <c r="B83" s="320" t="s">
        <v>416</v>
      </c>
      <c r="C83" s="320" t="s">
        <v>912</v>
      </c>
      <c r="D83" s="320" t="s">
        <v>913</v>
      </c>
      <c r="E83" s="320" t="s">
        <v>914</v>
      </c>
      <c r="F83" s="315" t="s">
        <v>278</v>
      </c>
      <c r="G83" s="315" t="s">
        <v>733</v>
      </c>
      <c r="H83" s="322">
        <v>2018</v>
      </c>
      <c r="I83" s="322">
        <v>75</v>
      </c>
      <c r="J83" s="323">
        <v>711588.58</v>
      </c>
      <c r="K83" s="322">
        <v>0</v>
      </c>
      <c r="L83" s="323">
        <v>711588.58</v>
      </c>
      <c r="M83" s="323">
        <v>52421.99</v>
      </c>
      <c r="N83" s="323">
        <v>764010.56</v>
      </c>
      <c r="O83" s="323">
        <v>720984.65</v>
      </c>
      <c r="P83" s="323">
        <v>43389.58</v>
      </c>
    </row>
    <row r="84" spans="1:16">
      <c r="A84" s="324" t="s">
        <v>915</v>
      </c>
      <c r="B84" s="320" t="s">
        <v>416</v>
      </c>
      <c r="C84" s="320" t="s">
        <v>916</v>
      </c>
      <c r="D84" s="320" t="s">
        <v>917</v>
      </c>
      <c r="E84" s="320" t="s">
        <v>918</v>
      </c>
      <c r="F84" s="321" t="s">
        <v>281</v>
      </c>
      <c r="G84" s="315" t="s">
        <v>733</v>
      </c>
      <c r="H84" s="322">
        <v>2018</v>
      </c>
      <c r="I84" s="322">
        <v>5.0999999999999996</v>
      </c>
      <c r="J84" s="323">
        <v>9299.57</v>
      </c>
      <c r="K84" s="322">
        <v>0</v>
      </c>
      <c r="L84" s="323">
        <v>9299.57</v>
      </c>
      <c r="M84" s="323">
        <v>84662.88</v>
      </c>
      <c r="N84" s="322">
        <v>0</v>
      </c>
      <c r="O84" s="323">
        <v>93962.45</v>
      </c>
      <c r="P84" s="322">
        <v>0</v>
      </c>
    </row>
    <row r="85" spans="1:16">
      <c r="A85" s="324" t="s">
        <v>919</v>
      </c>
      <c r="B85" s="320" t="s">
        <v>416</v>
      </c>
      <c r="C85" s="320" t="s">
        <v>920</v>
      </c>
      <c r="D85" s="320" t="s">
        <v>921</v>
      </c>
      <c r="E85" s="320" t="s">
        <v>779</v>
      </c>
      <c r="F85" s="321" t="s">
        <v>276</v>
      </c>
      <c r="G85" s="315" t="s">
        <v>733</v>
      </c>
      <c r="H85" s="322">
        <v>2018</v>
      </c>
      <c r="I85" s="322">
        <v>10</v>
      </c>
      <c r="J85" s="323">
        <v>20418.259999999998</v>
      </c>
      <c r="K85" s="322">
        <v>0</v>
      </c>
      <c r="L85" s="323">
        <v>20418.259999999998</v>
      </c>
      <c r="M85" s="322">
        <v>137.44999999999999</v>
      </c>
      <c r="N85" s="323">
        <v>20418.259999999998</v>
      </c>
      <c r="O85" s="322">
        <v>115.66</v>
      </c>
      <c r="P85" s="323">
        <v>20418.259999999998</v>
      </c>
    </row>
    <row r="86" spans="1:16">
      <c r="A86" s="324" t="s">
        <v>922</v>
      </c>
      <c r="B86" s="320" t="s">
        <v>416</v>
      </c>
      <c r="C86" s="320" t="s">
        <v>923</v>
      </c>
      <c r="D86" s="320" t="s">
        <v>923</v>
      </c>
      <c r="E86" s="320" t="s">
        <v>779</v>
      </c>
      <c r="F86" s="321" t="s">
        <v>276</v>
      </c>
      <c r="G86" s="315" t="s">
        <v>733</v>
      </c>
      <c r="H86" s="322">
        <v>2018</v>
      </c>
      <c r="I86" s="322">
        <v>20</v>
      </c>
      <c r="J86" s="323">
        <v>41726.480000000003</v>
      </c>
      <c r="K86" s="322">
        <v>0</v>
      </c>
      <c r="L86" s="323">
        <v>41726.480000000003</v>
      </c>
      <c r="M86" s="322">
        <v>295.14999999999998</v>
      </c>
      <c r="N86" s="323">
        <v>41726.480000000003</v>
      </c>
      <c r="O86" s="322">
        <v>192.03</v>
      </c>
      <c r="P86" s="323">
        <v>41726.480000000003</v>
      </c>
    </row>
    <row r="87" spans="1:16">
      <c r="A87" s="324" t="s">
        <v>924</v>
      </c>
      <c r="B87" s="320" t="s">
        <v>416</v>
      </c>
      <c r="C87" s="320" t="s">
        <v>925</v>
      </c>
      <c r="D87" s="320" t="s">
        <v>926</v>
      </c>
      <c r="E87" s="320" t="s">
        <v>779</v>
      </c>
      <c r="F87" s="321" t="s">
        <v>276</v>
      </c>
      <c r="G87" s="315" t="s">
        <v>733</v>
      </c>
      <c r="H87" s="322">
        <v>2018</v>
      </c>
      <c r="I87" s="322">
        <v>75</v>
      </c>
      <c r="J87" s="323">
        <v>165473.07</v>
      </c>
      <c r="K87" s="322">
        <v>0</v>
      </c>
      <c r="L87" s="323">
        <v>165473.07</v>
      </c>
      <c r="M87" s="322">
        <v>717.32</v>
      </c>
      <c r="N87" s="323">
        <v>165473.07</v>
      </c>
      <c r="O87" s="322">
        <v>97.38</v>
      </c>
      <c r="P87" s="323">
        <v>165473.07</v>
      </c>
    </row>
    <row r="88" spans="1:16">
      <c r="A88" s="324" t="s">
        <v>927</v>
      </c>
      <c r="B88" s="320" t="s">
        <v>818</v>
      </c>
      <c r="C88" s="320" t="s">
        <v>928</v>
      </c>
      <c r="D88" s="320" t="s">
        <v>929</v>
      </c>
      <c r="E88" s="320" t="s">
        <v>9</v>
      </c>
      <c r="F88" s="321" t="s">
        <v>275</v>
      </c>
      <c r="G88" s="315" t="s">
        <v>733</v>
      </c>
      <c r="H88" s="322">
        <v>2018</v>
      </c>
      <c r="I88" s="322">
        <v>40</v>
      </c>
      <c r="J88" s="322">
        <v>0</v>
      </c>
      <c r="K88" s="322">
        <v>0</v>
      </c>
      <c r="L88" s="322">
        <v>0</v>
      </c>
      <c r="M88" s="322">
        <v>0</v>
      </c>
      <c r="N88" s="322">
        <v>0</v>
      </c>
      <c r="O88" s="322">
        <v>0</v>
      </c>
      <c r="P88" s="322">
        <v>0</v>
      </c>
    </row>
    <row r="89" spans="1:16">
      <c r="A89" s="324" t="s">
        <v>930</v>
      </c>
      <c r="B89" s="320" t="s">
        <v>416</v>
      </c>
      <c r="C89" s="320" t="s">
        <v>931</v>
      </c>
      <c r="D89" s="320" t="s">
        <v>932</v>
      </c>
      <c r="E89" s="320" t="s">
        <v>9</v>
      </c>
      <c r="F89" s="315" t="s">
        <v>278</v>
      </c>
      <c r="G89" s="315" t="s">
        <v>733</v>
      </c>
      <c r="H89" s="322">
        <v>2018</v>
      </c>
      <c r="I89" s="322">
        <v>13</v>
      </c>
      <c r="J89" s="322">
        <v>0</v>
      </c>
      <c r="K89" s="322">
        <v>0</v>
      </c>
      <c r="L89" s="322">
        <v>0</v>
      </c>
      <c r="M89" s="322">
        <v>0</v>
      </c>
      <c r="N89" s="322">
        <v>0</v>
      </c>
      <c r="O89" s="322">
        <v>0</v>
      </c>
      <c r="P89" s="322">
        <v>0</v>
      </c>
    </row>
    <row r="90" spans="1:16">
      <c r="A90" s="324" t="s">
        <v>933</v>
      </c>
      <c r="B90" s="320" t="s">
        <v>416</v>
      </c>
      <c r="C90" s="320" t="s">
        <v>934</v>
      </c>
      <c r="D90" s="320" t="s">
        <v>935</v>
      </c>
      <c r="E90" s="320" t="s">
        <v>779</v>
      </c>
      <c r="F90" s="321" t="s">
        <v>276</v>
      </c>
      <c r="G90" s="315" t="s">
        <v>733</v>
      </c>
      <c r="H90" s="322">
        <v>2018</v>
      </c>
      <c r="I90" s="322">
        <v>64</v>
      </c>
      <c r="J90" s="323">
        <v>149862.69</v>
      </c>
      <c r="K90" s="323">
        <v>1222.57</v>
      </c>
      <c r="L90" s="323">
        <v>148640.12</v>
      </c>
      <c r="M90" s="322">
        <v>0</v>
      </c>
      <c r="N90" s="323">
        <v>148640.12</v>
      </c>
      <c r="O90" s="322">
        <v>0</v>
      </c>
      <c r="P90" s="323">
        <v>148640.12</v>
      </c>
    </row>
    <row r="91" spans="1:16">
      <c r="A91" s="324" t="s">
        <v>936</v>
      </c>
      <c r="B91" s="320" t="s">
        <v>416</v>
      </c>
      <c r="C91" s="320" t="s">
        <v>937</v>
      </c>
      <c r="D91" s="320" t="s">
        <v>938</v>
      </c>
      <c r="E91" s="320" t="s">
        <v>9</v>
      </c>
      <c r="F91" s="321" t="s">
        <v>281</v>
      </c>
      <c r="G91" s="315" t="s">
        <v>733</v>
      </c>
      <c r="H91" s="322">
        <v>2018</v>
      </c>
      <c r="I91" s="322">
        <v>10.7</v>
      </c>
      <c r="J91" s="322">
        <v>0</v>
      </c>
      <c r="K91" s="322">
        <v>0</v>
      </c>
      <c r="L91" s="322">
        <v>0</v>
      </c>
      <c r="M91" s="322">
        <v>0</v>
      </c>
      <c r="N91" s="322">
        <v>0</v>
      </c>
      <c r="O91" s="322">
        <v>0</v>
      </c>
      <c r="P91" s="322">
        <v>0</v>
      </c>
    </row>
    <row r="92" spans="1:16">
      <c r="A92" s="324" t="s">
        <v>939</v>
      </c>
      <c r="B92" s="320" t="s">
        <v>416</v>
      </c>
      <c r="C92" s="320" t="s">
        <v>940</v>
      </c>
      <c r="D92" s="320" t="s">
        <v>941</v>
      </c>
      <c r="E92" s="320" t="s">
        <v>779</v>
      </c>
      <c r="F92" s="321" t="s">
        <v>277</v>
      </c>
      <c r="G92" s="315" t="s">
        <v>733</v>
      </c>
      <c r="H92" s="322">
        <v>2018</v>
      </c>
      <c r="I92" s="322">
        <v>75</v>
      </c>
      <c r="J92" s="323">
        <v>144016.1</v>
      </c>
      <c r="K92" s="322">
        <v>0</v>
      </c>
      <c r="L92" s="323">
        <v>144016.1</v>
      </c>
      <c r="M92" s="323">
        <v>1083.2</v>
      </c>
      <c r="N92" s="323">
        <v>142932.91</v>
      </c>
      <c r="O92" s="322">
        <v>6</v>
      </c>
      <c r="P92" s="323">
        <v>142926.91</v>
      </c>
    </row>
    <row r="93" spans="1:16">
      <c r="A93" s="324" t="s">
        <v>942</v>
      </c>
      <c r="B93" s="320" t="s">
        <v>416</v>
      </c>
      <c r="C93" s="320" t="s">
        <v>943</v>
      </c>
      <c r="D93" s="320" t="s">
        <v>739</v>
      </c>
      <c r="E93" s="320" t="s">
        <v>944</v>
      </c>
      <c r="F93" s="321" t="s">
        <v>281</v>
      </c>
      <c r="G93" s="315" t="s">
        <v>733</v>
      </c>
      <c r="H93" s="322">
        <v>2018</v>
      </c>
      <c r="I93" s="322">
        <v>4</v>
      </c>
      <c r="J93" s="323">
        <v>82927.12</v>
      </c>
      <c r="K93" s="322">
        <v>0</v>
      </c>
      <c r="L93" s="323">
        <v>82927.12</v>
      </c>
      <c r="M93" s="323">
        <v>3888.66</v>
      </c>
      <c r="N93" s="323">
        <v>82927.12</v>
      </c>
      <c r="O93" s="323">
        <v>81273.58</v>
      </c>
      <c r="P93" s="323">
        <v>5542.2</v>
      </c>
    </row>
    <row r="94" spans="1:16">
      <c r="A94" s="324" t="s">
        <v>942</v>
      </c>
      <c r="B94" s="320" t="s">
        <v>416</v>
      </c>
      <c r="C94" s="320" t="s">
        <v>943</v>
      </c>
      <c r="D94" s="320" t="s">
        <v>945</v>
      </c>
      <c r="E94" s="320" t="s">
        <v>944</v>
      </c>
      <c r="F94" s="321" t="s">
        <v>281</v>
      </c>
      <c r="G94" s="315" t="s">
        <v>733</v>
      </c>
      <c r="H94" s="322">
        <v>2018</v>
      </c>
      <c r="I94" s="322">
        <v>3.5</v>
      </c>
      <c r="J94" s="323">
        <v>98726.17</v>
      </c>
      <c r="K94" s="322">
        <v>0</v>
      </c>
      <c r="L94" s="323">
        <v>98726.17</v>
      </c>
      <c r="M94" s="323">
        <v>7485.56</v>
      </c>
      <c r="N94" s="323">
        <v>98005.11</v>
      </c>
      <c r="O94" s="323">
        <v>87505.31</v>
      </c>
      <c r="P94" s="323">
        <v>18706.419999999998</v>
      </c>
    </row>
    <row r="95" spans="1:16">
      <c r="A95" s="324" t="s">
        <v>946</v>
      </c>
      <c r="B95" s="320" t="s">
        <v>416</v>
      </c>
      <c r="C95" s="320" t="s">
        <v>947</v>
      </c>
      <c r="D95" s="320" t="s">
        <v>948</v>
      </c>
      <c r="E95" s="320" t="s">
        <v>217</v>
      </c>
      <c r="F95" s="321" t="s">
        <v>275</v>
      </c>
      <c r="G95" s="315" t="s">
        <v>733</v>
      </c>
      <c r="H95" s="322">
        <v>2018</v>
      </c>
      <c r="I95" s="322">
        <v>80</v>
      </c>
      <c r="J95" s="323">
        <v>264602.53999999998</v>
      </c>
      <c r="K95" s="322">
        <v>0</v>
      </c>
      <c r="L95" s="323">
        <v>264602.53999999998</v>
      </c>
      <c r="M95" s="322">
        <v>124.58</v>
      </c>
      <c r="N95" s="323">
        <v>264477.95</v>
      </c>
      <c r="O95" s="322">
        <v>0</v>
      </c>
      <c r="P95" s="323">
        <v>264477.95</v>
      </c>
    </row>
    <row r="96" spans="1:16">
      <c r="A96" s="324" t="s">
        <v>949</v>
      </c>
      <c r="B96" s="320" t="s">
        <v>416</v>
      </c>
      <c r="C96" s="320" t="s">
        <v>950</v>
      </c>
      <c r="D96" s="320" t="s">
        <v>951</v>
      </c>
      <c r="E96" s="320" t="s">
        <v>779</v>
      </c>
      <c r="F96" s="321" t="s">
        <v>276</v>
      </c>
      <c r="G96" s="315" t="s">
        <v>733</v>
      </c>
      <c r="H96" s="322">
        <v>2018</v>
      </c>
      <c r="I96" s="322">
        <v>75</v>
      </c>
      <c r="J96" s="323">
        <v>183729.9</v>
      </c>
      <c r="K96" s="323">
        <v>2013.25</v>
      </c>
      <c r="L96" s="323">
        <v>181716.65</v>
      </c>
      <c r="M96" s="323">
        <v>2305.13</v>
      </c>
      <c r="N96" s="323">
        <v>179411.52</v>
      </c>
      <c r="O96" s="322">
        <v>168.92</v>
      </c>
      <c r="P96" s="323">
        <v>176956.14</v>
      </c>
    </row>
    <row r="97" spans="1:16">
      <c r="A97" s="324" t="s">
        <v>952</v>
      </c>
      <c r="B97" s="320" t="s">
        <v>416</v>
      </c>
      <c r="C97" s="320" t="s">
        <v>953</v>
      </c>
      <c r="D97" s="320" t="s">
        <v>954</v>
      </c>
      <c r="E97" s="320" t="s">
        <v>217</v>
      </c>
      <c r="F97" s="321" t="s">
        <v>275</v>
      </c>
      <c r="G97" s="315" t="s">
        <v>733</v>
      </c>
      <c r="H97" s="322">
        <v>2018</v>
      </c>
      <c r="I97" s="322">
        <v>138.6</v>
      </c>
      <c r="J97" s="323">
        <v>323614.55</v>
      </c>
      <c r="K97" s="322">
        <v>0</v>
      </c>
      <c r="L97" s="323">
        <v>323614.55</v>
      </c>
      <c r="M97" s="323">
        <v>1443.78</v>
      </c>
      <c r="N97" s="323">
        <v>323614.55</v>
      </c>
      <c r="O97" s="322">
        <v>0</v>
      </c>
      <c r="P97" s="323">
        <v>316114.06</v>
      </c>
    </row>
    <row r="98" spans="1:16">
      <c r="A98" s="324" t="s">
        <v>955</v>
      </c>
      <c r="B98" s="320" t="s">
        <v>416</v>
      </c>
      <c r="C98" s="320" t="s">
        <v>956</v>
      </c>
      <c r="D98" s="320" t="s">
        <v>957</v>
      </c>
      <c r="E98" s="320" t="s">
        <v>217</v>
      </c>
      <c r="F98" s="321" t="s">
        <v>275</v>
      </c>
      <c r="G98" s="315" t="s">
        <v>733</v>
      </c>
      <c r="H98" s="322">
        <v>2018</v>
      </c>
      <c r="I98" s="322">
        <v>27</v>
      </c>
      <c r="J98" s="323">
        <v>69913.09</v>
      </c>
      <c r="K98" s="322">
        <v>0</v>
      </c>
      <c r="L98" s="323">
        <v>69913.09</v>
      </c>
      <c r="M98" s="322">
        <v>97.68</v>
      </c>
      <c r="N98" s="323">
        <v>69913.09</v>
      </c>
      <c r="O98" s="322">
        <v>0</v>
      </c>
      <c r="P98" s="323">
        <v>69913.09</v>
      </c>
    </row>
    <row r="99" spans="1:16">
      <c r="A99" s="324" t="s">
        <v>958</v>
      </c>
      <c r="B99" s="320" t="s">
        <v>416</v>
      </c>
      <c r="C99" s="320" t="s">
        <v>959</v>
      </c>
      <c r="D99" s="320" t="s">
        <v>959</v>
      </c>
      <c r="E99" s="320" t="s">
        <v>779</v>
      </c>
      <c r="F99" s="321" t="s">
        <v>960</v>
      </c>
      <c r="G99" s="315" t="s">
        <v>733</v>
      </c>
      <c r="H99" s="322">
        <v>2018</v>
      </c>
      <c r="I99" s="322">
        <v>7</v>
      </c>
      <c r="J99" s="323">
        <v>11897.79</v>
      </c>
      <c r="K99" s="322">
        <v>0</v>
      </c>
      <c r="L99" s="323">
        <v>11897.8</v>
      </c>
      <c r="M99" s="322">
        <v>0</v>
      </c>
      <c r="N99" s="323">
        <v>11897.8</v>
      </c>
      <c r="O99" s="322">
        <v>0</v>
      </c>
      <c r="P99" s="323">
        <v>11897.8</v>
      </c>
    </row>
    <row r="100" spans="1:16">
      <c r="A100" s="324" t="s">
        <v>961</v>
      </c>
      <c r="B100" s="320" t="s">
        <v>416</v>
      </c>
      <c r="C100" s="320" t="s">
        <v>962</v>
      </c>
      <c r="D100" s="320" t="s">
        <v>963</v>
      </c>
      <c r="E100" s="320" t="s">
        <v>779</v>
      </c>
      <c r="F100" s="321" t="s">
        <v>276</v>
      </c>
      <c r="G100" s="315" t="s">
        <v>733</v>
      </c>
      <c r="H100" s="322">
        <v>2018</v>
      </c>
      <c r="I100" s="322">
        <v>48.5</v>
      </c>
      <c r="J100" s="323">
        <v>94719.039999999994</v>
      </c>
      <c r="K100" s="322">
        <v>0</v>
      </c>
      <c r="L100" s="323">
        <v>94430.67</v>
      </c>
      <c r="M100" s="322">
        <v>0</v>
      </c>
      <c r="N100" s="323">
        <v>94430.67</v>
      </c>
      <c r="O100" s="322">
        <v>0</v>
      </c>
      <c r="P100" s="323">
        <v>94430.67</v>
      </c>
    </row>
    <row r="101" spans="1:16">
      <c r="A101" s="324" t="s">
        <v>964</v>
      </c>
      <c r="B101" s="320" t="s">
        <v>416</v>
      </c>
      <c r="C101" s="320" t="s">
        <v>965</v>
      </c>
      <c r="D101" s="320" t="s">
        <v>966</v>
      </c>
      <c r="E101" s="320" t="s">
        <v>779</v>
      </c>
      <c r="F101" s="321" t="s">
        <v>276</v>
      </c>
      <c r="G101" s="315" t="s">
        <v>733</v>
      </c>
      <c r="H101" s="322">
        <v>2018</v>
      </c>
      <c r="I101" s="322">
        <v>48.5</v>
      </c>
      <c r="J101" s="323">
        <v>91691.3</v>
      </c>
      <c r="K101" s="322">
        <v>0</v>
      </c>
      <c r="L101" s="323">
        <v>91691.3</v>
      </c>
      <c r="M101" s="322">
        <v>0</v>
      </c>
      <c r="N101" s="323">
        <v>91691.3</v>
      </c>
      <c r="O101" s="322">
        <v>0</v>
      </c>
      <c r="P101" s="323">
        <v>91691.3</v>
      </c>
    </row>
    <row r="102" spans="1:16">
      <c r="A102" s="324" t="s">
        <v>967</v>
      </c>
      <c r="B102" s="320" t="s">
        <v>416</v>
      </c>
      <c r="C102" s="320" t="s">
        <v>968</v>
      </c>
      <c r="D102" s="320" t="s">
        <v>969</v>
      </c>
      <c r="E102" s="320" t="s">
        <v>217</v>
      </c>
      <c r="F102" s="321" t="s">
        <v>276</v>
      </c>
      <c r="G102" s="315" t="s">
        <v>733</v>
      </c>
      <c r="H102" s="322">
        <v>2018</v>
      </c>
      <c r="I102" s="322">
        <v>138</v>
      </c>
      <c r="J102" s="323">
        <v>506322.28</v>
      </c>
      <c r="K102" s="322">
        <v>0</v>
      </c>
      <c r="L102" s="323">
        <v>506322.28</v>
      </c>
      <c r="M102" s="322">
        <v>828.02</v>
      </c>
      <c r="N102" s="323">
        <v>505494.26</v>
      </c>
      <c r="O102" s="322">
        <v>0</v>
      </c>
      <c r="P102" s="323">
        <v>505494.26</v>
      </c>
    </row>
    <row r="103" spans="1:16">
      <c r="A103" s="324" t="s">
        <v>970</v>
      </c>
      <c r="B103" s="320" t="s">
        <v>416</v>
      </c>
      <c r="C103" s="320" t="s">
        <v>971</v>
      </c>
      <c r="D103" s="320" t="s">
        <v>972</v>
      </c>
      <c r="E103" s="320" t="s">
        <v>217</v>
      </c>
      <c r="F103" s="321" t="s">
        <v>276</v>
      </c>
      <c r="G103" s="315" t="s">
        <v>733</v>
      </c>
      <c r="H103" s="322">
        <v>2018</v>
      </c>
      <c r="I103" s="322">
        <v>138.22999999999999</v>
      </c>
      <c r="J103" s="323">
        <v>469272.91</v>
      </c>
      <c r="K103" s="322">
        <v>0</v>
      </c>
      <c r="L103" s="323">
        <v>469272.91</v>
      </c>
      <c r="M103" s="322">
        <v>924.62</v>
      </c>
      <c r="N103" s="323">
        <v>468348.29</v>
      </c>
      <c r="O103" s="322">
        <v>0</v>
      </c>
      <c r="P103" s="323">
        <v>468348.29</v>
      </c>
    </row>
    <row r="104" spans="1:16">
      <c r="A104" s="324" t="s">
        <v>973</v>
      </c>
      <c r="B104" s="320" t="s">
        <v>416</v>
      </c>
      <c r="C104" s="320" t="s">
        <v>974</v>
      </c>
      <c r="D104" s="320" t="s">
        <v>975</v>
      </c>
      <c r="E104" s="320" t="s">
        <v>217</v>
      </c>
      <c r="F104" s="321" t="s">
        <v>276</v>
      </c>
      <c r="G104" s="315" t="s">
        <v>733</v>
      </c>
      <c r="H104" s="322">
        <v>2018</v>
      </c>
      <c r="I104" s="322">
        <v>79.05</v>
      </c>
      <c r="J104" s="323">
        <v>283331.46000000002</v>
      </c>
      <c r="K104" s="322">
        <v>10.17</v>
      </c>
      <c r="L104" s="323">
        <v>283321.28999999998</v>
      </c>
      <c r="M104" s="322">
        <v>195.24</v>
      </c>
      <c r="N104" s="323">
        <v>283126.05</v>
      </c>
      <c r="O104" s="322">
        <v>0</v>
      </c>
      <c r="P104" s="323">
        <v>283126.05</v>
      </c>
    </row>
    <row r="105" spans="1:16">
      <c r="A105" s="324" t="s">
        <v>976</v>
      </c>
      <c r="B105" s="320" t="s">
        <v>416</v>
      </c>
      <c r="C105" s="320" t="s">
        <v>977</v>
      </c>
      <c r="D105" s="320" t="s">
        <v>978</v>
      </c>
      <c r="E105" s="320" t="s">
        <v>979</v>
      </c>
      <c r="F105" s="315" t="s">
        <v>278</v>
      </c>
      <c r="G105" s="315" t="s">
        <v>733</v>
      </c>
      <c r="H105" s="322">
        <v>2018</v>
      </c>
      <c r="I105" s="322">
        <v>2</v>
      </c>
      <c r="J105" s="323">
        <v>188090.87</v>
      </c>
      <c r="K105" s="323">
        <v>1351.58</v>
      </c>
      <c r="L105" s="323">
        <v>186739.29</v>
      </c>
      <c r="M105" s="323">
        <v>328589.59000000003</v>
      </c>
      <c r="N105" s="322">
        <v>0</v>
      </c>
      <c r="O105" s="323">
        <v>516680.46</v>
      </c>
      <c r="P105" s="322">
        <v>0</v>
      </c>
    </row>
    <row r="106" spans="1:16">
      <c r="A106" s="324" t="s">
        <v>976</v>
      </c>
      <c r="B106" s="320" t="s">
        <v>416</v>
      </c>
      <c r="C106" s="320" t="s">
        <v>977</v>
      </c>
      <c r="D106" s="320" t="s">
        <v>980</v>
      </c>
      <c r="E106" s="320" t="s">
        <v>979</v>
      </c>
      <c r="F106" s="321" t="s">
        <v>281</v>
      </c>
      <c r="G106" s="315" t="s">
        <v>733</v>
      </c>
      <c r="H106" s="322">
        <v>2018</v>
      </c>
      <c r="I106" s="322">
        <v>117</v>
      </c>
      <c r="J106" s="323">
        <v>833669.05</v>
      </c>
      <c r="K106" s="322">
        <v>0</v>
      </c>
      <c r="L106" s="323">
        <v>833669.05</v>
      </c>
      <c r="M106" s="323">
        <v>37309.5</v>
      </c>
      <c r="N106" s="323">
        <v>44546.239999999998</v>
      </c>
      <c r="O106" s="323">
        <v>826432.3</v>
      </c>
      <c r="P106" s="323">
        <v>44546.239999999998</v>
      </c>
    </row>
    <row r="107" spans="1:16">
      <c r="A107" s="324" t="s">
        <v>981</v>
      </c>
      <c r="B107" s="320" t="s">
        <v>416</v>
      </c>
      <c r="C107" s="320" t="s">
        <v>982</v>
      </c>
      <c r="D107" s="320" t="s">
        <v>983</v>
      </c>
      <c r="E107" s="320" t="s">
        <v>4</v>
      </c>
      <c r="F107" s="321" t="s">
        <v>277</v>
      </c>
      <c r="G107" s="315" t="s">
        <v>733</v>
      </c>
      <c r="H107" s="322">
        <v>2018</v>
      </c>
      <c r="I107" s="322">
        <v>128</v>
      </c>
      <c r="J107" s="323">
        <v>648526.81999999995</v>
      </c>
      <c r="K107" s="322">
        <v>0</v>
      </c>
      <c r="L107" s="323">
        <v>648526.81999999995</v>
      </c>
      <c r="M107" s="322">
        <v>0</v>
      </c>
      <c r="N107" s="323">
        <v>648526.81999999995</v>
      </c>
      <c r="O107" s="323">
        <v>648526.81999999995</v>
      </c>
      <c r="P107" s="322">
        <v>0</v>
      </c>
    </row>
    <row r="108" spans="1:16">
      <c r="A108" s="324" t="s">
        <v>981</v>
      </c>
      <c r="B108" s="320" t="s">
        <v>416</v>
      </c>
      <c r="C108" s="320" t="s">
        <v>982</v>
      </c>
      <c r="D108" s="320" t="s">
        <v>984</v>
      </c>
      <c r="E108" s="320" t="s">
        <v>4</v>
      </c>
      <c r="F108" s="321" t="s">
        <v>281</v>
      </c>
      <c r="G108" s="315" t="s">
        <v>733</v>
      </c>
      <c r="H108" s="322">
        <v>2018</v>
      </c>
      <c r="I108" s="322">
        <v>600</v>
      </c>
      <c r="J108" s="323">
        <v>3629277.15</v>
      </c>
      <c r="K108" s="322">
        <v>0</v>
      </c>
      <c r="L108" s="323">
        <v>3629277.15</v>
      </c>
      <c r="M108" s="322">
        <v>0</v>
      </c>
      <c r="N108" s="323">
        <v>3629277.15</v>
      </c>
      <c r="O108" s="323">
        <v>3629277.15</v>
      </c>
      <c r="P108" s="322">
        <v>0</v>
      </c>
    </row>
    <row r="109" spans="1:16">
      <c r="A109" s="324" t="s">
        <v>981</v>
      </c>
      <c r="B109" s="320" t="s">
        <v>416</v>
      </c>
      <c r="C109" s="320" t="s">
        <v>982</v>
      </c>
      <c r="D109" s="320" t="s">
        <v>985</v>
      </c>
      <c r="E109" s="320" t="s">
        <v>9</v>
      </c>
      <c r="F109" s="321" t="s">
        <v>277</v>
      </c>
      <c r="G109" s="315" t="s">
        <v>733</v>
      </c>
      <c r="H109" s="322">
        <v>2018</v>
      </c>
      <c r="I109" s="322">
        <v>175</v>
      </c>
      <c r="J109" s="323">
        <v>944996.1</v>
      </c>
      <c r="K109" s="323">
        <v>22225.8</v>
      </c>
      <c r="L109" s="323">
        <v>922770.3</v>
      </c>
      <c r="M109" s="322">
        <v>0</v>
      </c>
      <c r="N109" s="323">
        <v>922770.3</v>
      </c>
      <c r="O109" s="323">
        <v>922770.3</v>
      </c>
      <c r="P109" s="322">
        <v>0</v>
      </c>
    </row>
    <row r="110" spans="1:16">
      <c r="A110" s="324" t="s">
        <v>981</v>
      </c>
      <c r="B110" s="320" t="s">
        <v>416</v>
      </c>
      <c r="C110" s="320" t="s">
        <v>982</v>
      </c>
      <c r="D110" s="320" t="s">
        <v>986</v>
      </c>
      <c r="E110" s="320" t="s">
        <v>9</v>
      </c>
      <c r="F110" s="321" t="s">
        <v>281</v>
      </c>
      <c r="G110" s="315" t="s">
        <v>733</v>
      </c>
      <c r="H110" s="322">
        <v>2018</v>
      </c>
      <c r="I110" s="322">
        <v>252</v>
      </c>
      <c r="J110" s="323">
        <v>1725873.98</v>
      </c>
      <c r="K110" s="323">
        <v>20601.2</v>
      </c>
      <c r="L110" s="323">
        <v>1705272.78</v>
      </c>
      <c r="M110" s="322">
        <v>0</v>
      </c>
      <c r="N110" s="323">
        <v>1705272.78</v>
      </c>
      <c r="O110" s="323">
        <v>1705272.78</v>
      </c>
      <c r="P110" s="322">
        <v>0</v>
      </c>
    </row>
    <row r="111" spans="1:16">
      <c r="A111" s="324" t="s">
        <v>987</v>
      </c>
      <c r="B111" s="320" t="s">
        <v>416</v>
      </c>
      <c r="C111" s="320" t="s">
        <v>988</v>
      </c>
      <c r="D111" s="320" t="s">
        <v>989</v>
      </c>
      <c r="E111" s="320" t="s">
        <v>779</v>
      </c>
      <c r="F111" s="321" t="s">
        <v>276</v>
      </c>
      <c r="G111" s="315" t="s">
        <v>733</v>
      </c>
      <c r="H111" s="322">
        <v>2018</v>
      </c>
      <c r="I111" s="322">
        <v>75</v>
      </c>
      <c r="J111" s="323">
        <v>146605.71</v>
      </c>
      <c r="K111" s="322">
        <v>824.47</v>
      </c>
      <c r="L111" s="323">
        <v>145781.24</v>
      </c>
      <c r="M111" s="322">
        <v>898.47</v>
      </c>
      <c r="N111" s="323">
        <v>146605.71</v>
      </c>
      <c r="O111" s="322">
        <v>898.47</v>
      </c>
      <c r="P111" s="323">
        <v>146605.71</v>
      </c>
    </row>
    <row r="112" spans="1:16">
      <c r="A112" s="324" t="s">
        <v>780</v>
      </c>
      <c r="B112" s="320" t="s">
        <v>416</v>
      </c>
      <c r="C112" s="320" t="s">
        <v>990</v>
      </c>
      <c r="D112" s="320" t="s">
        <v>991</v>
      </c>
      <c r="E112" s="320" t="s">
        <v>779</v>
      </c>
      <c r="F112" s="321" t="s">
        <v>276</v>
      </c>
      <c r="G112" s="315" t="s">
        <v>733</v>
      </c>
      <c r="H112" s="322">
        <v>2018</v>
      </c>
      <c r="I112" s="322">
        <v>10</v>
      </c>
      <c r="J112" s="323">
        <v>21483.49</v>
      </c>
      <c r="K112" s="322">
        <v>0</v>
      </c>
      <c r="L112" s="323">
        <v>21483.49</v>
      </c>
      <c r="M112" s="322">
        <v>79.31</v>
      </c>
      <c r="N112" s="323">
        <v>21483.49</v>
      </c>
      <c r="O112" s="322">
        <v>24.55</v>
      </c>
      <c r="P112" s="323">
        <v>21483.49</v>
      </c>
    </row>
    <row r="113" spans="1:16">
      <c r="A113" s="324" t="s">
        <v>992</v>
      </c>
      <c r="B113" s="320" t="s">
        <v>416</v>
      </c>
      <c r="C113" s="320" t="s">
        <v>993</v>
      </c>
      <c r="D113" s="320" t="s">
        <v>994</v>
      </c>
      <c r="E113" s="320" t="s">
        <v>779</v>
      </c>
      <c r="F113" s="321" t="s">
        <v>276</v>
      </c>
      <c r="G113" s="315" t="s">
        <v>733</v>
      </c>
      <c r="H113" s="322">
        <v>2018</v>
      </c>
      <c r="I113" s="322">
        <v>36.799999999999997</v>
      </c>
      <c r="J113" s="323">
        <v>88364.77</v>
      </c>
      <c r="K113" s="322">
        <v>898.95</v>
      </c>
      <c r="L113" s="323">
        <v>87465.82</v>
      </c>
      <c r="M113" s="322">
        <v>326.31</v>
      </c>
      <c r="N113" s="323">
        <v>88364.77</v>
      </c>
      <c r="O113" s="322">
        <v>326.31</v>
      </c>
      <c r="P113" s="323">
        <v>88364.77</v>
      </c>
    </row>
    <row r="114" spans="1:16">
      <c r="A114" s="324" t="s">
        <v>995</v>
      </c>
      <c r="B114" s="320" t="s">
        <v>416</v>
      </c>
      <c r="C114" s="320" t="s">
        <v>996</v>
      </c>
      <c r="D114" s="320" t="s">
        <v>997</v>
      </c>
      <c r="E114" s="320" t="s">
        <v>779</v>
      </c>
      <c r="F114" s="321" t="s">
        <v>276</v>
      </c>
      <c r="G114" s="315" t="s">
        <v>733</v>
      </c>
      <c r="H114" s="322">
        <v>2018</v>
      </c>
      <c r="I114" s="322">
        <v>69.599999999999994</v>
      </c>
      <c r="J114" s="323">
        <v>158012.78</v>
      </c>
      <c r="K114" s="322">
        <v>66.44</v>
      </c>
      <c r="L114" s="323">
        <v>157946.35</v>
      </c>
      <c r="M114" s="322">
        <v>577.61</v>
      </c>
      <c r="N114" s="323">
        <v>158012.78</v>
      </c>
      <c r="O114" s="322">
        <v>577.61</v>
      </c>
      <c r="P114" s="323">
        <v>158012.78</v>
      </c>
    </row>
    <row r="115" spans="1:16">
      <c r="A115" s="324" t="s">
        <v>998</v>
      </c>
      <c r="B115" s="320" t="s">
        <v>416</v>
      </c>
      <c r="C115" s="320" t="s">
        <v>999</v>
      </c>
      <c r="D115" s="320" t="s">
        <v>1000</v>
      </c>
      <c r="E115" s="320" t="s">
        <v>779</v>
      </c>
      <c r="F115" s="321" t="s">
        <v>275</v>
      </c>
      <c r="G115" s="315" t="s">
        <v>733</v>
      </c>
      <c r="H115" s="322">
        <v>2018</v>
      </c>
      <c r="I115" s="322">
        <v>5</v>
      </c>
      <c r="J115" s="323">
        <v>10161.59</v>
      </c>
      <c r="K115" s="322">
        <v>0</v>
      </c>
      <c r="L115" s="323">
        <v>10161.59</v>
      </c>
      <c r="M115" s="322">
        <v>36.229999999999997</v>
      </c>
      <c r="N115" s="323">
        <v>10161.59</v>
      </c>
      <c r="O115" s="322">
        <v>36.229999999999997</v>
      </c>
      <c r="P115" s="323">
        <v>10161.59</v>
      </c>
    </row>
    <row r="116" spans="1:16">
      <c r="A116" s="324" t="s">
        <v>1001</v>
      </c>
      <c r="B116" s="320" t="s">
        <v>416</v>
      </c>
      <c r="C116" s="320" t="s">
        <v>1002</v>
      </c>
      <c r="D116" s="320" t="s">
        <v>1003</v>
      </c>
      <c r="E116" s="320" t="s">
        <v>779</v>
      </c>
      <c r="F116" s="321" t="s">
        <v>276</v>
      </c>
      <c r="G116" s="315" t="s">
        <v>733</v>
      </c>
      <c r="H116" s="322">
        <v>2018</v>
      </c>
      <c r="I116" s="322">
        <v>75</v>
      </c>
      <c r="J116" s="323">
        <v>152234.95000000001</v>
      </c>
      <c r="K116" s="322">
        <v>0</v>
      </c>
      <c r="L116" s="323">
        <v>152234.95000000001</v>
      </c>
      <c r="M116" s="322">
        <v>0</v>
      </c>
      <c r="N116" s="323">
        <v>152234.95000000001</v>
      </c>
      <c r="O116" s="322">
        <v>0</v>
      </c>
      <c r="P116" s="323">
        <v>152234.95000000001</v>
      </c>
    </row>
    <row r="117" spans="1:16">
      <c r="A117" s="324" t="s">
        <v>1004</v>
      </c>
      <c r="B117" s="320" t="s">
        <v>416</v>
      </c>
      <c r="C117" s="320" t="s">
        <v>1005</v>
      </c>
      <c r="D117" s="320" t="s">
        <v>1006</v>
      </c>
      <c r="E117" s="320" t="s">
        <v>779</v>
      </c>
      <c r="F117" s="321" t="s">
        <v>276</v>
      </c>
      <c r="G117" s="315" t="s">
        <v>733</v>
      </c>
      <c r="H117" s="322">
        <v>2018</v>
      </c>
      <c r="I117" s="322">
        <v>75</v>
      </c>
      <c r="J117" s="323">
        <v>152234.95000000001</v>
      </c>
      <c r="K117" s="322">
        <v>0</v>
      </c>
      <c r="L117" s="323">
        <v>152234.95000000001</v>
      </c>
      <c r="M117" s="322">
        <v>0</v>
      </c>
      <c r="N117" s="323">
        <v>152234.95000000001</v>
      </c>
      <c r="O117" s="322">
        <v>0</v>
      </c>
      <c r="P117" s="323">
        <v>152234.95000000001</v>
      </c>
    </row>
    <row r="118" spans="1:16">
      <c r="A118" s="324" t="s">
        <v>1007</v>
      </c>
      <c r="B118" s="320" t="s">
        <v>416</v>
      </c>
      <c r="C118" s="320" t="s">
        <v>1008</v>
      </c>
      <c r="D118" s="320" t="s">
        <v>1008</v>
      </c>
      <c r="E118" s="320" t="s">
        <v>96</v>
      </c>
      <c r="F118" s="321" t="s">
        <v>277</v>
      </c>
      <c r="G118" s="315" t="s">
        <v>733</v>
      </c>
      <c r="H118" s="322">
        <v>2018</v>
      </c>
      <c r="I118" s="322">
        <v>4.3099999999999996</v>
      </c>
      <c r="J118" s="323">
        <v>31698.2</v>
      </c>
      <c r="K118" s="322">
        <v>0</v>
      </c>
      <c r="L118" s="323">
        <v>31698.2</v>
      </c>
      <c r="M118" s="322">
        <v>132.18</v>
      </c>
      <c r="N118" s="323">
        <v>31566.02</v>
      </c>
      <c r="O118" s="322">
        <v>6</v>
      </c>
      <c r="P118" s="323">
        <v>31560.02</v>
      </c>
    </row>
    <row r="119" spans="1:16">
      <c r="A119" s="324" t="s">
        <v>1009</v>
      </c>
      <c r="B119" s="320" t="s">
        <v>416</v>
      </c>
      <c r="C119" s="320" t="s">
        <v>1010</v>
      </c>
      <c r="D119" s="320" t="s">
        <v>1011</v>
      </c>
      <c r="E119" s="320" t="s">
        <v>779</v>
      </c>
      <c r="F119" s="321" t="s">
        <v>276</v>
      </c>
      <c r="G119" s="315" t="s">
        <v>733</v>
      </c>
      <c r="H119" s="322">
        <v>2018</v>
      </c>
      <c r="I119" s="322">
        <v>8.9</v>
      </c>
      <c r="J119" s="323">
        <v>18827.2</v>
      </c>
      <c r="K119" s="322">
        <v>0</v>
      </c>
      <c r="L119" s="323">
        <v>18827.2</v>
      </c>
      <c r="M119" s="322">
        <v>117.22</v>
      </c>
      <c r="N119" s="323">
        <v>18709.98</v>
      </c>
      <c r="O119" s="322">
        <v>0</v>
      </c>
      <c r="P119" s="323">
        <v>18709.98</v>
      </c>
    </row>
    <row r="120" spans="1:16">
      <c r="A120" s="324" t="s">
        <v>1012</v>
      </c>
      <c r="B120" s="320" t="s">
        <v>818</v>
      </c>
      <c r="C120" s="320" t="s">
        <v>1013</v>
      </c>
      <c r="D120" s="320" t="s">
        <v>1014</v>
      </c>
      <c r="E120" s="320" t="s">
        <v>96</v>
      </c>
      <c r="F120" s="321" t="s">
        <v>281</v>
      </c>
      <c r="G120" s="315" t="s">
        <v>733</v>
      </c>
      <c r="H120" s="322">
        <v>2018</v>
      </c>
      <c r="I120" s="322">
        <v>3.35</v>
      </c>
      <c r="J120" s="322">
        <v>0</v>
      </c>
      <c r="K120" s="322">
        <v>0</v>
      </c>
      <c r="L120" s="322">
        <v>0</v>
      </c>
      <c r="M120" s="322">
        <v>0</v>
      </c>
      <c r="N120" s="322">
        <v>0</v>
      </c>
      <c r="O120" s="322">
        <v>0</v>
      </c>
      <c r="P120" s="322">
        <v>0</v>
      </c>
    </row>
    <row r="121" spans="1:16">
      <c r="A121" s="324" t="s">
        <v>1015</v>
      </c>
      <c r="B121" s="320" t="s">
        <v>416</v>
      </c>
      <c r="C121" s="320" t="s">
        <v>1016</v>
      </c>
      <c r="D121" s="320" t="s">
        <v>1017</v>
      </c>
      <c r="E121" s="320" t="s">
        <v>779</v>
      </c>
      <c r="F121" s="321" t="s">
        <v>282</v>
      </c>
      <c r="G121" s="315" t="s">
        <v>733</v>
      </c>
      <c r="H121" s="322">
        <v>2018</v>
      </c>
      <c r="I121" s="322">
        <v>60</v>
      </c>
      <c r="J121" s="323">
        <v>113944.17</v>
      </c>
      <c r="K121" s="322">
        <v>0</v>
      </c>
      <c r="L121" s="323">
        <v>113944.17</v>
      </c>
      <c r="M121" s="323">
        <v>1005.16</v>
      </c>
      <c r="N121" s="323">
        <v>112939.01</v>
      </c>
      <c r="O121" s="322">
        <v>0</v>
      </c>
      <c r="P121" s="323">
        <v>112939.01</v>
      </c>
    </row>
    <row r="122" spans="1:16">
      <c r="A122" s="324" t="s">
        <v>1018</v>
      </c>
      <c r="B122" s="320" t="s">
        <v>416</v>
      </c>
      <c r="C122" s="320" t="s">
        <v>1019</v>
      </c>
      <c r="D122" s="320" t="s">
        <v>1020</v>
      </c>
      <c r="E122" s="320" t="s">
        <v>944</v>
      </c>
      <c r="F122" s="315" t="s">
        <v>278</v>
      </c>
      <c r="G122" s="315" t="s">
        <v>733</v>
      </c>
      <c r="H122" s="322">
        <v>2018</v>
      </c>
      <c r="I122" s="322">
        <v>12</v>
      </c>
      <c r="J122" s="323">
        <v>31290</v>
      </c>
      <c r="K122" s="322">
        <v>0</v>
      </c>
      <c r="L122" s="323">
        <v>31290</v>
      </c>
      <c r="M122" s="323">
        <v>7839.94</v>
      </c>
      <c r="N122" s="322">
        <v>0</v>
      </c>
      <c r="O122" s="323">
        <v>37023.1</v>
      </c>
      <c r="P122" s="323">
        <v>2106.85</v>
      </c>
    </row>
    <row r="123" spans="1:16">
      <c r="A123" s="324" t="s">
        <v>1018</v>
      </c>
      <c r="B123" s="320" t="s">
        <v>416</v>
      </c>
      <c r="C123" s="320" t="s">
        <v>1019</v>
      </c>
      <c r="D123" s="320" t="s">
        <v>1021</v>
      </c>
      <c r="E123" s="320" t="s">
        <v>944</v>
      </c>
      <c r="F123" s="315" t="s">
        <v>278</v>
      </c>
      <c r="G123" s="315" t="s">
        <v>733</v>
      </c>
      <c r="H123" s="322">
        <v>2018</v>
      </c>
      <c r="I123" s="322">
        <v>12</v>
      </c>
      <c r="J123" s="323">
        <v>19280</v>
      </c>
      <c r="K123" s="322">
        <v>0</v>
      </c>
      <c r="L123" s="323">
        <v>19280</v>
      </c>
      <c r="M123" s="323">
        <v>4689.32</v>
      </c>
      <c r="N123" s="322">
        <v>0</v>
      </c>
      <c r="O123" s="323">
        <v>23969.32</v>
      </c>
      <c r="P123" s="322">
        <v>0</v>
      </c>
    </row>
    <row r="124" spans="1:16">
      <c r="A124" s="324" t="s">
        <v>1018</v>
      </c>
      <c r="B124" s="320" t="s">
        <v>416</v>
      </c>
      <c r="C124" s="320" t="s">
        <v>1019</v>
      </c>
      <c r="D124" s="320" t="s">
        <v>1022</v>
      </c>
      <c r="E124" s="320" t="s">
        <v>944</v>
      </c>
      <c r="F124" s="315" t="s">
        <v>278</v>
      </c>
      <c r="G124" s="315" t="s">
        <v>733</v>
      </c>
      <c r="H124" s="322">
        <v>2018</v>
      </c>
      <c r="I124" s="322">
        <v>32</v>
      </c>
      <c r="J124" s="323">
        <v>86900</v>
      </c>
      <c r="K124" s="322">
        <v>0</v>
      </c>
      <c r="L124" s="323">
        <v>86900</v>
      </c>
      <c r="M124" s="323">
        <v>6265.43</v>
      </c>
      <c r="N124" s="322">
        <v>0</v>
      </c>
      <c r="O124" s="323">
        <v>69981.52</v>
      </c>
      <c r="P124" s="323">
        <v>23183.91</v>
      </c>
    </row>
    <row r="125" spans="1:16">
      <c r="A125" s="324" t="s">
        <v>1018</v>
      </c>
      <c r="B125" s="320" t="s">
        <v>416</v>
      </c>
      <c r="C125" s="320" t="s">
        <v>1019</v>
      </c>
      <c r="D125" s="320" t="s">
        <v>1023</v>
      </c>
      <c r="E125" s="320" t="s">
        <v>944</v>
      </c>
      <c r="F125" s="315" t="s">
        <v>278</v>
      </c>
      <c r="G125" s="315" t="s">
        <v>733</v>
      </c>
      <c r="H125" s="322">
        <v>2018</v>
      </c>
      <c r="I125" s="322">
        <v>22.5</v>
      </c>
      <c r="J125" s="323">
        <v>34100.92</v>
      </c>
      <c r="K125" s="322">
        <v>0</v>
      </c>
      <c r="L125" s="323">
        <v>34100.92</v>
      </c>
      <c r="M125" s="323">
        <v>10237.030000000001</v>
      </c>
      <c r="N125" s="322">
        <v>0</v>
      </c>
      <c r="O125" s="323">
        <v>41364.949999999997</v>
      </c>
      <c r="P125" s="323">
        <v>2973</v>
      </c>
    </row>
    <row r="126" spans="1:16">
      <c r="A126" s="324" t="s">
        <v>1024</v>
      </c>
      <c r="B126" s="320" t="s">
        <v>416</v>
      </c>
      <c r="C126" s="320" t="s">
        <v>1025</v>
      </c>
      <c r="D126" s="320" t="s">
        <v>1026</v>
      </c>
      <c r="E126" s="320" t="s">
        <v>217</v>
      </c>
      <c r="F126" s="321" t="s">
        <v>275</v>
      </c>
      <c r="G126" s="315" t="s">
        <v>733</v>
      </c>
      <c r="H126" s="322">
        <v>2018</v>
      </c>
      <c r="I126" s="322">
        <v>94.8</v>
      </c>
      <c r="J126" s="323">
        <v>320922.76</v>
      </c>
      <c r="K126" s="322">
        <v>0</v>
      </c>
      <c r="L126" s="323">
        <v>320922.76</v>
      </c>
      <c r="M126" s="322">
        <v>655.86</v>
      </c>
      <c r="N126" s="323">
        <v>320266.90000000002</v>
      </c>
      <c r="O126" s="322">
        <v>655.19000000000005</v>
      </c>
      <c r="P126" s="323">
        <v>317489.24</v>
      </c>
    </row>
    <row r="127" spans="1:16">
      <c r="A127" s="324" t="s">
        <v>1027</v>
      </c>
      <c r="B127" s="320" t="s">
        <v>416</v>
      </c>
      <c r="C127" s="320" t="s">
        <v>1028</v>
      </c>
      <c r="D127" s="320" t="s">
        <v>1029</v>
      </c>
      <c r="E127" s="320" t="s">
        <v>17</v>
      </c>
      <c r="F127" s="315" t="s">
        <v>278</v>
      </c>
      <c r="G127" s="315" t="s">
        <v>733</v>
      </c>
      <c r="H127" s="322">
        <v>2018</v>
      </c>
      <c r="I127" s="322">
        <v>5</v>
      </c>
      <c r="J127" s="323">
        <v>53811.21</v>
      </c>
      <c r="K127" s="322">
        <v>0</v>
      </c>
      <c r="L127" s="323">
        <v>53811.21</v>
      </c>
      <c r="M127" s="323">
        <v>2675.43</v>
      </c>
      <c r="N127" s="322">
        <v>0</v>
      </c>
      <c r="O127" s="323">
        <v>47771.47</v>
      </c>
      <c r="P127" s="323">
        <v>8715.17</v>
      </c>
    </row>
    <row r="128" spans="1:16">
      <c r="A128" s="324" t="s">
        <v>1030</v>
      </c>
      <c r="B128" s="320" t="s">
        <v>416</v>
      </c>
      <c r="C128" s="320" t="s">
        <v>1031</v>
      </c>
      <c r="D128" s="320" t="s">
        <v>1032</v>
      </c>
      <c r="E128" s="320" t="s">
        <v>217</v>
      </c>
      <c r="F128" s="321" t="s">
        <v>274</v>
      </c>
      <c r="G128" s="315" t="s">
        <v>733</v>
      </c>
      <c r="H128" s="322">
        <v>2018</v>
      </c>
      <c r="I128" s="322">
        <v>65.400000000000006</v>
      </c>
      <c r="J128" s="323">
        <v>171040.85</v>
      </c>
      <c r="K128" s="322">
        <v>0</v>
      </c>
      <c r="L128" s="323">
        <v>171040.85</v>
      </c>
      <c r="M128" s="322">
        <v>607.94000000000005</v>
      </c>
      <c r="N128" s="323">
        <v>171040.85</v>
      </c>
      <c r="O128" s="322">
        <v>72</v>
      </c>
      <c r="P128" s="323">
        <v>168900.45</v>
      </c>
    </row>
    <row r="129" spans="1:16">
      <c r="A129" s="324" t="s">
        <v>1033</v>
      </c>
      <c r="B129" s="320" t="s">
        <v>416</v>
      </c>
      <c r="C129" s="320" t="s">
        <v>1034</v>
      </c>
      <c r="D129" s="320" t="s">
        <v>1035</v>
      </c>
      <c r="E129" s="320" t="s">
        <v>779</v>
      </c>
      <c r="F129" s="321" t="s">
        <v>274</v>
      </c>
      <c r="G129" s="315" t="s">
        <v>733</v>
      </c>
      <c r="H129" s="322">
        <v>2018</v>
      </c>
      <c r="I129" s="322">
        <v>8.82</v>
      </c>
      <c r="J129" s="323">
        <v>18709.2</v>
      </c>
      <c r="K129" s="322">
        <v>97.21</v>
      </c>
      <c r="L129" s="323">
        <v>18806.41</v>
      </c>
      <c r="M129" s="322">
        <v>0</v>
      </c>
      <c r="N129" s="323">
        <v>18709.2</v>
      </c>
      <c r="O129" s="322">
        <v>0</v>
      </c>
      <c r="P129" s="323">
        <v>18709.2</v>
      </c>
    </row>
    <row r="130" spans="1:16">
      <c r="A130" s="324" t="s">
        <v>1036</v>
      </c>
      <c r="B130" s="320" t="s">
        <v>416</v>
      </c>
      <c r="C130" s="320" t="s">
        <v>1037</v>
      </c>
      <c r="D130" s="320" t="s">
        <v>1038</v>
      </c>
      <c r="E130" s="320" t="s">
        <v>217</v>
      </c>
      <c r="F130" s="321" t="s">
        <v>275</v>
      </c>
      <c r="G130" s="315" t="s">
        <v>733</v>
      </c>
      <c r="H130" s="322">
        <v>2018</v>
      </c>
      <c r="I130" s="322">
        <v>23.4</v>
      </c>
      <c r="J130" s="323">
        <v>92581.04</v>
      </c>
      <c r="K130" s="322">
        <v>0</v>
      </c>
      <c r="L130" s="323">
        <v>92581.04</v>
      </c>
      <c r="M130" s="322">
        <v>103.1</v>
      </c>
      <c r="N130" s="323">
        <v>92477.95</v>
      </c>
      <c r="O130" s="322">
        <v>0</v>
      </c>
      <c r="P130" s="323">
        <v>92477.95</v>
      </c>
    </row>
    <row r="131" spans="1:16">
      <c r="A131" s="324" t="s">
        <v>1039</v>
      </c>
      <c r="B131" s="320" t="s">
        <v>416</v>
      </c>
      <c r="C131" s="320" t="s">
        <v>1040</v>
      </c>
      <c r="D131" s="320" t="s">
        <v>1041</v>
      </c>
      <c r="E131" s="320" t="s">
        <v>779</v>
      </c>
      <c r="F131" s="321" t="s">
        <v>276</v>
      </c>
      <c r="G131" s="315" t="s">
        <v>733</v>
      </c>
      <c r="H131" s="322">
        <v>2018</v>
      </c>
      <c r="I131" s="322">
        <v>74</v>
      </c>
      <c r="J131" s="323">
        <v>205329.77</v>
      </c>
      <c r="K131" s="322">
        <v>0</v>
      </c>
      <c r="L131" s="323">
        <v>205329.77</v>
      </c>
      <c r="M131" s="323">
        <v>1374.3</v>
      </c>
      <c r="N131" s="323">
        <v>205329.77</v>
      </c>
      <c r="O131" s="323">
        <v>1374.3</v>
      </c>
      <c r="P131" s="323">
        <v>205329.77</v>
      </c>
    </row>
    <row r="132" spans="1:16">
      <c r="A132" s="324" t="s">
        <v>1042</v>
      </c>
      <c r="B132" s="320" t="s">
        <v>416</v>
      </c>
      <c r="C132" s="320" t="s">
        <v>1043</v>
      </c>
      <c r="D132" s="320" t="s">
        <v>1044</v>
      </c>
      <c r="E132" s="320" t="s">
        <v>775</v>
      </c>
      <c r="F132" s="321" t="s">
        <v>276</v>
      </c>
      <c r="G132" s="315" t="s">
        <v>733</v>
      </c>
      <c r="H132" s="322">
        <v>2018</v>
      </c>
      <c r="I132" s="322">
        <v>100</v>
      </c>
      <c r="J132" s="323">
        <v>417924.36</v>
      </c>
      <c r="K132" s="323">
        <v>44146.02</v>
      </c>
      <c r="L132" s="323">
        <v>417924.36</v>
      </c>
      <c r="M132" s="323">
        <v>8606.0300000000007</v>
      </c>
      <c r="N132" s="323">
        <v>373778.34</v>
      </c>
      <c r="O132" s="323">
        <v>44146.02</v>
      </c>
      <c r="P132" s="323">
        <v>373778.34</v>
      </c>
    </row>
    <row r="135" spans="1:16" ht="15.75">
      <c r="J135" s="14" t="s">
        <v>1045</v>
      </c>
      <c r="K135" s="14" t="s">
        <v>1046</v>
      </c>
      <c r="L135" s="14" t="s">
        <v>1047</v>
      </c>
      <c r="M135" s="14" t="s">
        <v>4</v>
      </c>
      <c r="N135" s="14" t="s">
        <v>9</v>
      </c>
    </row>
    <row r="136" spans="1:16" ht="15.75">
      <c r="K136" s="14" t="s">
        <v>1048</v>
      </c>
      <c r="M136" s="14" t="s">
        <v>302</v>
      </c>
      <c r="N136" s="14" t="s">
        <v>302</v>
      </c>
    </row>
    <row r="137" spans="1:16" ht="15.75">
      <c r="I137" s="48">
        <f>(K137+K139)*3.6</f>
        <v>19204379.748</v>
      </c>
      <c r="J137" s="14" t="s">
        <v>1049</v>
      </c>
      <c r="K137" s="48">
        <f>O108</f>
        <v>3629277.15</v>
      </c>
      <c r="L137" s="326">
        <v>0.28999999999999998</v>
      </c>
      <c r="M137" s="48">
        <f t="shared" ref="M137:M138" si="0">K137*3.6/L137/1000</f>
        <v>45053.095655172416</v>
      </c>
    </row>
    <row r="138" spans="1:16" ht="15.75">
      <c r="J138" s="14" t="s">
        <v>1050</v>
      </c>
      <c r="K138" s="48">
        <f>O107</f>
        <v>648526.81999999995</v>
      </c>
      <c r="L138" s="326">
        <v>0.28999999999999998</v>
      </c>
      <c r="M138" s="48">
        <f t="shared" si="0"/>
        <v>8050.67776551724</v>
      </c>
    </row>
    <row r="139" spans="1:16" ht="15.75">
      <c r="J139" s="14" t="s">
        <v>1051</v>
      </c>
      <c r="K139" s="48">
        <f>N110</f>
        <v>1705272.78</v>
      </c>
      <c r="L139" s="326">
        <v>0.45</v>
      </c>
      <c r="N139" s="48">
        <f t="shared" ref="N139:N140" si="1">K139*3.6/L139/1000</f>
        <v>13642.18224</v>
      </c>
    </row>
    <row r="140" spans="1:16" ht="15.75">
      <c r="J140" s="14" t="s">
        <v>1052</v>
      </c>
      <c r="K140" s="48">
        <f>N109</f>
        <v>922770.3</v>
      </c>
      <c r="L140" s="326">
        <v>0.45</v>
      </c>
      <c r="N140" s="48">
        <f t="shared" si="1"/>
        <v>7382.1624000000002</v>
      </c>
    </row>
    <row r="141" spans="1:16" ht="15.75">
      <c r="J141" s="14" t="s">
        <v>1053</v>
      </c>
      <c r="M141" s="48">
        <f>SUM(M137:M138)</f>
        <v>53103.773420689657</v>
      </c>
      <c r="N141" s="48">
        <f>SUM(N139:N140)</f>
        <v>21024.344639999999</v>
      </c>
    </row>
    <row r="143" spans="1:16" ht="15.75">
      <c r="J143" s="14" t="s">
        <v>1054</v>
      </c>
      <c r="L143" s="14" t="s">
        <v>1055</v>
      </c>
      <c r="M143" s="14" t="s">
        <v>24</v>
      </c>
      <c r="N143" s="14" t="s">
        <v>4</v>
      </c>
      <c r="O143" s="14" t="s">
        <v>768</v>
      </c>
      <c r="P143" s="14" t="s">
        <v>1056</v>
      </c>
    </row>
    <row r="144" spans="1:16" ht="15.75">
      <c r="K144" s="48">
        <f>L83+L84+L105+L106</f>
        <v>1741296.49</v>
      </c>
      <c r="L144" s="327">
        <v>5.8000000000000003E-2</v>
      </c>
      <c r="M144" s="48">
        <f>K144*3.6/L144/1000</f>
        <v>108080.47179310344</v>
      </c>
      <c r="N144" s="48">
        <f>M144*P144</f>
        <v>54040.23589655172</v>
      </c>
      <c r="O144" s="48">
        <f>M144-N144</f>
        <v>54040.23589655172</v>
      </c>
      <c r="P144" s="326">
        <v>0.5</v>
      </c>
    </row>
    <row r="146" spans="10:15" ht="15.75">
      <c r="J146" s="14" t="s">
        <v>1057</v>
      </c>
      <c r="K146" s="48">
        <f>L71+L93+L94+L122+L123+L124+L125+L127</f>
        <v>409965.13</v>
      </c>
      <c r="L146" s="48"/>
      <c r="M146" s="48"/>
      <c r="N146" s="48"/>
      <c r="O146" s="48"/>
    </row>
    <row r="147" spans="10:15" ht="15.75">
      <c r="J147" s="14" t="s">
        <v>1058</v>
      </c>
      <c r="K147" s="48">
        <f>2.55/3.6*1000000</f>
        <v>708333.33333333326</v>
      </c>
      <c r="L147" s="328">
        <f>K147*3.6/1000/(N147+O147)</f>
        <v>5.6919642857142856E-2</v>
      </c>
      <c r="M147" s="48"/>
      <c r="N147" s="48">
        <f>5390</f>
        <v>5390</v>
      </c>
      <c r="O147" s="48">
        <f>38430+980</f>
        <v>39410</v>
      </c>
    </row>
    <row r="148" spans="10:15" ht="15.75">
      <c r="K148" s="48"/>
      <c r="L148" s="48"/>
      <c r="M148" s="48"/>
      <c r="N148" s="48"/>
      <c r="O148" s="48"/>
    </row>
    <row r="149" spans="10:15" ht="15.75">
      <c r="J149" s="14" t="s">
        <v>1059</v>
      </c>
      <c r="M149" s="14" t="s">
        <v>4</v>
      </c>
    </row>
    <row r="150" spans="10:15" ht="15.75">
      <c r="K150" s="48">
        <f>N38</f>
        <v>1707095</v>
      </c>
      <c r="L150" s="326">
        <v>0.249</v>
      </c>
      <c r="M150" s="48">
        <f>K150*3.6/L150/1000</f>
        <v>24680.891566265062</v>
      </c>
    </row>
  </sheetData>
  <autoFilter ref="A1:P132" xr:uid="{00000000-0009-0000-0000-00000A000000}"/>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P150"/>
  <sheetViews>
    <sheetView workbookViewId="0"/>
  </sheetViews>
  <sheetFormatPr defaultColWidth="11.21875" defaultRowHeight="15" customHeight="1"/>
  <cols>
    <col min="4" max="4" width="17.88671875" customWidth="1"/>
  </cols>
  <sheetData>
    <row r="1" spans="1:16">
      <c r="A1" s="329" t="s">
        <v>714</v>
      </c>
      <c r="B1" s="330" t="s">
        <v>715</v>
      </c>
      <c r="C1" s="330" t="s">
        <v>716</v>
      </c>
      <c r="D1" s="330" t="s">
        <v>717</v>
      </c>
      <c r="E1" s="330" t="s">
        <v>718</v>
      </c>
      <c r="F1" s="331" t="s">
        <v>720</v>
      </c>
      <c r="G1" s="332" t="s">
        <v>721</v>
      </c>
      <c r="H1" s="333" t="s">
        <v>722</v>
      </c>
      <c r="I1" s="333" t="s">
        <v>723</v>
      </c>
      <c r="J1" s="333" t="s">
        <v>1060</v>
      </c>
      <c r="K1" s="333" t="s">
        <v>725</v>
      </c>
      <c r="L1" s="333" t="s">
        <v>726</v>
      </c>
      <c r="M1" s="333" t="s">
        <v>727</v>
      </c>
      <c r="N1" s="330" t="s">
        <v>728</v>
      </c>
      <c r="O1" s="333" t="s">
        <v>729</v>
      </c>
      <c r="P1" s="310"/>
    </row>
    <row r="2" spans="1:16">
      <c r="A2" s="334" t="s">
        <v>765</v>
      </c>
      <c r="B2" s="335" t="s">
        <v>766</v>
      </c>
      <c r="C2" s="335" t="s">
        <v>416</v>
      </c>
      <c r="D2" s="335" t="s">
        <v>767</v>
      </c>
      <c r="E2" s="335" t="s">
        <v>768</v>
      </c>
      <c r="F2" s="336" t="s">
        <v>1061</v>
      </c>
      <c r="G2" s="337">
        <v>2017</v>
      </c>
      <c r="H2" s="338">
        <v>0.8</v>
      </c>
      <c r="I2" s="338">
        <v>6714</v>
      </c>
      <c r="J2" s="338">
        <v>0</v>
      </c>
      <c r="K2" s="338">
        <v>6714</v>
      </c>
      <c r="L2" s="338">
        <v>618.04999999999995</v>
      </c>
      <c r="M2" s="338">
        <v>6714</v>
      </c>
      <c r="N2" s="338">
        <v>7332.05</v>
      </c>
      <c r="O2" s="339">
        <v>0</v>
      </c>
      <c r="P2" s="317"/>
    </row>
    <row r="3" spans="1:16">
      <c r="A3" s="324" t="s">
        <v>772</v>
      </c>
      <c r="B3" s="320" t="s">
        <v>773</v>
      </c>
      <c r="C3" s="320" t="s">
        <v>416</v>
      </c>
      <c r="D3" s="320" t="s">
        <v>774</v>
      </c>
      <c r="E3" s="320" t="s">
        <v>775</v>
      </c>
      <c r="F3" s="340" t="s">
        <v>1061</v>
      </c>
      <c r="G3" s="341">
        <v>2017</v>
      </c>
      <c r="H3" s="323">
        <v>50</v>
      </c>
      <c r="I3" s="323">
        <v>219994.42</v>
      </c>
      <c r="J3" s="323">
        <v>22710.42</v>
      </c>
      <c r="K3" s="323">
        <v>197284</v>
      </c>
      <c r="L3" s="323">
        <v>5840.26</v>
      </c>
      <c r="M3" s="323">
        <v>197284</v>
      </c>
      <c r="N3" s="323">
        <v>0</v>
      </c>
      <c r="O3" s="323">
        <v>197284</v>
      </c>
      <c r="P3" s="317"/>
    </row>
    <row r="4" spans="1:16">
      <c r="A4" s="324" t="s">
        <v>776</v>
      </c>
      <c r="B4" s="320" t="s">
        <v>777</v>
      </c>
      <c r="C4" s="320" t="s">
        <v>416</v>
      </c>
      <c r="D4" s="320" t="s">
        <v>778</v>
      </c>
      <c r="E4" s="320" t="s">
        <v>779</v>
      </c>
      <c r="F4" s="340" t="s">
        <v>1061</v>
      </c>
      <c r="G4" s="342">
        <v>2017</v>
      </c>
      <c r="H4" s="323">
        <v>75</v>
      </c>
      <c r="I4" s="323">
        <v>154104.09</v>
      </c>
      <c r="J4" s="323">
        <v>0</v>
      </c>
      <c r="K4" s="323">
        <v>154104.09</v>
      </c>
      <c r="L4" s="323">
        <v>1044.92</v>
      </c>
      <c r="M4" s="323">
        <v>153059.17000000001</v>
      </c>
      <c r="N4" s="323">
        <v>0</v>
      </c>
      <c r="O4" s="323">
        <v>153059.17000000001</v>
      </c>
      <c r="P4" s="317"/>
    </row>
    <row r="5" spans="1:16">
      <c r="A5" s="324" t="s">
        <v>780</v>
      </c>
      <c r="B5" s="320" t="s">
        <v>781</v>
      </c>
      <c r="C5" s="320" t="s">
        <v>416</v>
      </c>
      <c r="D5" s="320" t="s">
        <v>782</v>
      </c>
      <c r="E5" s="320" t="s">
        <v>779</v>
      </c>
      <c r="F5" s="340" t="s">
        <v>1061</v>
      </c>
      <c r="G5" s="342">
        <v>2017</v>
      </c>
      <c r="H5" s="323">
        <v>10</v>
      </c>
      <c r="I5" s="323">
        <v>27156.5</v>
      </c>
      <c r="J5" s="323">
        <v>0</v>
      </c>
      <c r="K5" s="323">
        <v>27156.5</v>
      </c>
      <c r="L5" s="323">
        <v>102.51</v>
      </c>
      <c r="M5" s="323">
        <v>27156.5</v>
      </c>
      <c r="N5" s="323">
        <v>31.23</v>
      </c>
      <c r="O5" s="323">
        <v>27156.5</v>
      </c>
      <c r="P5" s="317"/>
    </row>
    <row r="6" spans="1:16">
      <c r="A6" s="324" t="s">
        <v>783</v>
      </c>
      <c r="B6" s="320" t="s">
        <v>784</v>
      </c>
      <c r="C6" s="320" t="s">
        <v>416</v>
      </c>
      <c r="D6" s="320" t="s">
        <v>785</v>
      </c>
      <c r="E6" s="320" t="s">
        <v>779</v>
      </c>
      <c r="F6" s="340" t="s">
        <v>1061</v>
      </c>
      <c r="G6" s="342">
        <v>2017</v>
      </c>
      <c r="H6" s="323">
        <v>19.98</v>
      </c>
      <c r="I6" s="323">
        <v>53326.65</v>
      </c>
      <c r="J6" s="323">
        <v>0</v>
      </c>
      <c r="K6" s="323">
        <v>53326.65</v>
      </c>
      <c r="L6" s="323">
        <v>181.52</v>
      </c>
      <c r="M6" s="323">
        <v>53326.65</v>
      </c>
      <c r="N6" s="323">
        <v>33.700000000000003</v>
      </c>
      <c r="O6" s="323">
        <v>53326.65</v>
      </c>
      <c r="P6" s="317"/>
    </row>
    <row r="7" spans="1:16">
      <c r="A7" s="324" t="s">
        <v>786</v>
      </c>
      <c r="B7" s="320" t="s">
        <v>787</v>
      </c>
      <c r="C7" s="320" t="s">
        <v>416</v>
      </c>
      <c r="D7" s="320" t="s">
        <v>788</v>
      </c>
      <c r="E7" s="320" t="s">
        <v>4</v>
      </c>
      <c r="F7" s="340" t="s">
        <v>1061</v>
      </c>
      <c r="G7" s="341">
        <v>2017</v>
      </c>
      <c r="H7" s="323">
        <v>600</v>
      </c>
      <c r="I7" s="323">
        <v>1636523</v>
      </c>
      <c r="J7" s="323">
        <v>138108</v>
      </c>
      <c r="K7" s="323">
        <v>1498595</v>
      </c>
      <c r="L7" s="323">
        <v>0</v>
      </c>
      <c r="M7" s="323">
        <v>1498595</v>
      </c>
      <c r="N7" s="323">
        <v>0</v>
      </c>
      <c r="O7" s="323">
        <v>1498595</v>
      </c>
      <c r="P7" s="317"/>
    </row>
    <row r="8" spans="1:16">
      <c r="A8" s="324" t="s">
        <v>789</v>
      </c>
      <c r="B8" s="320" t="s">
        <v>790</v>
      </c>
      <c r="C8" s="320" t="s">
        <v>416</v>
      </c>
      <c r="D8" s="320" t="s">
        <v>791</v>
      </c>
      <c r="E8" s="320" t="s">
        <v>217</v>
      </c>
      <c r="F8" s="340" t="s">
        <v>1061</v>
      </c>
      <c r="G8" s="342">
        <v>2017</v>
      </c>
      <c r="H8" s="323">
        <v>133.69999999999999</v>
      </c>
      <c r="I8" s="323">
        <v>418544.18</v>
      </c>
      <c r="J8" s="323">
        <v>0</v>
      </c>
      <c r="K8" s="323">
        <v>418544.18</v>
      </c>
      <c r="L8" s="323">
        <v>266.45</v>
      </c>
      <c r="M8" s="323">
        <v>413188.87</v>
      </c>
      <c r="N8" s="323">
        <v>251.95</v>
      </c>
      <c r="O8" s="323">
        <v>410001.85</v>
      </c>
      <c r="P8" s="317"/>
    </row>
    <row r="9" spans="1:16">
      <c r="A9" s="324" t="s">
        <v>792</v>
      </c>
      <c r="B9" s="320" t="s">
        <v>793</v>
      </c>
      <c r="C9" s="320" t="s">
        <v>416</v>
      </c>
      <c r="D9" s="320" t="s">
        <v>794</v>
      </c>
      <c r="E9" s="320" t="s">
        <v>217</v>
      </c>
      <c r="F9" s="340" t="s">
        <v>1061</v>
      </c>
      <c r="G9" s="342">
        <v>2017</v>
      </c>
      <c r="H9" s="323">
        <v>90.8</v>
      </c>
      <c r="I9" s="323">
        <v>316737.05</v>
      </c>
      <c r="J9" s="323">
        <v>0</v>
      </c>
      <c r="K9" s="323">
        <v>316737.05</v>
      </c>
      <c r="L9" s="323">
        <v>340.17</v>
      </c>
      <c r="M9" s="323">
        <v>316396.88</v>
      </c>
      <c r="N9" s="323">
        <v>298.44</v>
      </c>
      <c r="O9" s="323">
        <v>316737.05</v>
      </c>
      <c r="P9" s="317"/>
    </row>
    <row r="10" spans="1:16">
      <c r="A10" s="324" t="s">
        <v>795</v>
      </c>
      <c r="B10" s="320" t="s">
        <v>796</v>
      </c>
      <c r="C10" s="320" t="s">
        <v>416</v>
      </c>
      <c r="D10" s="320" t="s">
        <v>797</v>
      </c>
      <c r="E10" s="320" t="s">
        <v>779</v>
      </c>
      <c r="F10" s="340" t="s">
        <v>1061</v>
      </c>
      <c r="G10" s="342">
        <v>2017</v>
      </c>
      <c r="H10" s="323">
        <v>9</v>
      </c>
      <c r="I10" s="323">
        <v>19617.45</v>
      </c>
      <c r="J10" s="323">
        <v>95.74</v>
      </c>
      <c r="K10" s="323">
        <v>19713.189999999999</v>
      </c>
      <c r="L10" s="323">
        <v>0</v>
      </c>
      <c r="M10" s="323">
        <v>19617.45</v>
      </c>
      <c r="N10" s="323">
        <v>0</v>
      </c>
      <c r="O10" s="323">
        <v>19617.45</v>
      </c>
      <c r="P10" s="317"/>
    </row>
    <row r="11" spans="1:16">
      <c r="A11" s="324" t="s">
        <v>801</v>
      </c>
      <c r="B11" s="320" t="s">
        <v>802</v>
      </c>
      <c r="C11" s="320" t="s">
        <v>416</v>
      </c>
      <c r="D11" s="320" t="s">
        <v>803</v>
      </c>
      <c r="E11" s="320" t="s">
        <v>9</v>
      </c>
      <c r="F11" s="340" t="s">
        <v>1061</v>
      </c>
      <c r="G11" s="342">
        <v>2017</v>
      </c>
      <c r="H11" s="323">
        <v>670</v>
      </c>
      <c r="I11" s="323">
        <v>75875.199999999997</v>
      </c>
      <c r="J11" s="323">
        <v>551.29</v>
      </c>
      <c r="K11" s="323">
        <v>75323.91</v>
      </c>
      <c r="L11" s="323">
        <v>13773.31</v>
      </c>
      <c r="M11" s="323">
        <v>75323.91</v>
      </c>
      <c r="N11" s="323">
        <v>0</v>
      </c>
      <c r="O11" s="323">
        <v>75323.91</v>
      </c>
      <c r="P11" s="317"/>
    </row>
    <row r="12" spans="1:16">
      <c r="A12" s="324" t="s">
        <v>804</v>
      </c>
      <c r="B12" s="320" t="s">
        <v>805</v>
      </c>
      <c r="C12" s="320" t="s">
        <v>416</v>
      </c>
      <c r="D12" s="320" t="s">
        <v>806</v>
      </c>
      <c r="E12" s="320" t="s">
        <v>96</v>
      </c>
      <c r="F12" s="340" t="s">
        <v>1061</v>
      </c>
      <c r="G12" s="342">
        <v>2017</v>
      </c>
      <c r="H12" s="323">
        <v>4</v>
      </c>
      <c r="I12" s="323">
        <v>27547.78</v>
      </c>
      <c r="J12" s="323">
        <v>0</v>
      </c>
      <c r="K12" s="323">
        <v>27547.78</v>
      </c>
      <c r="L12" s="323">
        <v>0</v>
      </c>
      <c r="M12" s="323">
        <v>27547.78</v>
      </c>
      <c r="N12" s="323">
        <v>11.9</v>
      </c>
      <c r="O12" s="323">
        <v>27535.88</v>
      </c>
      <c r="P12" s="317"/>
    </row>
    <row r="13" spans="1:16">
      <c r="A13" s="324" t="s">
        <v>804</v>
      </c>
      <c r="B13" s="320" t="s">
        <v>805</v>
      </c>
      <c r="C13" s="320" t="s">
        <v>416</v>
      </c>
      <c r="D13" s="320" t="s">
        <v>807</v>
      </c>
      <c r="E13" s="320" t="s">
        <v>96</v>
      </c>
      <c r="F13" s="340" t="s">
        <v>1061</v>
      </c>
      <c r="G13" s="342">
        <v>2017</v>
      </c>
      <c r="H13" s="323">
        <v>3</v>
      </c>
      <c r="I13" s="323">
        <v>17168.919999999998</v>
      </c>
      <c r="J13" s="323">
        <v>0</v>
      </c>
      <c r="K13" s="323">
        <v>17168.919999999998</v>
      </c>
      <c r="L13" s="323">
        <v>0</v>
      </c>
      <c r="M13" s="323">
        <v>17168.919999999998</v>
      </c>
      <c r="N13" s="323">
        <v>8.3000000000000007</v>
      </c>
      <c r="O13" s="323">
        <v>17160.62</v>
      </c>
      <c r="P13" s="317"/>
    </row>
    <row r="14" spans="1:16">
      <c r="A14" s="324" t="s">
        <v>808</v>
      </c>
      <c r="B14" s="320" t="s">
        <v>809</v>
      </c>
      <c r="C14" s="320" t="s">
        <v>416</v>
      </c>
      <c r="D14" s="320" t="s">
        <v>810</v>
      </c>
      <c r="E14" s="320" t="s">
        <v>217</v>
      </c>
      <c r="F14" s="340" t="s">
        <v>1061</v>
      </c>
      <c r="G14" s="342">
        <v>2017</v>
      </c>
      <c r="H14" s="323">
        <v>135.19999999999999</v>
      </c>
      <c r="I14" s="323">
        <v>369651.25</v>
      </c>
      <c r="J14" s="323">
        <v>0</v>
      </c>
      <c r="K14" s="323">
        <v>369651.25</v>
      </c>
      <c r="L14" s="323">
        <v>0</v>
      </c>
      <c r="M14" s="323">
        <v>369651.25</v>
      </c>
      <c r="N14" s="323">
        <v>3425.37</v>
      </c>
      <c r="O14" s="323">
        <v>369651.25</v>
      </c>
      <c r="P14" s="317"/>
    </row>
    <row r="15" spans="1:16">
      <c r="A15" s="324" t="s">
        <v>811</v>
      </c>
      <c r="B15" s="320" t="s">
        <v>812</v>
      </c>
      <c r="C15" s="320" t="s">
        <v>416</v>
      </c>
      <c r="D15" s="320" t="s">
        <v>813</v>
      </c>
      <c r="E15" s="320" t="s">
        <v>814</v>
      </c>
      <c r="F15" s="340" t="s">
        <v>1061</v>
      </c>
      <c r="G15" s="341">
        <v>2017</v>
      </c>
      <c r="H15" s="323">
        <v>4.2</v>
      </c>
      <c r="I15" s="323">
        <v>22425.9</v>
      </c>
      <c r="J15" s="323">
        <v>3331.03</v>
      </c>
      <c r="K15" s="323">
        <v>19094.87</v>
      </c>
      <c r="L15" s="323">
        <v>0</v>
      </c>
      <c r="M15" s="323">
        <v>19094.87</v>
      </c>
      <c r="N15" s="323">
        <v>0</v>
      </c>
      <c r="O15" s="323">
        <v>19094.87</v>
      </c>
      <c r="P15" s="317"/>
    </row>
    <row r="16" spans="1:16">
      <c r="A16" s="324" t="s">
        <v>815</v>
      </c>
      <c r="B16" s="320" t="s">
        <v>816</v>
      </c>
      <c r="C16" s="320" t="s">
        <v>416</v>
      </c>
      <c r="D16" s="320" t="s">
        <v>817</v>
      </c>
      <c r="E16" s="320" t="s">
        <v>217</v>
      </c>
      <c r="F16" s="340" t="s">
        <v>1061</v>
      </c>
      <c r="G16" s="342">
        <v>2017</v>
      </c>
      <c r="H16" s="323">
        <v>21</v>
      </c>
      <c r="I16" s="323">
        <v>58298.19</v>
      </c>
      <c r="J16" s="323">
        <v>0</v>
      </c>
      <c r="K16" s="323">
        <v>58297.56</v>
      </c>
      <c r="L16" s="323">
        <v>141.80000000000001</v>
      </c>
      <c r="M16" s="323">
        <v>58155.98</v>
      </c>
      <c r="N16" s="323">
        <v>0</v>
      </c>
      <c r="O16" s="323">
        <v>58155.98</v>
      </c>
      <c r="P16" s="317"/>
    </row>
    <row r="17" spans="1:16">
      <c r="A17" s="324">
        <v>820655</v>
      </c>
      <c r="B17" s="320" t="s">
        <v>819</v>
      </c>
      <c r="C17" s="320" t="s">
        <v>818</v>
      </c>
      <c r="D17" s="320" t="s">
        <v>820</v>
      </c>
      <c r="E17" s="320" t="s">
        <v>9</v>
      </c>
      <c r="F17" s="343" t="s">
        <v>1061</v>
      </c>
      <c r="G17" s="342">
        <v>2017</v>
      </c>
      <c r="H17" s="322">
        <v>40</v>
      </c>
      <c r="I17" s="322">
        <v>0</v>
      </c>
      <c r="J17" s="323">
        <v>64.41</v>
      </c>
      <c r="K17" s="323">
        <v>-64.41</v>
      </c>
      <c r="L17" s="323">
        <v>0</v>
      </c>
      <c r="M17" s="322">
        <v>-64.41</v>
      </c>
      <c r="N17" s="323">
        <v>0</v>
      </c>
      <c r="O17" s="322">
        <v>0</v>
      </c>
      <c r="P17" s="317"/>
    </row>
    <row r="18" spans="1:16">
      <c r="A18" s="324">
        <v>820655</v>
      </c>
      <c r="B18" s="320" t="s">
        <v>819</v>
      </c>
      <c r="C18" s="320" t="s">
        <v>818</v>
      </c>
      <c r="D18" s="320" t="s">
        <v>821</v>
      </c>
      <c r="E18" s="320" t="s">
        <v>9</v>
      </c>
      <c r="F18" s="343" t="s">
        <v>1061</v>
      </c>
      <c r="G18" s="342">
        <v>2017</v>
      </c>
      <c r="H18" s="322">
        <v>40</v>
      </c>
      <c r="I18" s="322">
        <v>6.4</v>
      </c>
      <c r="J18" s="323">
        <v>11.74</v>
      </c>
      <c r="K18" s="322">
        <v>-5.34</v>
      </c>
      <c r="L18" s="323">
        <v>0</v>
      </c>
      <c r="M18" s="322">
        <v>-5.34</v>
      </c>
      <c r="N18" s="323">
        <v>0</v>
      </c>
      <c r="O18" s="322">
        <v>0</v>
      </c>
      <c r="P18" s="317"/>
    </row>
    <row r="19" spans="1:16">
      <c r="A19" s="324">
        <v>820655</v>
      </c>
      <c r="B19" s="320" t="s">
        <v>819</v>
      </c>
      <c r="C19" s="320" t="s">
        <v>818</v>
      </c>
      <c r="D19" s="320" t="s">
        <v>822</v>
      </c>
      <c r="E19" s="320" t="s">
        <v>755</v>
      </c>
      <c r="F19" s="340" t="s">
        <v>1061</v>
      </c>
      <c r="G19" s="342">
        <v>2017</v>
      </c>
      <c r="H19" s="323">
        <v>180</v>
      </c>
      <c r="I19" s="323">
        <v>18289.13</v>
      </c>
      <c r="J19" s="323">
        <v>237.93</v>
      </c>
      <c r="K19" s="323">
        <v>18051.2</v>
      </c>
      <c r="L19" s="323">
        <v>25739</v>
      </c>
      <c r="M19" s="323">
        <v>-7687.8</v>
      </c>
      <c r="N19" s="323">
        <v>0</v>
      </c>
      <c r="O19" s="322">
        <v>0</v>
      </c>
      <c r="P19" s="317"/>
    </row>
    <row r="20" spans="1:16">
      <c r="A20" s="324" t="s">
        <v>823</v>
      </c>
      <c r="B20" s="320" t="s">
        <v>824</v>
      </c>
      <c r="C20" s="320" t="s">
        <v>818</v>
      </c>
      <c r="D20" s="320" t="s">
        <v>825</v>
      </c>
      <c r="E20" s="320" t="s">
        <v>4</v>
      </c>
      <c r="F20" s="343" t="s">
        <v>1061</v>
      </c>
      <c r="G20" s="342">
        <v>2017</v>
      </c>
      <c r="H20" s="322">
        <v>300</v>
      </c>
      <c r="I20" s="323">
        <v>0</v>
      </c>
      <c r="J20" s="323">
        <v>0</v>
      </c>
      <c r="K20" s="323">
        <v>0</v>
      </c>
      <c r="L20" s="323">
        <v>5114.3999999999996</v>
      </c>
      <c r="M20" s="323">
        <v>-5114.3999999999996</v>
      </c>
      <c r="N20" s="323">
        <v>0</v>
      </c>
      <c r="O20" s="323">
        <v>-5114.3999999999996</v>
      </c>
      <c r="P20" s="317"/>
    </row>
    <row r="21" spans="1:16">
      <c r="A21" s="324" t="s">
        <v>823</v>
      </c>
      <c r="B21" s="320" t="s">
        <v>824</v>
      </c>
      <c r="C21" s="320" t="s">
        <v>818</v>
      </c>
      <c r="D21" s="320" t="s">
        <v>826</v>
      </c>
      <c r="E21" s="320" t="s">
        <v>827</v>
      </c>
      <c r="F21" s="340" t="s">
        <v>1061</v>
      </c>
      <c r="G21" s="342">
        <v>2017</v>
      </c>
      <c r="H21" s="323">
        <v>204</v>
      </c>
      <c r="I21" s="323">
        <v>20347</v>
      </c>
      <c r="J21" s="323">
        <v>0</v>
      </c>
      <c r="K21" s="323">
        <v>20347</v>
      </c>
      <c r="L21" s="323">
        <v>1434</v>
      </c>
      <c r="M21" s="323">
        <v>18913</v>
      </c>
      <c r="N21" s="323">
        <v>5389</v>
      </c>
      <c r="O21" s="323">
        <v>13524</v>
      </c>
      <c r="P21" s="317"/>
    </row>
    <row r="22" spans="1:16">
      <c r="A22" s="324" t="s">
        <v>828</v>
      </c>
      <c r="B22" s="320" t="s">
        <v>829</v>
      </c>
      <c r="C22" s="320" t="s">
        <v>416</v>
      </c>
      <c r="D22" s="320" t="s">
        <v>830</v>
      </c>
      <c r="E22" s="320" t="s">
        <v>96</v>
      </c>
      <c r="F22" s="340" t="s">
        <v>1061</v>
      </c>
      <c r="G22" s="342">
        <v>2017</v>
      </c>
      <c r="H22" s="323">
        <v>1.5</v>
      </c>
      <c r="I22" s="323">
        <v>5141.7700000000004</v>
      </c>
      <c r="J22" s="323">
        <v>61.4</v>
      </c>
      <c r="K22" s="323">
        <v>5080.37</v>
      </c>
      <c r="L22" s="323">
        <v>0</v>
      </c>
      <c r="M22" s="323">
        <v>5080.37</v>
      </c>
      <c r="N22" s="323">
        <v>0</v>
      </c>
      <c r="O22" s="323">
        <v>5080.37</v>
      </c>
      <c r="P22" s="317"/>
    </row>
    <row r="23" spans="1:16">
      <c r="A23" s="324" t="s">
        <v>831</v>
      </c>
      <c r="B23" s="320" t="s">
        <v>832</v>
      </c>
      <c r="C23" s="320" t="s">
        <v>416</v>
      </c>
      <c r="D23" s="320" t="s">
        <v>832</v>
      </c>
      <c r="E23" s="320" t="s">
        <v>779</v>
      </c>
      <c r="F23" s="340" t="s">
        <v>1061</v>
      </c>
      <c r="G23" s="342">
        <v>2017</v>
      </c>
      <c r="H23" s="323">
        <v>30</v>
      </c>
      <c r="I23" s="323">
        <v>61117.13</v>
      </c>
      <c r="J23" s="323">
        <v>0</v>
      </c>
      <c r="K23" s="323">
        <v>61117.13</v>
      </c>
      <c r="L23" s="323">
        <v>375.82</v>
      </c>
      <c r="M23" s="323">
        <v>60741.3</v>
      </c>
      <c r="N23" s="323">
        <v>0</v>
      </c>
      <c r="O23" s="323">
        <v>60741.3</v>
      </c>
      <c r="P23" s="317"/>
    </row>
    <row r="24" spans="1:16">
      <c r="A24" s="324" t="s">
        <v>834</v>
      </c>
      <c r="B24" s="320" t="s">
        <v>835</v>
      </c>
      <c r="C24" s="320" t="s">
        <v>416</v>
      </c>
      <c r="D24" s="320" t="s">
        <v>836</v>
      </c>
      <c r="E24" s="320" t="s">
        <v>217</v>
      </c>
      <c r="F24" s="340" t="s">
        <v>1061</v>
      </c>
      <c r="G24" s="342">
        <v>2017</v>
      </c>
      <c r="H24" s="323">
        <v>75</v>
      </c>
      <c r="I24" s="323">
        <v>196760.75</v>
      </c>
      <c r="J24" s="323">
        <v>490.4</v>
      </c>
      <c r="K24" s="323">
        <v>196270.35</v>
      </c>
      <c r="L24" s="323">
        <v>0</v>
      </c>
      <c r="M24" s="323">
        <v>196270.35</v>
      </c>
      <c r="N24" s="323">
        <v>490.4</v>
      </c>
      <c r="O24" s="323">
        <v>196270.35</v>
      </c>
      <c r="P24" s="317"/>
    </row>
    <row r="25" spans="1:16">
      <c r="A25" s="324" t="s">
        <v>837</v>
      </c>
      <c r="B25" s="320" t="s">
        <v>838</v>
      </c>
      <c r="C25" s="320" t="s">
        <v>416</v>
      </c>
      <c r="D25" s="320" t="s">
        <v>839</v>
      </c>
      <c r="E25" s="320" t="s">
        <v>779</v>
      </c>
      <c r="F25" s="340" t="s">
        <v>1061</v>
      </c>
      <c r="G25" s="342">
        <v>2017</v>
      </c>
      <c r="H25" s="323">
        <v>36</v>
      </c>
      <c r="I25" s="323">
        <v>75554.34</v>
      </c>
      <c r="J25" s="323">
        <v>0</v>
      </c>
      <c r="K25" s="323">
        <v>75554.34</v>
      </c>
      <c r="L25" s="323">
        <v>491.26</v>
      </c>
      <c r="M25" s="323">
        <v>75063.08</v>
      </c>
      <c r="N25" s="322">
        <v>0</v>
      </c>
      <c r="O25" s="323">
        <v>75505.87</v>
      </c>
      <c r="P25" s="316"/>
    </row>
    <row r="26" spans="1:16">
      <c r="A26" s="324" t="s">
        <v>840</v>
      </c>
      <c r="B26" s="320" t="s">
        <v>841</v>
      </c>
      <c r="C26" s="320" t="s">
        <v>416</v>
      </c>
      <c r="D26" s="320" t="s">
        <v>842</v>
      </c>
      <c r="E26" s="320" t="s">
        <v>217</v>
      </c>
      <c r="F26" s="340" t="s">
        <v>1061</v>
      </c>
      <c r="G26" s="342">
        <v>2017</v>
      </c>
      <c r="H26" s="323">
        <v>5.2</v>
      </c>
      <c r="I26" s="323">
        <v>7216.95</v>
      </c>
      <c r="J26" s="323">
        <v>0</v>
      </c>
      <c r="K26" s="323">
        <v>7216.95</v>
      </c>
      <c r="L26" s="323">
        <v>69.92</v>
      </c>
      <c r="M26" s="323">
        <v>7147.03</v>
      </c>
      <c r="N26" s="322">
        <v>0</v>
      </c>
      <c r="O26" s="323">
        <v>7147.03</v>
      </c>
      <c r="P26" s="316"/>
    </row>
    <row r="27" spans="1:16">
      <c r="A27" s="324" t="s">
        <v>843</v>
      </c>
      <c r="B27" s="320" t="s">
        <v>844</v>
      </c>
      <c r="C27" s="320" t="s">
        <v>416</v>
      </c>
      <c r="D27" s="320" t="s">
        <v>845</v>
      </c>
      <c r="E27" s="320" t="s">
        <v>9</v>
      </c>
      <c r="F27" s="340" t="s">
        <v>1061</v>
      </c>
      <c r="G27" s="342">
        <v>2017</v>
      </c>
      <c r="H27" s="323">
        <v>335</v>
      </c>
      <c r="I27" s="323">
        <v>43306.9</v>
      </c>
      <c r="J27" s="323">
        <v>587.47</v>
      </c>
      <c r="K27" s="323">
        <v>42719.43</v>
      </c>
      <c r="L27" s="323">
        <v>6742.51</v>
      </c>
      <c r="M27" s="323">
        <v>42719.43</v>
      </c>
      <c r="N27" s="322">
        <v>0</v>
      </c>
      <c r="O27" s="323">
        <v>42719.43</v>
      </c>
      <c r="P27" s="316"/>
    </row>
    <row r="28" spans="1:16">
      <c r="A28" s="324" t="s">
        <v>846</v>
      </c>
      <c r="B28" s="320" t="s">
        <v>847</v>
      </c>
      <c r="C28" s="320" t="s">
        <v>416</v>
      </c>
      <c r="D28" s="320" t="s">
        <v>848</v>
      </c>
      <c r="E28" s="320" t="s">
        <v>217</v>
      </c>
      <c r="F28" s="340" t="s">
        <v>1061</v>
      </c>
      <c r="G28" s="342">
        <v>2017</v>
      </c>
      <c r="H28" s="323">
        <v>100</v>
      </c>
      <c r="I28" s="323">
        <v>296719.63</v>
      </c>
      <c r="J28" s="323">
        <v>0</v>
      </c>
      <c r="K28" s="323">
        <v>296719.63</v>
      </c>
      <c r="L28" s="323">
        <v>316.39999999999998</v>
      </c>
      <c r="M28" s="323">
        <v>290192.87</v>
      </c>
      <c r="N28" s="323">
        <v>316.39999999999998</v>
      </c>
      <c r="O28" s="323">
        <v>290192.87</v>
      </c>
      <c r="P28" s="317"/>
    </row>
    <row r="29" spans="1:16">
      <c r="A29" s="324" t="s">
        <v>849</v>
      </c>
      <c r="B29" s="320" t="s">
        <v>850</v>
      </c>
      <c r="C29" s="320" t="s">
        <v>416</v>
      </c>
      <c r="D29" s="320" t="s">
        <v>851</v>
      </c>
      <c r="E29" s="320" t="s">
        <v>779</v>
      </c>
      <c r="F29" s="340" t="s">
        <v>1061</v>
      </c>
      <c r="G29" s="342">
        <v>2017</v>
      </c>
      <c r="H29" s="323">
        <v>75</v>
      </c>
      <c r="I29" s="323">
        <v>152987.16</v>
      </c>
      <c r="J29" s="323">
        <v>0</v>
      </c>
      <c r="K29" s="323">
        <v>152987.16</v>
      </c>
      <c r="L29" s="323">
        <v>1064.98</v>
      </c>
      <c r="M29" s="323">
        <v>151922.18</v>
      </c>
      <c r="N29" s="323">
        <v>0</v>
      </c>
      <c r="O29" s="323">
        <v>151922.18</v>
      </c>
      <c r="P29" s="317"/>
    </row>
    <row r="30" spans="1:16">
      <c r="A30" s="324" t="s">
        <v>798</v>
      </c>
      <c r="B30" s="320" t="s">
        <v>1062</v>
      </c>
      <c r="C30" s="320" t="s">
        <v>416</v>
      </c>
      <c r="D30" s="320" t="s">
        <v>800</v>
      </c>
      <c r="E30" s="320" t="s">
        <v>217</v>
      </c>
      <c r="F30" s="340" t="s">
        <v>1061</v>
      </c>
      <c r="G30" s="342">
        <v>2017</v>
      </c>
      <c r="H30" s="323">
        <v>1.8</v>
      </c>
      <c r="I30" s="323">
        <v>5525.45</v>
      </c>
      <c r="J30" s="323">
        <v>0</v>
      </c>
      <c r="K30" s="323">
        <v>5525.45</v>
      </c>
      <c r="L30" s="323">
        <v>0</v>
      </c>
      <c r="M30" s="323">
        <v>5525.45</v>
      </c>
      <c r="N30" s="323">
        <v>0</v>
      </c>
      <c r="O30" s="323">
        <v>5525.45</v>
      </c>
      <c r="P30" s="317"/>
    </row>
    <row r="31" spans="1:16">
      <c r="A31" s="324" t="s">
        <v>852</v>
      </c>
      <c r="B31" s="320" t="s">
        <v>853</v>
      </c>
      <c r="C31" s="320" t="s">
        <v>416</v>
      </c>
      <c r="D31" s="320" t="s">
        <v>854</v>
      </c>
      <c r="E31" s="320" t="s">
        <v>855</v>
      </c>
      <c r="F31" s="340" t="s">
        <v>1061</v>
      </c>
      <c r="G31" s="342">
        <v>2017</v>
      </c>
      <c r="H31" s="323">
        <v>3</v>
      </c>
      <c r="I31" s="323">
        <v>27959.79</v>
      </c>
      <c r="J31" s="323">
        <v>0</v>
      </c>
      <c r="K31" s="323">
        <v>27959.79</v>
      </c>
      <c r="L31" s="323">
        <v>0</v>
      </c>
      <c r="M31" s="323">
        <v>27959.79</v>
      </c>
      <c r="N31" s="323">
        <v>0</v>
      </c>
      <c r="O31" s="323">
        <v>27959.79</v>
      </c>
      <c r="P31" s="317"/>
    </row>
    <row r="32" spans="1:16">
      <c r="A32" s="324" t="s">
        <v>852</v>
      </c>
      <c r="B32" s="320" t="s">
        <v>853</v>
      </c>
      <c r="C32" s="320" t="s">
        <v>416</v>
      </c>
      <c r="D32" s="320" t="s">
        <v>856</v>
      </c>
      <c r="E32" s="320" t="s">
        <v>855</v>
      </c>
      <c r="F32" s="340" t="s">
        <v>1061</v>
      </c>
      <c r="G32" s="342">
        <v>2017</v>
      </c>
      <c r="H32" s="323">
        <v>5</v>
      </c>
      <c r="I32" s="323">
        <v>3111.28</v>
      </c>
      <c r="J32" s="323">
        <v>0</v>
      </c>
      <c r="K32" s="323">
        <v>3111.28</v>
      </c>
      <c r="L32" s="323">
        <v>0</v>
      </c>
      <c r="M32" s="323">
        <v>3111.28</v>
      </c>
      <c r="N32" s="323">
        <v>0</v>
      </c>
      <c r="O32" s="323">
        <v>3111.28</v>
      </c>
      <c r="P32" s="322"/>
    </row>
    <row r="33" spans="1:16">
      <c r="A33" s="324" t="s">
        <v>858</v>
      </c>
      <c r="B33" s="320" t="s">
        <v>859</v>
      </c>
      <c r="C33" s="320" t="s">
        <v>416</v>
      </c>
      <c r="D33" s="320" t="s">
        <v>860</v>
      </c>
      <c r="E33" s="320" t="s">
        <v>779</v>
      </c>
      <c r="F33" s="340" t="s">
        <v>1061</v>
      </c>
      <c r="G33" s="342">
        <v>2017</v>
      </c>
      <c r="H33" s="323">
        <v>28</v>
      </c>
      <c r="I33" s="323">
        <v>59418.6</v>
      </c>
      <c r="J33" s="323">
        <v>0</v>
      </c>
      <c r="K33" s="323">
        <v>59418.6</v>
      </c>
      <c r="L33" s="323">
        <v>641.42999999999995</v>
      </c>
      <c r="M33" s="323">
        <v>58777.17</v>
      </c>
      <c r="N33" s="323">
        <v>0</v>
      </c>
      <c r="O33" s="323">
        <v>58777.17</v>
      </c>
      <c r="P33" s="323"/>
    </row>
    <row r="34" spans="1:16">
      <c r="A34" s="324" t="s">
        <v>730</v>
      </c>
      <c r="B34" s="320" t="s">
        <v>731</v>
      </c>
      <c r="C34" s="320" t="s">
        <v>272</v>
      </c>
      <c r="D34" s="320" t="s">
        <v>732</v>
      </c>
      <c r="E34" s="344" t="s">
        <v>4</v>
      </c>
      <c r="F34" s="343" t="s">
        <v>1061</v>
      </c>
      <c r="G34" s="341">
        <v>2017</v>
      </c>
      <c r="H34" s="323">
        <v>1980</v>
      </c>
      <c r="I34" s="322" t="s">
        <v>1063</v>
      </c>
      <c r="J34" s="323">
        <v>810378.11</v>
      </c>
      <c r="K34" s="323">
        <v>9966717.4399999995</v>
      </c>
      <c r="L34" s="323">
        <v>0</v>
      </c>
      <c r="M34" s="323">
        <v>9966717.4399999995</v>
      </c>
      <c r="N34" s="323">
        <v>0</v>
      </c>
      <c r="O34" s="323">
        <v>9966717.4399999995</v>
      </c>
      <c r="P34" s="323"/>
    </row>
    <row r="35" spans="1:16">
      <c r="A35" s="324" t="s">
        <v>730</v>
      </c>
      <c r="B35" s="320" t="s">
        <v>731</v>
      </c>
      <c r="C35" s="320" t="s">
        <v>272</v>
      </c>
      <c r="D35" s="320" t="s">
        <v>734</v>
      </c>
      <c r="E35" s="344" t="s">
        <v>4</v>
      </c>
      <c r="F35" s="340" t="s">
        <v>1061</v>
      </c>
      <c r="G35" s="341">
        <v>2017</v>
      </c>
      <c r="H35" s="323">
        <v>1520</v>
      </c>
      <c r="I35" s="323">
        <v>7087587.9400000004</v>
      </c>
      <c r="J35" s="323">
        <v>428921.55</v>
      </c>
      <c r="K35" s="323">
        <v>6658666.3899999997</v>
      </c>
      <c r="L35" s="323">
        <v>0</v>
      </c>
      <c r="M35" s="323">
        <v>6658666.3899999997</v>
      </c>
      <c r="N35" s="323">
        <v>0</v>
      </c>
      <c r="O35" s="323">
        <v>6658666.3899999997</v>
      </c>
      <c r="P35" s="323"/>
    </row>
    <row r="36" spans="1:16">
      <c r="A36" s="324" t="s">
        <v>730</v>
      </c>
      <c r="B36" s="320" t="s">
        <v>731</v>
      </c>
      <c r="C36" s="320" t="s">
        <v>272</v>
      </c>
      <c r="D36" s="320" t="s">
        <v>735</v>
      </c>
      <c r="E36" s="344" t="s">
        <v>4</v>
      </c>
      <c r="F36" s="343" t="s">
        <v>1061</v>
      </c>
      <c r="G36" s="341">
        <v>2017</v>
      </c>
      <c r="H36" s="323">
        <v>3450</v>
      </c>
      <c r="I36" s="322" t="s">
        <v>1063</v>
      </c>
      <c r="J36" s="323">
        <v>1225846.02</v>
      </c>
      <c r="K36" s="323">
        <v>15031081.92</v>
      </c>
      <c r="L36" s="323">
        <v>0</v>
      </c>
      <c r="M36" s="323">
        <v>15031081.92</v>
      </c>
      <c r="N36" s="323">
        <v>0</v>
      </c>
      <c r="O36" s="323">
        <v>15031081.92</v>
      </c>
      <c r="P36" s="323"/>
    </row>
    <row r="37" spans="1:16">
      <c r="A37" s="324" t="s">
        <v>730</v>
      </c>
      <c r="B37" s="320" t="s">
        <v>731</v>
      </c>
      <c r="C37" s="320" t="s">
        <v>272</v>
      </c>
      <c r="D37" s="320" t="s">
        <v>736</v>
      </c>
      <c r="E37" s="344" t="s">
        <v>4</v>
      </c>
      <c r="F37" s="340" t="s">
        <v>1061</v>
      </c>
      <c r="G37" s="341">
        <v>2017</v>
      </c>
      <c r="H37" s="323">
        <v>1130</v>
      </c>
      <c r="I37" s="323">
        <v>3846835.5</v>
      </c>
      <c r="J37" s="323">
        <v>325178.63</v>
      </c>
      <c r="K37" s="323">
        <v>3521656.87</v>
      </c>
      <c r="L37" s="323">
        <v>0</v>
      </c>
      <c r="M37" s="323">
        <v>3521656.87</v>
      </c>
      <c r="N37" s="323">
        <v>0</v>
      </c>
      <c r="O37" s="323">
        <v>3521656.87</v>
      </c>
      <c r="P37" s="323"/>
    </row>
    <row r="38" spans="1:16">
      <c r="A38" s="324" t="s">
        <v>730</v>
      </c>
      <c r="B38" s="320" t="s">
        <v>731</v>
      </c>
      <c r="C38" s="320" t="s">
        <v>272</v>
      </c>
      <c r="D38" s="320" t="s">
        <v>737</v>
      </c>
      <c r="E38" s="344" t="s">
        <v>4</v>
      </c>
      <c r="F38" s="340" t="s">
        <v>1061</v>
      </c>
      <c r="G38" s="341">
        <v>2017</v>
      </c>
      <c r="H38" s="323">
        <v>1900</v>
      </c>
      <c r="I38" s="323">
        <v>8277542.5300000003</v>
      </c>
      <c r="J38" s="323">
        <v>623045.47</v>
      </c>
      <c r="K38" s="323">
        <v>7654497.0599999996</v>
      </c>
      <c r="L38" s="323">
        <v>0</v>
      </c>
      <c r="M38" s="323">
        <v>7654497.0599999996</v>
      </c>
      <c r="N38" s="323">
        <v>0</v>
      </c>
      <c r="O38" s="323">
        <v>7654497.0599999996</v>
      </c>
      <c r="P38" s="323"/>
    </row>
    <row r="39" spans="1:16">
      <c r="A39" s="324" t="s">
        <v>730</v>
      </c>
      <c r="B39" s="320" t="s">
        <v>731</v>
      </c>
      <c r="C39" s="320" t="s">
        <v>272</v>
      </c>
      <c r="D39" s="320" t="s">
        <v>738</v>
      </c>
      <c r="E39" s="344" t="s">
        <v>4</v>
      </c>
      <c r="F39" s="343" t="s">
        <v>1061</v>
      </c>
      <c r="G39" s="341">
        <v>2017</v>
      </c>
      <c r="H39" s="323">
        <v>3840</v>
      </c>
      <c r="I39" s="322" t="s">
        <v>1063</v>
      </c>
      <c r="J39" s="323">
        <v>2100668.5</v>
      </c>
      <c r="K39" s="323">
        <v>25272271.91</v>
      </c>
      <c r="L39" s="323">
        <v>0</v>
      </c>
      <c r="M39" s="323">
        <v>25272271.91</v>
      </c>
      <c r="N39" s="323">
        <v>0</v>
      </c>
      <c r="O39" s="323">
        <v>25272271.91</v>
      </c>
      <c r="P39" s="323"/>
    </row>
    <row r="40" spans="1:16">
      <c r="A40" s="324" t="s">
        <v>730</v>
      </c>
      <c r="B40" s="320" t="s">
        <v>731</v>
      </c>
      <c r="C40" s="320" t="s">
        <v>272</v>
      </c>
      <c r="D40" s="320" t="s">
        <v>739</v>
      </c>
      <c r="E40" s="344" t="s">
        <v>4</v>
      </c>
      <c r="F40" s="340" t="s">
        <v>1061</v>
      </c>
      <c r="G40" s="341">
        <v>2017</v>
      </c>
      <c r="H40" s="323">
        <v>1000</v>
      </c>
      <c r="I40" s="323">
        <v>2598873.14</v>
      </c>
      <c r="J40" s="323">
        <v>180096.81</v>
      </c>
      <c r="K40" s="323">
        <v>2418776.33</v>
      </c>
      <c r="L40" s="323">
        <v>0</v>
      </c>
      <c r="M40" s="323">
        <v>2418776.33</v>
      </c>
      <c r="N40" s="323">
        <v>0</v>
      </c>
      <c r="O40" s="323">
        <v>2418776.33</v>
      </c>
      <c r="P40" s="323"/>
    </row>
    <row r="41" spans="1:16">
      <c r="A41" s="324" t="s">
        <v>730</v>
      </c>
      <c r="B41" s="320" t="s">
        <v>731</v>
      </c>
      <c r="C41" s="320" t="s">
        <v>272</v>
      </c>
      <c r="D41" s="320" t="s">
        <v>740</v>
      </c>
      <c r="E41" s="344" t="s">
        <v>4</v>
      </c>
      <c r="F41" s="343" t="s">
        <v>1061</v>
      </c>
      <c r="G41" s="341">
        <v>2017</v>
      </c>
      <c r="H41" s="323">
        <v>2850</v>
      </c>
      <c r="I41" s="322" t="s">
        <v>1063</v>
      </c>
      <c r="J41" s="323">
        <v>1129382.97</v>
      </c>
      <c r="K41" s="323">
        <v>12509279.58</v>
      </c>
      <c r="L41" s="323">
        <v>0</v>
      </c>
      <c r="M41" s="323">
        <v>12509279.58</v>
      </c>
      <c r="N41" s="323">
        <v>0</v>
      </c>
      <c r="O41" s="323">
        <v>12509279.58</v>
      </c>
      <c r="P41" s="323"/>
    </row>
    <row r="42" spans="1:16">
      <c r="A42" s="324" t="s">
        <v>730</v>
      </c>
      <c r="B42" s="320" t="s">
        <v>731</v>
      </c>
      <c r="C42" s="320" t="s">
        <v>272</v>
      </c>
      <c r="D42" s="320" t="s">
        <v>741</v>
      </c>
      <c r="E42" s="344" t="s">
        <v>4</v>
      </c>
      <c r="F42" s="343" t="s">
        <v>1061</v>
      </c>
      <c r="G42" s="341">
        <v>2017</v>
      </c>
      <c r="H42" s="323">
        <v>3558</v>
      </c>
      <c r="I42" s="322" t="s">
        <v>1063</v>
      </c>
      <c r="J42" s="323">
        <v>1206633.1000000001</v>
      </c>
      <c r="K42" s="323">
        <v>20021890</v>
      </c>
      <c r="L42" s="323">
        <v>0</v>
      </c>
      <c r="M42" s="323">
        <v>20021890</v>
      </c>
      <c r="N42" s="323">
        <v>0</v>
      </c>
      <c r="O42" s="323">
        <v>20021890</v>
      </c>
      <c r="P42" s="323"/>
    </row>
    <row r="43" spans="1:16">
      <c r="A43" s="324" t="s">
        <v>730</v>
      </c>
      <c r="B43" s="320" t="s">
        <v>731</v>
      </c>
      <c r="C43" s="320" t="s">
        <v>272</v>
      </c>
      <c r="D43" s="320" t="s">
        <v>742</v>
      </c>
      <c r="E43" s="344" t="s">
        <v>4</v>
      </c>
      <c r="F43" s="343" t="s">
        <v>1061</v>
      </c>
      <c r="G43" s="341">
        <v>2017</v>
      </c>
      <c r="H43" s="323">
        <v>3843</v>
      </c>
      <c r="I43" s="322" t="s">
        <v>1063</v>
      </c>
      <c r="J43" s="323">
        <v>2050102.36</v>
      </c>
      <c r="K43" s="323">
        <v>23367554.640000001</v>
      </c>
      <c r="L43" s="323">
        <v>0</v>
      </c>
      <c r="M43" s="323">
        <v>23367554.640000001</v>
      </c>
      <c r="N43" s="323">
        <v>0</v>
      </c>
      <c r="O43" s="323">
        <v>23367554.640000001</v>
      </c>
      <c r="P43" s="323"/>
    </row>
    <row r="44" spans="1:16">
      <c r="A44" s="324" t="s">
        <v>730</v>
      </c>
      <c r="B44" s="320" t="s">
        <v>731</v>
      </c>
      <c r="C44" s="320" t="s">
        <v>272</v>
      </c>
      <c r="D44" s="320" t="s">
        <v>743</v>
      </c>
      <c r="E44" s="344" t="s">
        <v>4</v>
      </c>
      <c r="F44" s="343" t="s">
        <v>1061</v>
      </c>
      <c r="G44" s="341">
        <v>2017</v>
      </c>
      <c r="H44" s="323">
        <v>3690</v>
      </c>
      <c r="I44" s="322" t="s">
        <v>1063</v>
      </c>
      <c r="J44" s="323">
        <v>2453046.67</v>
      </c>
      <c r="K44" s="323">
        <v>25806636.710000001</v>
      </c>
      <c r="L44" s="323">
        <v>0</v>
      </c>
      <c r="M44" s="323">
        <v>25806636.710000001</v>
      </c>
      <c r="N44" s="323">
        <v>0</v>
      </c>
      <c r="O44" s="323">
        <v>25806636.710000001</v>
      </c>
      <c r="P44" s="323"/>
    </row>
    <row r="45" spans="1:16">
      <c r="A45" s="324" t="s">
        <v>730</v>
      </c>
      <c r="B45" s="320" t="s">
        <v>731</v>
      </c>
      <c r="C45" s="320" t="s">
        <v>272</v>
      </c>
      <c r="D45" s="320" t="s">
        <v>744</v>
      </c>
      <c r="E45" s="344" t="s">
        <v>4</v>
      </c>
      <c r="F45" s="343" t="s">
        <v>1061</v>
      </c>
      <c r="G45" s="341">
        <v>2017</v>
      </c>
      <c r="H45" s="323">
        <v>3450</v>
      </c>
      <c r="I45" s="322" t="s">
        <v>1063</v>
      </c>
      <c r="J45" s="323">
        <v>1176929.4099999999</v>
      </c>
      <c r="K45" s="323">
        <v>18703783.390000001</v>
      </c>
      <c r="L45" s="323">
        <v>0</v>
      </c>
      <c r="M45" s="323">
        <v>18703783.390000001</v>
      </c>
      <c r="N45" s="323">
        <v>0</v>
      </c>
      <c r="O45" s="323">
        <v>18703783.390000001</v>
      </c>
      <c r="P45" s="323"/>
    </row>
    <row r="46" spans="1:16">
      <c r="A46" s="324" t="s">
        <v>730</v>
      </c>
      <c r="B46" s="320" t="s">
        <v>731</v>
      </c>
      <c r="C46" s="320" t="s">
        <v>272</v>
      </c>
      <c r="D46" s="320" t="s">
        <v>745</v>
      </c>
      <c r="E46" s="344" t="s">
        <v>4</v>
      </c>
      <c r="F46" s="343" t="s">
        <v>1061</v>
      </c>
      <c r="G46" s="341">
        <v>2017</v>
      </c>
      <c r="H46" s="323">
        <v>3510</v>
      </c>
      <c r="I46" s="322" t="s">
        <v>1063</v>
      </c>
      <c r="J46" s="323">
        <v>1128053.7</v>
      </c>
      <c r="K46" s="323">
        <v>16473325.800000001</v>
      </c>
      <c r="L46" s="323">
        <v>0</v>
      </c>
      <c r="M46" s="323">
        <v>16473325.800000001</v>
      </c>
      <c r="N46" s="323">
        <v>0</v>
      </c>
      <c r="O46" s="323">
        <v>16473325.800000001</v>
      </c>
      <c r="P46" s="323"/>
    </row>
    <row r="47" spans="1:16">
      <c r="A47" s="324" t="s">
        <v>730</v>
      </c>
      <c r="B47" s="320" t="s">
        <v>731</v>
      </c>
      <c r="C47" s="320" t="s">
        <v>272</v>
      </c>
      <c r="D47" s="320" t="s">
        <v>746</v>
      </c>
      <c r="E47" s="320" t="s">
        <v>9</v>
      </c>
      <c r="F47" s="343" t="s">
        <v>1061</v>
      </c>
      <c r="G47" s="342">
        <v>2017</v>
      </c>
      <c r="H47" s="322">
        <v>171</v>
      </c>
      <c r="I47" s="322">
        <v>77</v>
      </c>
      <c r="J47" s="323">
        <v>4</v>
      </c>
      <c r="K47" s="323">
        <v>73</v>
      </c>
      <c r="L47" s="323">
        <v>0</v>
      </c>
      <c r="M47" s="322">
        <v>73</v>
      </c>
      <c r="N47" s="323">
        <v>0</v>
      </c>
      <c r="O47" s="322">
        <v>73</v>
      </c>
      <c r="P47" s="323"/>
    </row>
    <row r="48" spans="1:16">
      <c r="A48" s="324" t="s">
        <v>730</v>
      </c>
      <c r="B48" s="320" t="s">
        <v>731</v>
      </c>
      <c r="C48" s="320" t="s">
        <v>272</v>
      </c>
      <c r="D48" s="320" t="s">
        <v>747</v>
      </c>
      <c r="E48" s="320" t="s">
        <v>9</v>
      </c>
      <c r="F48" s="340" t="s">
        <v>1061</v>
      </c>
      <c r="G48" s="342">
        <v>2017</v>
      </c>
      <c r="H48" s="323">
        <v>588</v>
      </c>
      <c r="I48" s="323">
        <v>22514.23</v>
      </c>
      <c r="J48" s="323">
        <v>64.23</v>
      </c>
      <c r="K48" s="323">
        <v>22450</v>
      </c>
      <c r="L48" s="323">
        <v>0</v>
      </c>
      <c r="M48" s="323">
        <v>22450</v>
      </c>
      <c r="N48" s="323">
        <v>0</v>
      </c>
      <c r="O48" s="323">
        <v>22450</v>
      </c>
      <c r="P48" s="323"/>
    </row>
    <row r="49" spans="1:16">
      <c r="A49" s="324" t="s">
        <v>730</v>
      </c>
      <c r="B49" s="320" t="s">
        <v>731</v>
      </c>
      <c r="C49" s="320" t="s">
        <v>272</v>
      </c>
      <c r="D49" s="320" t="s">
        <v>748</v>
      </c>
      <c r="E49" s="320" t="s">
        <v>9</v>
      </c>
      <c r="F49" s="340" t="s">
        <v>1061</v>
      </c>
      <c r="G49" s="342">
        <v>2017</v>
      </c>
      <c r="H49" s="323">
        <v>438</v>
      </c>
      <c r="I49" s="323">
        <v>16326.96</v>
      </c>
      <c r="J49" s="323">
        <v>264.32</v>
      </c>
      <c r="K49" s="323">
        <v>16062.64</v>
      </c>
      <c r="L49" s="323">
        <v>0</v>
      </c>
      <c r="M49" s="323">
        <v>16062.64</v>
      </c>
      <c r="N49" s="322">
        <v>0</v>
      </c>
      <c r="O49" s="323">
        <v>16062.64</v>
      </c>
      <c r="P49" s="322"/>
    </row>
    <row r="50" spans="1:16">
      <c r="A50" s="324" t="s">
        <v>730</v>
      </c>
      <c r="B50" s="320" t="s">
        <v>731</v>
      </c>
      <c r="C50" s="320" t="s">
        <v>272</v>
      </c>
      <c r="D50" s="320" t="s">
        <v>749</v>
      </c>
      <c r="E50" s="320" t="s">
        <v>9</v>
      </c>
      <c r="F50" s="343" t="s">
        <v>1061</v>
      </c>
      <c r="G50" s="342">
        <v>2017</v>
      </c>
      <c r="H50" s="322">
        <v>171</v>
      </c>
      <c r="I50" s="322">
        <v>65</v>
      </c>
      <c r="J50" s="322">
        <v>0</v>
      </c>
      <c r="K50" s="322">
        <v>65</v>
      </c>
      <c r="L50" s="322">
        <v>0</v>
      </c>
      <c r="M50" s="322">
        <v>65</v>
      </c>
      <c r="N50" s="322">
        <v>0</v>
      </c>
      <c r="O50" s="322">
        <v>65</v>
      </c>
      <c r="P50" s="322"/>
    </row>
    <row r="51" spans="1:16">
      <c r="A51" s="324" t="s">
        <v>730</v>
      </c>
      <c r="B51" s="320" t="s">
        <v>731</v>
      </c>
      <c r="C51" s="320" t="s">
        <v>272</v>
      </c>
      <c r="D51" s="320" t="s">
        <v>750</v>
      </c>
      <c r="E51" s="320" t="s">
        <v>96</v>
      </c>
      <c r="F51" s="340" t="s">
        <v>1061</v>
      </c>
      <c r="G51" s="342">
        <v>2017</v>
      </c>
      <c r="H51" s="323">
        <v>360</v>
      </c>
      <c r="I51" s="323">
        <v>342073</v>
      </c>
      <c r="J51" s="323">
        <v>371.84</v>
      </c>
      <c r="K51" s="323">
        <v>341701.16</v>
      </c>
      <c r="L51" s="323">
        <v>0</v>
      </c>
      <c r="M51" s="323">
        <v>341701.16</v>
      </c>
      <c r="N51" s="323">
        <v>0</v>
      </c>
      <c r="O51" s="323">
        <v>341701.16</v>
      </c>
      <c r="P51" s="323"/>
    </row>
    <row r="52" spans="1:16">
      <c r="A52" s="324" t="s">
        <v>730</v>
      </c>
      <c r="B52" s="320" t="s">
        <v>731</v>
      </c>
      <c r="C52" s="320" t="s">
        <v>272</v>
      </c>
      <c r="D52" s="320" t="s">
        <v>752</v>
      </c>
      <c r="E52" s="320" t="s">
        <v>96</v>
      </c>
      <c r="F52" s="340" t="s">
        <v>1061</v>
      </c>
      <c r="G52" s="341">
        <v>2017</v>
      </c>
      <c r="H52" s="323">
        <v>240</v>
      </c>
      <c r="I52" s="323">
        <v>351159</v>
      </c>
      <c r="J52" s="323">
        <v>2565.8000000000002</v>
      </c>
      <c r="K52" s="323">
        <v>348593.2</v>
      </c>
      <c r="L52" s="323">
        <v>0</v>
      </c>
      <c r="M52" s="323">
        <v>348593.2</v>
      </c>
      <c r="N52" s="323">
        <v>0</v>
      </c>
      <c r="O52" s="323">
        <v>348593.2</v>
      </c>
      <c r="P52" s="325"/>
    </row>
    <row r="53" spans="1:16">
      <c r="A53" s="324" t="s">
        <v>730</v>
      </c>
      <c r="B53" s="320" t="s">
        <v>731</v>
      </c>
      <c r="C53" s="320" t="s">
        <v>272</v>
      </c>
      <c r="D53" s="320" t="s">
        <v>753</v>
      </c>
      <c r="E53" s="344" t="s">
        <v>95</v>
      </c>
      <c r="F53" s="343" t="s">
        <v>1061</v>
      </c>
      <c r="G53" s="341">
        <v>2017</v>
      </c>
      <c r="H53" s="323">
        <v>1870</v>
      </c>
      <c r="I53" s="322" t="s">
        <v>1063</v>
      </c>
      <c r="J53" s="323">
        <v>656303</v>
      </c>
      <c r="K53" s="323">
        <v>15086884</v>
      </c>
      <c r="L53" s="323">
        <v>0</v>
      </c>
      <c r="M53" s="323">
        <v>15086884</v>
      </c>
      <c r="N53" s="322">
        <v>0</v>
      </c>
      <c r="O53" s="323">
        <v>15086884</v>
      </c>
      <c r="P53" s="325"/>
    </row>
    <row r="54" spans="1:16">
      <c r="A54" s="324" t="s">
        <v>730</v>
      </c>
      <c r="B54" s="320" t="s">
        <v>731</v>
      </c>
      <c r="C54" s="320" t="s">
        <v>272</v>
      </c>
      <c r="D54" s="320" t="s">
        <v>754</v>
      </c>
      <c r="E54" s="344" t="s">
        <v>755</v>
      </c>
      <c r="F54" s="340" t="s">
        <v>1061</v>
      </c>
      <c r="G54" s="341">
        <v>2017</v>
      </c>
      <c r="H54" s="323">
        <v>1000</v>
      </c>
      <c r="I54" s="323">
        <v>1478450</v>
      </c>
      <c r="J54" s="323">
        <v>4462.96</v>
      </c>
      <c r="K54" s="323">
        <v>1473987.04</v>
      </c>
      <c r="L54" s="323">
        <v>2359516.86</v>
      </c>
      <c r="M54" s="323">
        <v>-885529.82</v>
      </c>
      <c r="N54" s="323">
        <v>0</v>
      </c>
      <c r="O54" s="323">
        <v>-885529.82</v>
      </c>
      <c r="P54" s="323"/>
    </row>
    <row r="55" spans="1:16">
      <c r="A55" s="324" t="s">
        <v>730</v>
      </c>
      <c r="B55" s="320" t="s">
        <v>731</v>
      </c>
      <c r="C55" s="320" t="s">
        <v>272</v>
      </c>
      <c r="D55" s="320" t="s">
        <v>756</v>
      </c>
      <c r="E55" s="320" t="s">
        <v>755</v>
      </c>
      <c r="F55" s="340" t="s">
        <v>1061</v>
      </c>
      <c r="G55" s="342">
        <v>2017</v>
      </c>
      <c r="H55" s="323">
        <v>400</v>
      </c>
      <c r="I55" s="323">
        <v>589957</v>
      </c>
      <c r="J55" s="323">
        <v>494.97</v>
      </c>
      <c r="K55" s="323">
        <v>589462.03</v>
      </c>
      <c r="L55" s="323">
        <v>776185.54</v>
      </c>
      <c r="M55" s="323">
        <v>-186723.51</v>
      </c>
      <c r="N55" s="323">
        <v>0</v>
      </c>
      <c r="O55" s="323">
        <v>-186723.51</v>
      </c>
      <c r="P55" s="323"/>
    </row>
    <row r="56" spans="1:16">
      <c r="A56" s="324" t="s">
        <v>730</v>
      </c>
      <c r="B56" s="320" t="s">
        <v>731</v>
      </c>
      <c r="C56" s="320" t="s">
        <v>272</v>
      </c>
      <c r="D56" s="320" t="s">
        <v>757</v>
      </c>
      <c r="E56" s="320" t="s">
        <v>96</v>
      </c>
      <c r="F56" s="340" t="s">
        <v>1061</v>
      </c>
      <c r="G56" s="342">
        <v>2017</v>
      </c>
      <c r="H56" s="323">
        <v>2.1</v>
      </c>
      <c r="I56" s="323">
        <v>1739.54</v>
      </c>
      <c r="J56" s="323">
        <v>0</v>
      </c>
      <c r="K56" s="323">
        <v>1739.54</v>
      </c>
      <c r="L56" s="323">
        <v>0</v>
      </c>
      <c r="M56" s="323">
        <v>1739.54</v>
      </c>
      <c r="N56" s="323">
        <v>0</v>
      </c>
      <c r="O56" s="323">
        <v>1739.54</v>
      </c>
      <c r="P56" s="323"/>
    </row>
    <row r="57" spans="1:16">
      <c r="A57" s="324" t="s">
        <v>730</v>
      </c>
      <c r="B57" s="320" t="s">
        <v>731</v>
      </c>
      <c r="C57" s="320" t="s">
        <v>272</v>
      </c>
      <c r="D57" s="320" t="s">
        <v>758</v>
      </c>
      <c r="E57" s="320" t="s">
        <v>96</v>
      </c>
      <c r="F57" s="340" t="s">
        <v>1061</v>
      </c>
      <c r="G57" s="342">
        <v>2017</v>
      </c>
      <c r="H57" s="323">
        <v>42</v>
      </c>
      <c r="I57" s="323">
        <v>9291.2000000000007</v>
      </c>
      <c r="J57" s="323">
        <v>0</v>
      </c>
      <c r="K57" s="323">
        <v>9291.2000000000007</v>
      </c>
      <c r="L57" s="323">
        <v>0</v>
      </c>
      <c r="M57" s="323">
        <v>9291.2000000000007</v>
      </c>
      <c r="N57" s="323">
        <v>0</v>
      </c>
      <c r="O57" s="323">
        <v>9291.2000000000007</v>
      </c>
      <c r="P57" s="323"/>
    </row>
    <row r="58" spans="1:16">
      <c r="A58" s="324" t="s">
        <v>730</v>
      </c>
      <c r="B58" s="320" t="s">
        <v>731</v>
      </c>
      <c r="C58" s="320" t="s">
        <v>272</v>
      </c>
      <c r="D58" s="320" t="s">
        <v>759</v>
      </c>
      <c r="E58" s="320" t="s">
        <v>96</v>
      </c>
      <c r="F58" s="343" t="s">
        <v>1061</v>
      </c>
      <c r="G58" s="342">
        <v>2017</v>
      </c>
      <c r="H58" s="322">
        <v>6</v>
      </c>
      <c r="I58" s="322">
        <v>0</v>
      </c>
      <c r="J58" s="323">
        <v>0</v>
      </c>
      <c r="K58" s="322">
        <v>0</v>
      </c>
      <c r="L58" s="323">
        <v>0</v>
      </c>
      <c r="M58" s="322">
        <v>0</v>
      </c>
      <c r="N58" s="323">
        <v>0</v>
      </c>
      <c r="O58" s="322">
        <v>0</v>
      </c>
      <c r="P58" s="323"/>
    </row>
    <row r="59" spans="1:16">
      <c r="A59" s="324" t="s">
        <v>730</v>
      </c>
      <c r="B59" s="320" t="s">
        <v>731</v>
      </c>
      <c r="C59" s="320" t="s">
        <v>272</v>
      </c>
      <c r="D59" s="320" t="s">
        <v>760</v>
      </c>
      <c r="E59" s="320" t="s">
        <v>96</v>
      </c>
      <c r="F59" s="343" t="s">
        <v>1061</v>
      </c>
      <c r="G59" s="342">
        <v>2017</v>
      </c>
      <c r="H59" s="322">
        <v>11</v>
      </c>
      <c r="I59" s="322">
        <v>0</v>
      </c>
      <c r="J59" s="323">
        <v>0</v>
      </c>
      <c r="K59" s="323">
        <v>0</v>
      </c>
      <c r="L59" s="323">
        <v>0</v>
      </c>
      <c r="M59" s="323">
        <v>0</v>
      </c>
      <c r="N59" s="323">
        <v>0</v>
      </c>
      <c r="O59" s="322">
        <v>0</v>
      </c>
      <c r="P59" s="323"/>
    </row>
    <row r="60" spans="1:16">
      <c r="A60" s="324" t="s">
        <v>730</v>
      </c>
      <c r="B60" s="320" t="s">
        <v>731</v>
      </c>
      <c r="C60" s="320" t="s">
        <v>272</v>
      </c>
      <c r="D60" s="320" t="s">
        <v>1064</v>
      </c>
      <c r="E60" s="320" t="s">
        <v>217</v>
      </c>
      <c r="F60" s="340" t="s">
        <v>1061</v>
      </c>
      <c r="G60" s="341">
        <v>2017</v>
      </c>
      <c r="H60" s="323">
        <v>105.8</v>
      </c>
      <c r="I60" s="323">
        <v>342692.45</v>
      </c>
      <c r="J60" s="323">
        <v>3972.19</v>
      </c>
      <c r="K60" s="323">
        <v>338720.25</v>
      </c>
      <c r="L60" s="323">
        <v>656.27</v>
      </c>
      <c r="M60" s="323">
        <v>338063.98</v>
      </c>
      <c r="N60" s="323">
        <v>0</v>
      </c>
      <c r="O60" s="323">
        <v>338063.98</v>
      </c>
      <c r="P60" s="323"/>
    </row>
    <row r="61" spans="1:16">
      <c r="A61" s="324" t="s">
        <v>730</v>
      </c>
      <c r="B61" s="320" t="s">
        <v>731</v>
      </c>
      <c r="C61" s="320" t="s">
        <v>272</v>
      </c>
      <c r="D61" s="320" t="s">
        <v>762</v>
      </c>
      <c r="E61" s="344" t="s">
        <v>4</v>
      </c>
      <c r="F61" s="340" t="s">
        <v>1061</v>
      </c>
      <c r="G61" s="341">
        <v>2017</v>
      </c>
      <c r="H61" s="323">
        <v>4500</v>
      </c>
      <c r="I61" s="323">
        <v>8513966.7100000009</v>
      </c>
      <c r="J61" s="323">
        <v>669305.63</v>
      </c>
      <c r="K61" s="323">
        <v>7844661.0800000001</v>
      </c>
      <c r="L61" s="323">
        <v>0</v>
      </c>
      <c r="M61" s="323">
        <v>7844661.0800000001</v>
      </c>
      <c r="N61" s="323">
        <v>0</v>
      </c>
      <c r="O61" s="323">
        <v>7844661.0800000001</v>
      </c>
      <c r="P61" s="323"/>
    </row>
    <row r="62" spans="1:16">
      <c r="A62" s="324" t="s">
        <v>730</v>
      </c>
      <c r="B62" s="320" t="s">
        <v>731</v>
      </c>
      <c r="C62" s="320" t="s">
        <v>272</v>
      </c>
      <c r="D62" s="320" t="s">
        <v>763</v>
      </c>
      <c r="E62" s="344" t="s">
        <v>755</v>
      </c>
      <c r="F62" s="340" t="s">
        <v>1061</v>
      </c>
      <c r="G62" s="341">
        <v>2017</v>
      </c>
      <c r="H62" s="323">
        <v>1332</v>
      </c>
      <c r="I62" s="323">
        <v>1982881</v>
      </c>
      <c r="J62" s="323">
        <v>55509.03</v>
      </c>
      <c r="K62" s="323">
        <v>1927371.97</v>
      </c>
      <c r="L62" s="323">
        <v>2409225.11</v>
      </c>
      <c r="M62" s="323">
        <v>-481853.14</v>
      </c>
      <c r="N62" s="323">
        <v>0</v>
      </c>
      <c r="O62" s="323">
        <v>-481853.14</v>
      </c>
      <c r="P62" s="323"/>
    </row>
    <row r="63" spans="1:16">
      <c r="A63" s="324" t="s">
        <v>730</v>
      </c>
      <c r="B63" s="320" t="s">
        <v>731</v>
      </c>
      <c r="C63" s="320" t="s">
        <v>272</v>
      </c>
      <c r="D63" s="320" t="s">
        <v>764</v>
      </c>
      <c r="E63" s="344" t="s">
        <v>4</v>
      </c>
      <c r="F63" s="340" t="s">
        <v>1061</v>
      </c>
      <c r="G63" s="341">
        <v>2017</v>
      </c>
      <c r="H63" s="323">
        <v>4800</v>
      </c>
      <c r="I63" s="323">
        <v>1530743.41</v>
      </c>
      <c r="J63" s="323">
        <v>151144.41</v>
      </c>
      <c r="K63" s="323">
        <v>1379599</v>
      </c>
      <c r="L63" s="323">
        <v>0</v>
      </c>
      <c r="M63" s="323">
        <v>1379599</v>
      </c>
      <c r="N63" s="323">
        <v>0</v>
      </c>
      <c r="O63" s="323">
        <v>1379599</v>
      </c>
      <c r="P63" s="323"/>
    </row>
    <row r="64" spans="1:16">
      <c r="A64" s="324" t="s">
        <v>861</v>
      </c>
      <c r="B64" s="320" t="s">
        <v>862</v>
      </c>
      <c r="C64" s="320" t="s">
        <v>416</v>
      </c>
      <c r="D64" s="320" t="s">
        <v>863</v>
      </c>
      <c r="E64" s="320" t="s">
        <v>779</v>
      </c>
      <c r="F64" s="340" t="s">
        <v>1061</v>
      </c>
      <c r="G64" s="342">
        <v>2017</v>
      </c>
      <c r="H64" s="323">
        <v>60</v>
      </c>
      <c r="I64" s="323">
        <v>121351.43</v>
      </c>
      <c r="J64" s="323">
        <v>0</v>
      </c>
      <c r="K64" s="323">
        <v>121351.43</v>
      </c>
      <c r="L64" s="323">
        <v>766.62</v>
      </c>
      <c r="M64" s="323">
        <v>120584.81</v>
      </c>
      <c r="N64" s="323">
        <v>0</v>
      </c>
      <c r="O64" s="323">
        <v>120584.81</v>
      </c>
      <c r="P64" s="323"/>
    </row>
    <row r="65" spans="1:16">
      <c r="A65" s="324" t="s">
        <v>864</v>
      </c>
      <c r="B65" s="320" t="s">
        <v>865</v>
      </c>
      <c r="C65" s="320" t="s">
        <v>416</v>
      </c>
      <c r="D65" s="320" t="s">
        <v>866</v>
      </c>
      <c r="E65" s="320" t="s">
        <v>779</v>
      </c>
      <c r="F65" s="340" t="s">
        <v>1061</v>
      </c>
      <c r="G65" s="341">
        <v>2017</v>
      </c>
      <c r="H65" s="323">
        <v>64</v>
      </c>
      <c r="I65" s="323">
        <v>143418.74</v>
      </c>
      <c r="J65" s="323">
        <v>1215.92</v>
      </c>
      <c r="K65" s="323">
        <v>142202.82</v>
      </c>
      <c r="L65" s="323">
        <v>0</v>
      </c>
      <c r="M65" s="323">
        <v>142202.82</v>
      </c>
      <c r="N65" s="323">
        <v>0</v>
      </c>
      <c r="O65" s="323">
        <v>142202.82</v>
      </c>
      <c r="P65" s="323"/>
    </row>
    <row r="66" spans="1:16">
      <c r="A66" s="324" t="s">
        <v>867</v>
      </c>
      <c r="B66" s="320" t="s">
        <v>868</v>
      </c>
      <c r="C66" s="320" t="s">
        <v>416</v>
      </c>
      <c r="D66" s="320" t="s">
        <v>869</v>
      </c>
      <c r="E66" s="320" t="s">
        <v>96</v>
      </c>
      <c r="F66" s="340" t="s">
        <v>1061</v>
      </c>
      <c r="G66" s="342">
        <v>2017</v>
      </c>
      <c r="H66" s="323">
        <v>2.5</v>
      </c>
      <c r="I66" s="323">
        <v>12971.92</v>
      </c>
      <c r="J66" s="323">
        <v>0</v>
      </c>
      <c r="K66" s="323">
        <v>12971.92</v>
      </c>
      <c r="L66" s="323">
        <v>0</v>
      </c>
      <c r="M66" s="323">
        <v>12971.92</v>
      </c>
      <c r="N66" s="323">
        <v>129.72</v>
      </c>
      <c r="O66" s="323">
        <v>12842.2</v>
      </c>
      <c r="P66" s="323"/>
    </row>
    <row r="67" spans="1:16">
      <c r="A67" s="324" t="s">
        <v>870</v>
      </c>
      <c r="B67" s="320" t="s">
        <v>871</v>
      </c>
      <c r="C67" s="320" t="s">
        <v>416</v>
      </c>
      <c r="D67" s="320" t="s">
        <v>872</v>
      </c>
      <c r="E67" s="320" t="s">
        <v>217</v>
      </c>
      <c r="F67" s="340" t="s">
        <v>1061</v>
      </c>
      <c r="G67" s="342">
        <v>2017</v>
      </c>
      <c r="H67" s="323">
        <v>111</v>
      </c>
      <c r="I67" s="323">
        <v>317019.86</v>
      </c>
      <c r="J67" s="323">
        <v>0</v>
      </c>
      <c r="K67" s="323">
        <v>317019.86</v>
      </c>
      <c r="L67" s="323">
        <v>209.88</v>
      </c>
      <c r="M67" s="323">
        <v>316809.98</v>
      </c>
      <c r="N67" s="323">
        <v>0</v>
      </c>
      <c r="O67" s="323">
        <v>316809.98</v>
      </c>
      <c r="P67" s="323"/>
    </row>
    <row r="68" spans="1:16">
      <c r="A68" s="324" t="s">
        <v>873</v>
      </c>
      <c r="B68" s="320" t="s">
        <v>874</v>
      </c>
      <c r="C68" s="320" t="s">
        <v>416</v>
      </c>
      <c r="D68" s="320" t="s">
        <v>875</v>
      </c>
      <c r="E68" s="320" t="s">
        <v>217</v>
      </c>
      <c r="F68" s="340" t="s">
        <v>1061</v>
      </c>
      <c r="G68" s="342">
        <v>2017</v>
      </c>
      <c r="H68" s="323">
        <v>59.8</v>
      </c>
      <c r="I68" s="323">
        <v>171057.89</v>
      </c>
      <c r="J68" s="323">
        <v>0</v>
      </c>
      <c r="K68" s="323">
        <v>171057.89</v>
      </c>
      <c r="L68" s="323">
        <v>456.45</v>
      </c>
      <c r="M68" s="323">
        <v>170601.43</v>
      </c>
      <c r="N68" s="323">
        <v>0</v>
      </c>
      <c r="O68" s="323">
        <v>170601.43</v>
      </c>
      <c r="P68" s="323"/>
    </row>
    <row r="69" spans="1:16">
      <c r="A69" s="324" t="s">
        <v>876</v>
      </c>
      <c r="B69" s="320" t="s">
        <v>877</v>
      </c>
      <c r="C69" s="320" t="s">
        <v>416</v>
      </c>
      <c r="D69" s="320" t="s">
        <v>878</v>
      </c>
      <c r="E69" s="320" t="s">
        <v>17</v>
      </c>
      <c r="F69" s="340" t="s">
        <v>1061</v>
      </c>
      <c r="G69" s="341">
        <v>2017</v>
      </c>
      <c r="H69" s="323">
        <v>2</v>
      </c>
      <c r="I69" s="323">
        <v>30259.7</v>
      </c>
      <c r="J69" s="323">
        <v>28593.16</v>
      </c>
      <c r="K69" s="323">
        <v>1666.54</v>
      </c>
      <c r="L69" s="323">
        <v>1949.52</v>
      </c>
      <c r="M69" s="322">
        <v>-282.98</v>
      </c>
      <c r="N69" s="323">
        <v>30542.68</v>
      </c>
      <c r="O69" s="323">
        <v>1666.54</v>
      </c>
      <c r="P69" s="323"/>
    </row>
    <row r="70" spans="1:16">
      <c r="A70" s="324" t="s">
        <v>879</v>
      </c>
      <c r="B70" s="320" t="s">
        <v>880</v>
      </c>
      <c r="C70" s="320" t="s">
        <v>416</v>
      </c>
      <c r="D70" s="320" t="s">
        <v>881</v>
      </c>
      <c r="E70" s="320" t="s">
        <v>779</v>
      </c>
      <c r="F70" s="340" t="s">
        <v>1061</v>
      </c>
      <c r="G70" s="342">
        <v>2017</v>
      </c>
      <c r="H70" s="323">
        <v>75</v>
      </c>
      <c r="I70" s="323">
        <v>182730.26</v>
      </c>
      <c r="J70" s="323">
        <v>0</v>
      </c>
      <c r="K70" s="323">
        <v>182730.26</v>
      </c>
      <c r="L70" s="323">
        <v>934.85</v>
      </c>
      <c r="M70" s="323">
        <v>181795.41</v>
      </c>
      <c r="N70" s="323">
        <v>37.97</v>
      </c>
      <c r="O70" s="323">
        <v>181757.44</v>
      </c>
      <c r="P70" s="323"/>
    </row>
    <row r="71" spans="1:16">
      <c r="A71" s="324" t="s">
        <v>882</v>
      </c>
      <c r="B71" s="320" t="s">
        <v>883</v>
      </c>
      <c r="C71" s="320" t="s">
        <v>416</v>
      </c>
      <c r="D71" s="320" t="s">
        <v>884</v>
      </c>
      <c r="E71" s="320" t="s">
        <v>217</v>
      </c>
      <c r="F71" s="340" t="s">
        <v>1061</v>
      </c>
      <c r="G71" s="342">
        <v>2017</v>
      </c>
      <c r="H71" s="323">
        <v>133.86000000000001</v>
      </c>
      <c r="I71" s="323">
        <v>443016.79</v>
      </c>
      <c r="J71" s="323">
        <v>0</v>
      </c>
      <c r="K71" s="323">
        <v>443016.79</v>
      </c>
      <c r="L71" s="323">
        <v>722.31</v>
      </c>
      <c r="M71" s="323">
        <v>442294.48</v>
      </c>
      <c r="N71" s="323">
        <v>0</v>
      </c>
      <c r="O71" s="323">
        <v>442294.48</v>
      </c>
      <c r="P71" s="322"/>
    </row>
    <row r="72" spans="1:16">
      <c r="A72" s="324" t="s">
        <v>885</v>
      </c>
      <c r="B72" s="320" t="s">
        <v>886</v>
      </c>
      <c r="C72" s="320" t="s">
        <v>416</v>
      </c>
      <c r="D72" s="320" t="s">
        <v>887</v>
      </c>
      <c r="E72" s="320" t="s">
        <v>775</v>
      </c>
      <c r="F72" s="340" t="s">
        <v>1061</v>
      </c>
      <c r="G72" s="341">
        <v>2017</v>
      </c>
      <c r="H72" s="323">
        <v>100</v>
      </c>
      <c r="I72" s="323">
        <v>238775.67999999999</v>
      </c>
      <c r="J72" s="323">
        <v>21012.84</v>
      </c>
      <c r="K72" s="323">
        <v>238775.67999999999</v>
      </c>
      <c r="L72" s="323">
        <v>11656.63</v>
      </c>
      <c r="M72" s="323">
        <v>217762.84</v>
      </c>
      <c r="N72" s="323">
        <v>21012.84</v>
      </c>
      <c r="O72" s="323">
        <v>217762.84</v>
      </c>
      <c r="P72" s="323"/>
    </row>
    <row r="73" spans="1:16">
      <c r="A73" s="324" t="s">
        <v>888</v>
      </c>
      <c r="B73" s="320" t="s">
        <v>889</v>
      </c>
      <c r="C73" s="320" t="s">
        <v>416</v>
      </c>
      <c r="D73" s="320" t="s">
        <v>890</v>
      </c>
      <c r="E73" s="320" t="s">
        <v>96</v>
      </c>
      <c r="F73" s="340" t="s">
        <v>1061</v>
      </c>
      <c r="G73" s="342">
        <v>2017</v>
      </c>
      <c r="H73" s="323">
        <v>10</v>
      </c>
      <c r="I73" s="323">
        <v>36574.58</v>
      </c>
      <c r="J73" s="323">
        <v>0</v>
      </c>
      <c r="K73" s="323">
        <v>36574.58</v>
      </c>
      <c r="L73" s="323">
        <v>9.34</v>
      </c>
      <c r="M73" s="323">
        <v>36524.639999999999</v>
      </c>
      <c r="N73" s="323">
        <v>0</v>
      </c>
      <c r="O73" s="323">
        <v>36314.639999999999</v>
      </c>
      <c r="P73" s="323"/>
    </row>
    <row r="74" spans="1:16">
      <c r="A74" s="324" t="s">
        <v>891</v>
      </c>
      <c r="B74" s="320" t="s">
        <v>892</v>
      </c>
      <c r="C74" s="320" t="s">
        <v>416</v>
      </c>
      <c r="D74" s="320" t="s">
        <v>893</v>
      </c>
      <c r="E74" s="320" t="s">
        <v>775</v>
      </c>
      <c r="F74" s="340" t="s">
        <v>1061</v>
      </c>
      <c r="G74" s="341">
        <v>2017</v>
      </c>
      <c r="H74" s="323">
        <v>50</v>
      </c>
      <c r="I74" s="323">
        <v>85288.7</v>
      </c>
      <c r="J74" s="323">
        <v>6936.13</v>
      </c>
      <c r="K74" s="323">
        <v>78352.56</v>
      </c>
      <c r="L74" s="323">
        <v>7552.37</v>
      </c>
      <c r="M74" s="323">
        <v>70800.2</v>
      </c>
      <c r="N74" s="323">
        <v>14488.5</v>
      </c>
      <c r="O74" s="323">
        <v>78352.56</v>
      </c>
      <c r="P74" s="323"/>
    </row>
    <row r="75" spans="1:16">
      <c r="A75" s="324" t="s">
        <v>894</v>
      </c>
      <c r="B75" s="320" t="s">
        <v>895</v>
      </c>
      <c r="C75" s="320" t="s">
        <v>416</v>
      </c>
      <c r="D75" s="320" t="s">
        <v>896</v>
      </c>
      <c r="E75" s="320" t="s">
        <v>217</v>
      </c>
      <c r="F75" s="340" t="s">
        <v>1061</v>
      </c>
      <c r="G75" s="342">
        <v>2017</v>
      </c>
      <c r="H75" s="323">
        <v>27</v>
      </c>
      <c r="I75" s="323">
        <v>85211.87</v>
      </c>
      <c r="J75" s="323">
        <v>134.65</v>
      </c>
      <c r="K75" s="323">
        <v>85211.87</v>
      </c>
      <c r="L75" s="323">
        <v>134.65</v>
      </c>
      <c r="M75" s="323">
        <v>85211.87</v>
      </c>
      <c r="N75" s="323">
        <v>134.65</v>
      </c>
      <c r="O75" s="323">
        <v>85211.87</v>
      </c>
      <c r="P75" s="323"/>
    </row>
    <row r="76" spans="1:16">
      <c r="A76" s="324" t="s">
        <v>946</v>
      </c>
      <c r="B76" s="320" t="s">
        <v>947</v>
      </c>
      <c r="C76" s="320" t="s">
        <v>416</v>
      </c>
      <c r="D76" s="320" t="s">
        <v>948</v>
      </c>
      <c r="E76" s="320" t="s">
        <v>217</v>
      </c>
      <c r="F76" s="340" t="s">
        <v>1061</v>
      </c>
      <c r="G76" s="342">
        <v>2017</v>
      </c>
      <c r="H76" s="323">
        <v>80</v>
      </c>
      <c r="I76" s="323">
        <v>271094.77</v>
      </c>
      <c r="J76" s="323">
        <v>0</v>
      </c>
      <c r="K76" s="323">
        <v>271094.77</v>
      </c>
      <c r="L76" s="323">
        <v>85.97</v>
      </c>
      <c r="M76" s="323">
        <v>271008.8</v>
      </c>
      <c r="N76" s="323">
        <v>0</v>
      </c>
      <c r="O76" s="323">
        <v>271008.8</v>
      </c>
      <c r="P76" s="323"/>
    </row>
    <row r="77" spans="1:16">
      <c r="A77" s="324" t="s">
        <v>897</v>
      </c>
      <c r="B77" s="320" t="s">
        <v>898</v>
      </c>
      <c r="C77" s="320" t="s">
        <v>416</v>
      </c>
      <c r="D77" s="320" t="s">
        <v>898</v>
      </c>
      <c r="E77" s="320" t="s">
        <v>779</v>
      </c>
      <c r="F77" s="340" t="s">
        <v>1061</v>
      </c>
      <c r="G77" s="342">
        <v>2017</v>
      </c>
      <c r="H77" s="323">
        <v>10</v>
      </c>
      <c r="I77" s="323">
        <v>21585.01</v>
      </c>
      <c r="J77" s="323">
        <v>0</v>
      </c>
      <c r="K77" s="323">
        <v>21585.01</v>
      </c>
      <c r="L77" s="323">
        <v>82.26</v>
      </c>
      <c r="M77" s="323">
        <v>21502.75</v>
      </c>
      <c r="N77" s="323">
        <v>30.86</v>
      </c>
      <c r="O77" s="323">
        <v>21585.01</v>
      </c>
      <c r="P77" s="323"/>
    </row>
    <row r="78" spans="1:16">
      <c r="A78" s="324" t="s">
        <v>899</v>
      </c>
      <c r="B78" s="320" t="s">
        <v>900</v>
      </c>
      <c r="C78" s="320" t="s">
        <v>416</v>
      </c>
      <c r="D78" s="320" t="s">
        <v>901</v>
      </c>
      <c r="E78" s="320" t="s">
        <v>96</v>
      </c>
      <c r="F78" s="343" t="s">
        <v>1061</v>
      </c>
      <c r="G78" s="341">
        <v>2017</v>
      </c>
      <c r="H78" s="323">
        <v>2.42</v>
      </c>
      <c r="I78" s="323">
        <v>0</v>
      </c>
      <c r="J78" s="323">
        <v>-51571</v>
      </c>
      <c r="K78" s="323">
        <v>51571</v>
      </c>
      <c r="L78" s="323">
        <v>-4533946</v>
      </c>
      <c r="M78" s="323">
        <v>4585517</v>
      </c>
      <c r="N78" s="323">
        <v>4585517</v>
      </c>
      <c r="O78" s="322">
        <v>0</v>
      </c>
      <c r="P78" s="323"/>
    </row>
    <row r="79" spans="1:16">
      <c r="A79" s="324" t="s">
        <v>902</v>
      </c>
      <c r="B79" s="320" t="s">
        <v>903</v>
      </c>
      <c r="C79" s="320" t="s">
        <v>416</v>
      </c>
      <c r="D79" s="320" t="s">
        <v>904</v>
      </c>
      <c r="E79" s="320" t="s">
        <v>217</v>
      </c>
      <c r="F79" s="340" t="s">
        <v>1061</v>
      </c>
      <c r="G79" s="341">
        <v>2017</v>
      </c>
      <c r="H79" s="323">
        <v>138.96</v>
      </c>
      <c r="I79" s="323">
        <v>104867.89</v>
      </c>
      <c r="J79" s="323">
        <v>2997.61</v>
      </c>
      <c r="K79" s="323">
        <v>101870.27</v>
      </c>
      <c r="L79" s="323">
        <v>44.9</v>
      </c>
      <c r="M79" s="323">
        <v>101825.37</v>
      </c>
      <c r="N79" s="322">
        <v>0</v>
      </c>
      <c r="O79" s="323">
        <v>101905.73</v>
      </c>
      <c r="P79" s="322"/>
    </row>
    <row r="80" spans="1:16">
      <c r="A80" s="324" t="s">
        <v>905</v>
      </c>
      <c r="B80" s="320" t="s">
        <v>906</v>
      </c>
      <c r="C80" s="320" t="s">
        <v>416</v>
      </c>
      <c r="D80" s="320" t="s">
        <v>907</v>
      </c>
      <c r="E80" s="320" t="s">
        <v>217</v>
      </c>
      <c r="F80" s="340" t="s">
        <v>1061</v>
      </c>
      <c r="G80" s="341">
        <v>2017</v>
      </c>
      <c r="H80" s="323">
        <v>96.48</v>
      </c>
      <c r="I80" s="323">
        <v>81451.95</v>
      </c>
      <c r="J80" s="323">
        <v>2636.37</v>
      </c>
      <c r="K80" s="323">
        <v>78815.59</v>
      </c>
      <c r="L80" s="323">
        <v>59.94</v>
      </c>
      <c r="M80" s="323">
        <v>78755.649999999994</v>
      </c>
      <c r="N80" s="323">
        <v>0</v>
      </c>
      <c r="O80" s="323">
        <v>78822.67</v>
      </c>
      <c r="P80" s="323"/>
    </row>
    <row r="81" spans="1:16">
      <c r="A81" s="324" t="s">
        <v>908</v>
      </c>
      <c r="B81" s="320" t="s">
        <v>909</v>
      </c>
      <c r="C81" s="320" t="s">
        <v>416</v>
      </c>
      <c r="D81" s="320" t="s">
        <v>910</v>
      </c>
      <c r="E81" s="320" t="s">
        <v>9</v>
      </c>
      <c r="F81" s="340" t="s">
        <v>1061</v>
      </c>
      <c r="G81" s="342">
        <v>2017</v>
      </c>
      <c r="H81" s="323">
        <v>4.25</v>
      </c>
      <c r="I81" s="323">
        <v>15327.49</v>
      </c>
      <c r="J81" s="323">
        <v>0</v>
      </c>
      <c r="K81" s="323">
        <v>15327.49</v>
      </c>
      <c r="L81" s="323">
        <v>543.47</v>
      </c>
      <c r="M81" s="323">
        <v>14784.02</v>
      </c>
      <c r="N81" s="323">
        <v>0</v>
      </c>
      <c r="O81" s="323">
        <v>14784.02</v>
      </c>
      <c r="P81" s="323"/>
    </row>
    <row r="82" spans="1:16">
      <c r="A82" s="324" t="s">
        <v>911</v>
      </c>
      <c r="B82" s="320" t="s">
        <v>912</v>
      </c>
      <c r="C82" s="320" t="s">
        <v>416</v>
      </c>
      <c r="D82" s="320" t="s">
        <v>913</v>
      </c>
      <c r="E82" s="320" t="s">
        <v>914</v>
      </c>
      <c r="F82" s="340" t="s">
        <v>1061</v>
      </c>
      <c r="G82" s="342">
        <v>2017</v>
      </c>
      <c r="H82" s="323">
        <v>75</v>
      </c>
      <c r="I82" s="323">
        <v>830203.11</v>
      </c>
      <c r="J82" s="323">
        <v>0</v>
      </c>
      <c r="K82" s="323">
        <v>830203.11</v>
      </c>
      <c r="L82" s="323">
        <v>138922.29</v>
      </c>
      <c r="M82" s="323">
        <v>969125.41</v>
      </c>
      <c r="N82" s="323">
        <v>781865.45</v>
      </c>
      <c r="O82" s="323">
        <v>187731.61</v>
      </c>
      <c r="P82" s="323"/>
    </row>
    <row r="83" spans="1:16">
      <c r="A83" s="324" t="s">
        <v>915</v>
      </c>
      <c r="B83" s="320" t="s">
        <v>916</v>
      </c>
      <c r="C83" s="320" t="s">
        <v>416</v>
      </c>
      <c r="D83" s="320" t="s">
        <v>917</v>
      </c>
      <c r="E83" s="320" t="s">
        <v>918</v>
      </c>
      <c r="F83" s="340" t="s">
        <v>1061</v>
      </c>
      <c r="G83" s="342">
        <v>2017</v>
      </c>
      <c r="H83" s="323">
        <v>5.0999999999999996</v>
      </c>
      <c r="I83" s="323">
        <v>10391</v>
      </c>
      <c r="J83" s="323">
        <v>0</v>
      </c>
      <c r="K83" s="323">
        <v>10391</v>
      </c>
      <c r="L83" s="323">
        <v>83507</v>
      </c>
      <c r="M83" s="323">
        <v>0</v>
      </c>
      <c r="N83" s="323">
        <v>93898</v>
      </c>
      <c r="O83" s="323">
        <v>0</v>
      </c>
      <c r="P83" s="323"/>
    </row>
    <row r="84" spans="1:16">
      <c r="A84" s="324" t="s">
        <v>919</v>
      </c>
      <c r="B84" s="320" t="s">
        <v>920</v>
      </c>
      <c r="C84" s="320" t="s">
        <v>416</v>
      </c>
      <c r="D84" s="320" t="s">
        <v>921</v>
      </c>
      <c r="E84" s="320" t="s">
        <v>779</v>
      </c>
      <c r="F84" s="340" t="s">
        <v>1061</v>
      </c>
      <c r="G84" s="342">
        <v>2017</v>
      </c>
      <c r="H84" s="323">
        <v>10</v>
      </c>
      <c r="I84" s="323">
        <v>20717.61</v>
      </c>
      <c r="J84" s="323">
        <v>0</v>
      </c>
      <c r="K84" s="323">
        <v>20717.61</v>
      </c>
      <c r="L84" s="323">
        <v>142.68</v>
      </c>
      <c r="M84" s="323">
        <v>20717.61</v>
      </c>
      <c r="N84" s="322">
        <v>113.73</v>
      </c>
      <c r="O84" s="323">
        <v>20717.61</v>
      </c>
      <c r="P84" s="322"/>
    </row>
    <row r="85" spans="1:16">
      <c r="A85" s="324" t="s">
        <v>922</v>
      </c>
      <c r="B85" s="320" t="s">
        <v>923</v>
      </c>
      <c r="C85" s="320" t="s">
        <v>416</v>
      </c>
      <c r="D85" s="320" t="s">
        <v>923</v>
      </c>
      <c r="E85" s="320" t="s">
        <v>779</v>
      </c>
      <c r="F85" s="340" t="s">
        <v>1061</v>
      </c>
      <c r="G85" s="342">
        <v>2017</v>
      </c>
      <c r="H85" s="323">
        <v>20</v>
      </c>
      <c r="I85" s="323">
        <v>41982.51</v>
      </c>
      <c r="J85" s="323">
        <v>0</v>
      </c>
      <c r="K85" s="323">
        <v>41982.51</v>
      </c>
      <c r="L85" s="323">
        <v>300.76</v>
      </c>
      <c r="M85" s="323">
        <v>41982.51</v>
      </c>
      <c r="N85" s="323">
        <v>192.06</v>
      </c>
      <c r="O85" s="323">
        <v>41982.51</v>
      </c>
      <c r="P85" s="323"/>
    </row>
    <row r="86" spans="1:16">
      <c r="A86" s="324" t="s">
        <v>924</v>
      </c>
      <c r="B86" s="320" t="s">
        <v>925</v>
      </c>
      <c r="C86" s="320" t="s">
        <v>416</v>
      </c>
      <c r="D86" s="320" t="s">
        <v>926</v>
      </c>
      <c r="E86" s="320" t="s">
        <v>779</v>
      </c>
      <c r="F86" s="340" t="s">
        <v>1061</v>
      </c>
      <c r="G86" s="342">
        <v>2017</v>
      </c>
      <c r="H86" s="323">
        <v>75</v>
      </c>
      <c r="I86" s="323">
        <v>170023.99</v>
      </c>
      <c r="J86" s="323">
        <v>0</v>
      </c>
      <c r="K86" s="323">
        <v>170023.99</v>
      </c>
      <c r="L86" s="323">
        <v>727.67</v>
      </c>
      <c r="M86" s="323">
        <v>170023.99</v>
      </c>
      <c r="N86" s="323">
        <v>0</v>
      </c>
      <c r="O86" s="323">
        <v>170023.99</v>
      </c>
      <c r="P86" s="323"/>
    </row>
    <row r="87" spans="1:16">
      <c r="A87" s="324" t="s">
        <v>927</v>
      </c>
      <c r="B87" s="320" t="s">
        <v>928</v>
      </c>
      <c r="C87" s="320" t="s">
        <v>818</v>
      </c>
      <c r="D87" s="320" t="s">
        <v>929</v>
      </c>
      <c r="E87" s="320" t="s">
        <v>9</v>
      </c>
      <c r="F87" s="343" t="s">
        <v>1061</v>
      </c>
      <c r="G87" s="342">
        <v>2017</v>
      </c>
      <c r="H87" s="322">
        <v>40</v>
      </c>
      <c r="I87" s="322">
        <v>0</v>
      </c>
      <c r="J87" s="323">
        <v>0</v>
      </c>
      <c r="K87" s="322">
        <v>0</v>
      </c>
      <c r="L87" s="323">
        <v>3.24</v>
      </c>
      <c r="M87" s="322">
        <v>-3.24</v>
      </c>
      <c r="N87" s="323">
        <v>3.24</v>
      </c>
      <c r="O87" s="322">
        <v>0</v>
      </c>
      <c r="P87" s="323"/>
    </row>
    <row r="88" spans="1:16">
      <c r="A88" s="324" t="s">
        <v>930</v>
      </c>
      <c r="B88" s="320" t="s">
        <v>931</v>
      </c>
      <c r="C88" s="320" t="s">
        <v>416</v>
      </c>
      <c r="D88" s="320" t="s">
        <v>932</v>
      </c>
      <c r="E88" s="320" t="s">
        <v>9</v>
      </c>
      <c r="F88" s="340" t="s">
        <v>1061</v>
      </c>
      <c r="G88" s="342">
        <v>2017</v>
      </c>
      <c r="H88" s="323">
        <v>13</v>
      </c>
      <c r="I88" s="323">
        <v>4330.3900000000003</v>
      </c>
      <c r="J88" s="323">
        <v>0</v>
      </c>
      <c r="K88" s="323">
        <v>4330.3900000000003</v>
      </c>
      <c r="L88" s="323">
        <v>0</v>
      </c>
      <c r="M88" s="323">
        <v>4330.3900000000003</v>
      </c>
      <c r="N88" s="322">
        <v>0</v>
      </c>
      <c r="O88" s="323">
        <v>4330.3900000000003</v>
      </c>
      <c r="P88" s="322"/>
    </row>
    <row r="89" spans="1:16">
      <c r="A89" s="324" t="s">
        <v>769</v>
      </c>
      <c r="B89" s="320" t="s">
        <v>770</v>
      </c>
      <c r="C89" s="320" t="s">
        <v>416</v>
      </c>
      <c r="D89" s="320" t="s">
        <v>771</v>
      </c>
      <c r="E89" s="320" t="s">
        <v>217</v>
      </c>
      <c r="F89" s="340" t="s">
        <v>1061</v>
      </c>
      <c r="G89" s="342">
        <v>2017</v>
      </c>
      <c r="H89" s="323">
        <v>86.6</v>
      </c>
      <c r="I89" s="323">
        <v>250053.76000000001</v>
      </c>
      <c r="J89" s="323">
        <v>0</v>
      </c>
      <c r="K89" s="323">
        <v>250053.76000000001</v>
      </c>
      <c r="L89" s="323">
        <v>384.19</v>
      </c>
      <c r="M89" s="323">
        <v>249669.57</v>
      </c>
      <c r="N89" s="322">
        <v>0</v>
      </c>
      <c r="O89" s="323">
        <v>249669.57</v>
      </c>
      <c r="P89" s="322"/>
    </row>
    <row r="90" spans="1:16">
      <c r="A90" s="324" t="s">
        <v>933</v>
      </c>
      <c r="B90" s="320" t="s">
        <v>934</v>
      </c>
      <c r="C90" s="320" t="s">
        <v>416</v>
      </c>
      <c r="D90" s="320" t="s">
        <v>935</v>
      </c>
      <c r="E90" s="320" t="s">
        <v>779</v>
      </c>
      <c r="F90" s="340" t="s">
        <v>1061</v>
      </c>
      <c r="G90" s="341">
        <v>2017</v>
      </c>
      <c r="H90" s="323">
        <v>64</v>
      </c>
      <c r="I90" s="323">
        <v>150559.63</v>
      </c>
      <c r="J90" s="323">
        <v>1170.0999999999999</v>
      </c>
      <c r="K90" s="323">
        <v>149389.53</v>
      </c>
      <c r="L90" s="323">
        <v>0</v>
      </c>
      <c r="M90" s="323">
        <v>149389.53</v>
      </c>
      <c r="N90" s="323">
        <v>0</v>
      </c>
      <c r="O90" s="323">
        <v>149389.53</v>
      </c>
      <c r="P90" s="323"/>
    </row>
    <row r="91" spans="1:16">
      <c r="A91" s="324" t="s">
        <v>936</v>
      </c>
      <c r="B91" s="320" t="s">
        <v>937</v>
      </c>
      <c r="C91" s="320" t="s">
        <v>416</v>
      </c>
      <c r="D91" s="320" t="s">
        <v>938</v>
      </c>
      <c r="E91" s="320" t="s">
        <v>9</v>
      </c>
      <c r="F91" s="340" t="s">
        <v>1061</v>
      </c>
      <c r="G91" s="342">
        <v>2017</v>
      </c>
      <c r="H91" s="323">
        <v>10.7</v>
      </c>
      <c r="I91" s="323">
        <v>7454.78</v>
      </c>
      <c r="J91" s="323">
        <v>399.29</v>
      </c>
      <c r="K91" s="323">
        <v>7055.49</v>
      </c>
      <c r="L91" s="323">
        <v>0</v>
      </c>
      <c r="M91" s="323">
        <v>7055.49</v>
      </c>
      <c r="N91" s="322">
        <v>0</v>
      </c>
      <c r="O91" s="323">
        <v>7055.49</v>
      </c>
      <c r="P91" s="322"/>
    </row>
    <row r="92" spans="1:16">
      <c r="A92" s="324" t="s">
        <v>939</v>
      </c>
      <c r="B92" s="320" t="s">
        <v>940</v>
      </c>
      <c r="C92" s="320" t="s">
        <v>416</v>
      </c>
      <c r="D92" s="320" t="s">
        <v>941</v>
      </c>
      <c r="E92" s="320" t="s">
        <v>779</v>
      </c>
      <c r="F92" s="340" t="s">
        <v>1061</v>
      </c>
      <c r="G92" s="342">
        <v>2017</v>
      </c>
      <c r="H92" s="323">
        <v>75</v>
      </c>
      <c r="I92" s="323">
        <v>146726.67000000001</v>
      </c>
      <c r="J92" s="323">
        <v>0</v>
      </c>
      <c r="K92" s="323">
        <v>146726.67000000001</v>
      </c>
      <c r="L92" s="323">
        <v>1073.08</v>
      </c>
      <c r="M92" s="323">
        <v>145653.59</v>
      </c>
      <c r="N92" s="323">
        <v>0</v>
      </c>
      <c r="O92" s="323">
        <v>145653.59</v>
      </c>
      <c r="P92" s="323"/>
    </row>
    <row r="93" spans="1:16">
      <c r="A93" s="324" t="s">
        <v>942</v>
      </c>
      <c r="B93" s="320" t="s">
        <v>943</v>
      </c>
      <c r="C93" s="320" t="s">
        <v>416</v>
      </c>
      <c r="D93" s="320" t="s">
        <v>1065</v>
      </c>
      <c r="E93" s="320" t="s">
        <v>944</v>
      </c>
      <c r="F93" s="340" t="s">
        <v>1061</v>
      </c>
      <c r="G93" s="342">
        <v>2017</v>
      </c>
      <c r="H93" s="323">
        <v>4</v>
      </c>
      <c r="I93" s="323">
        <v>60857</v>
      </c>
      <c r="J93" s="323">
        <v>0</v>
      </c>
      <c r="K93" s="323">
        <v>60857</v>
      </c>
      <c r="L93" s="323">
        <v>8144</v>
      </c>
      <c r="M93" s="323">
        <v>55423</v>
      </c>
      <c r="N93" s="323">
        <v>66006</v>
      </c>
      <c r="O93" s="323">
        <v>2996</v>
      </c>
      <c r="P93" s="323"/>
    </row>
    <row r="94" spans="1:16">
      <c r="A94" s="324" t="s">
        <v>942</v>
      </c>
      <c r="B94" s="320" t="s">
        <v>943</v>
      </c>
      <c r="C94" s="320" t="s">
        <v>416</v>
      </c>
      <c r="D94" s="320" t="s">
        <v>1066</v>
      </c>
      <c r="E94" s="320" t="s">
        <v>944</v>
      </c>
      <c r="F94" s="340" t="s">
        <v>1061</v>
      </c>
      <c r="G94" s="342">
        <v>2017</v>
      </c>
      <c r="H94" s="323">
        <v>3.5</v>
      </c>
      <c r="I94" s="323">
        <v>85537.72</v>
      </c>
      <c r="J94" s="323">
        <v>0</v>
      </c>
      <c r="K94" s="323">
        <v>85555</v>
      </c>
      <c r="L94" s="323">
        <v>3482.9</v>
      </c>
      <c r="M94" s="323">
        <v>82072.100000000006</v>
      </c>
      <c r="N94" s="323">
        <v>71474.2</v>
      </c>
      <c r="O94" s="323">
        <v>14175.86</v>
      </c>
      <c r="P94" s="323"/>
    </row>
    <row r="95" spans="1:16">
      <c r="A95" s="324" t="s">
        <v>949</v>
      </c>
      <c r="B95" s="320" t="s">
        <v>950</v>
      </c>
      <c r="C95" s="320" t="s">
        <v>416</v>
      </c>
      <c r="D95" s="320" t="s">
        <v>951</v>
      </c>
      <c r="E95" s="320" t="s">
        <v>779</v>
      </c>
      <c r="F95" s="340" t="s">
        <v>1061</v>
      </c>
      <c r="G95" s="341">
        <v>2017</v>
      </c>
      <c r="H95" s="323">
        <v>75</v>
      </c>
      <c r="I95" s="323">
        <v>186582.83</v>
      </c>
      <c r="J95" s="323">
        <v>2012.07</v>
      </c>
      <c r="K95" s="323">
        <v>184570.76</v>
      </c>
      <c r="L95" s="323">
        <v>2306.83</v>
      </c>
      <c r="M95" s="323">
        <v>172427.45</v>
      </c>
      <c r="N95" s="323">
        <v>151.15</v>
      </c>
      <c r="O95" s="323">
        <v>179586.88</v>
      </c>
      <c r="P95" s="323"/>
    </row>
    <row r="96" spans="1:16">
      <c r="A96" s="324" t="s">
        <v>952</v>
      </c>
      <c r="B96" s="320" t="s">
        <v>953</v>
      </c>
      <c r="C96" s="320" t="s">
        <v>416</v>
      </c>
      <c r="D96" s="320" t="s">
        <v>954</v>
      </c>
      <c r="E96" s="320" t="s">
        <v>217</v>
      </c>
      <c r="F96" s="340" t="s">
        <v>1061</v>
      </c>
      <c r="G96" s="342">
        <v>2017</v>
      </c>
      <c r="H96" s="323">
        <v>138.6</v>
      </c>
      <c r="I96" s="323">
        <v>329489.95</v>
      </c>
      <c r="J96" s="323">
        <v>0</v>
      </c>
      <c r="K96" s="323">
        <v>329489.95</v>
      </c>
      <c r="L96" s="323">
        <v>1403.95</v>
      </c>
      <c r="M96" s="323">
        <v>329489.95</v>
      </c>
      <c r="N96" s="323">
        <v>0</v>
      </c>
      <c r="O96" s="323">
        <v>321318.71000000002</v>
      </c>
      <c r="P96" s="323"/>
    </row>
    <row r="97" spans="1:16">
      <c r="A97" s="324" t="s">
        <v>955</v>
      </c>
      <c r="B97" s="320" t="s">
        <v>956</v>
      </c>
      <c r="C97" s="320" t="s">
        <v>416</v>
      </c>
      <c r="D97" s="320" t="s">
        <v>957</v>
      </c>
      <c r="E97" s="320" t="s">
        <v>217</v>
      </c>
      <c r="F97" s="340" t="s">
        <v>1061</v>
      </c>
      <c r="G97" s="342">
        <v>2017</v>
      </c>
      <c r="H97" s="323">
        <v>27</v>
      </c>
      <c r="I97" s="323">
        <v>71416.5</v>
      </c>
      <c r="J97" s="323">
        <v>0</v>
      </c>
      <c r="K97" s="323">
        <v>71416.5</v>
      </c>
      <c r="L97" s="323">
        <v>88.84</v>
      </c>
      <c r="M97" s="323">
        <v>71327.66</v>
      </c>
      <c r="N97" s="323">
        <v>0</v>
      </c>
      <c r="O97" s="323">
        <v>71416.5</v>
      </c>
      <c r="P97" s="323"/>
    </row>
    <row r="98" spans="1:16">
      <c r="A98" s="324" t="s">
        <v>958</v>
      </c>
      <c r="B98" s="320" t="s">
        <v>959</v>
      </c>
      <c r="C98" s="320" t="s">
        <v>416</v>
      </c>
      <c r="D98" s="320" t="s">
        <v>959</v>
      </c>
      <c r="E98" s="320" t="s">
        <v>779</v>
      </c>
      <c r="F98" s="340" t="s">
        <v>1061</v>
      </c>
      <c r="G98" s="342">
        <v>2017</v>
      </c>
      <c r="H98" s="323">
        <v>7</v>
      </c>
      <c r="I98" s="323">
        <v>11919.71</v>
      </c>
      <c r="J98" s="323">
        <v>0</v>
      </c>
      <c r="K98" s="323">
        <v>11919.71</v>
      </c>
      <c r="L98" s="323">
        <v>0</v>
      </c>
      <c r="M98" s="323">
        <v>11919.71</v>
      </c>
      <c r="N98" s="323">
        <v>0</v>
      </c>
      <c r="O98" s="323">
        <v>11919.71</v>
      </c>
      <c r="P98" s="323"/>
    </row>
    <row r="99" spans="1:16">
      <c r="A99" s="324" t="s">
        <v>961</v>
      </c>
      <c r="B99" s="320" t="s">
        <v>962</v>
      </c>
      <c r="C99" s="320" t="s">
        <v>416</v>
      </c>
      <c r="D99" s="320" t="s">
        <v>963</v>
      </c>
      <c r="E99" s="320" t="s">
        <v>779</v>
      </c>
      <c r="F99" s="340" t="s">
        <v>1061</v>
      </c>
      <c r="G99" s="342">
        <v>2017</v>
      </c>
      <c r="H99" s="323">
        <v>48.5</v>
      </c>
      <c r="I99" s="323">
        <v>97408.2</v>
      </c>
      <c r="J99" s="323">
        <v>0</v>
      </c>
      <c r="K99" s="323">
        <v>97408.2</v>
      </c>
      <c r="L99" s="323">
        <v>599.20000000000005</v>
      </c>
      <c r="M99" s="323">
        <v>96809</v>
      </c>
      <c r="N99" s="323">
        <v>0</v>
      </c>
      <c r="O99" s="323">
        <v>96809</v>
      </c>
      <c r="P99" s="323"/>
    </row>
    <row r="100" spans="1:16">
      <c r="A100" s="324" t="s">
        <v>964</v>
      </c>
      <c r="B100" s="320" t="s">
        <v>965</v>
      </c>
      <c r="C100" s="320" t="s">
        <v>416</v>
      </c>
      <c r="D100" s="320" t="s">
        <v>966</v>
      </c>
      <c r="E100" s="320" t="s">
        <v>779</v>
      </c>
      <c r="F100" s="340" t="s">
        <v>1061</v>
      </c>
      <c r="G100" s="342">
        <v>2017</v>
      </c>
      <c r="H100" s="323">
        <v>48.5</v>
      </c>
      <c r="I100" s="323">
        <v>91830.39</v>
      </c>
      <c r="J100" s="323">
        <v>0</v>
      </c>
      <c r="K100" s="323">
        <v>91830.39</v>
      </c>
      <c r="L100" s="323">
        <v>576.67999999999995</v>
      </c>
      <c r="M100" s="323">
        <v>91253.72</v>
      </c>
      <c r="N100" s="323">
        <v>0</v>
      </c>
      <c r="O100" s="323">
        <v>91253.72</v>
      </c>
      <c r="P100" s="323"/>
    </row>
    <row r="101" spans="1:16">
      <c r="A101" s="324" t="s">
        <v>967</v>
      </c>
      <c r="B101" s="320" t="s">
        <v>968</v>
      </c>
      <c r="C101" s="320" t="s">
        <v>416</v>
      </c>
      <c r="D101" s="320" t="s">
        <v>969</v>
      </c>
      <c r="E101" s="320" t="s">
        <v>217</v>
      </c>
      <c r="F101" s="340" t="s">
        <v>1061</v>
      </c>
      <c r="G101" s="342">
        <v>2017</v>
      </c>
      <c r="H101" s="323">
        <v>138</v>
      </c>
      <c r="I101" s="323">
        <v>40357.99</v>
      </c>
      <c r="J101" s="323">
        <v>0</v>
      </c>
      <c r="K101" s="323">
        <v>40357.99</v>
      </c>
      <c r="L101" s="323">
        <v>18.79</v>
      </c>
      <c r="M101" s="323">
        <v>40339.21</v>
      </c>
      <c r="N101" s="323">
        <v>0</v>
      </c>
      <c r="O101" s="323">
        <v>40339.21</v>
      </c>
      <c r="P101" s="323"/>
    </row>
    <row r="102" spans="1:16">
      <c r="A102" s="324" t="s">
        <v>970</v>
      </c>
      <c r="B102" s="320" t="s">
        <v>971</v>
      </c>
      <c r="C102" s="320" t="s">
        <v>416</v>
      </c>
      <c r="D102" s="320" t="s">
        <v>972</v>
      </c>
      <c r="E102" s="320" t="s">
        <v>217</v>
      </c>
      <c r="F102" s="340" t="s">
        <v>1061</v>
      </c>
      <c r="G102" s="342">
        <v>2017</v>
      </c>
      <c r="H102" s="323">
        <v>138.22999999999999</v>
      </c>
      <c r="I102" s="323">
        <v>41138.54</v>
      </c>
      <c r="J102" s="323">
        <v>0</v>
      </c>
      <c r="K102" s="323">
        <v>41138.54</v>
      </c>
      <c r="L102" s="323">
        <v>25.31</v>
      </c>
      <c r="M102" s="323">
        <v>41113.230000000003</v>
      </c>
      <c r="N102" s="323">
        <v>0</v>
      </c>
      <c r="O102" s="323">
        <v>41113.230000000003</v>
      </c>
      <c r="P102" s="323"/>
    </row>
    <row r="103" spans="1:16">
      <c r="A103" s="324" t="s">
        <v>973</v>
      </c>
      <c r="B103" s="320" t="s">
        <v>974</v>
      </c>
      <c r="C103" s="320" t="s">
        <v>416</v>
      </c>
      <c r="D103" s="320" t="s">
        <v>975</v>
      </c>
      <c r="E103" s="320" t="s">
        <v>217</v>
      </c>
      <c r="F103" s="340" t="s">
        <v>1061</v>
      </c>
      <c r="G103" s="342">
        <v>2017</v>
      </c>
      <c r="H103" s="323">
        <v>79.05</v>
      </c>
      <c r="I103" s="323">
        <v>293126.17</v>
      </c>
      <c r="J103" s="323">
        <v>220.59</v>
      </c>
      <c r="K103" s="323">
        <v>292905.58</v>
      </c>
      <c r="L103" s="323">
        <v>222.57</v>
      </c>
      <c r="M103" s="323">
        <v>292683.01</v>
      </c>
      <c r="N103" s="323">
        <v>0</v>
      </c>
      <c r="O103" s="323">
        <v>292683.01</v>
      </c>
      <c r="P103" s="323"/>
    </row>
    <row r="104" spans="1:16">
      <c r="A104" s="324" t="s">
        <v>976</v>
      </c>
      <c r="B104" s="320" t="s">
        <v>977</v>
      </c>
      <c r="C104" s="320" t="s">
        <v>416</v>
      </c>
      <c r="D104" s="320" t="s">
        <v>978</v>
      </c>
      <c r="E104" s="320" t="s">
        <v>979</v>
      </c>
      <c r="F104" s="340" t="s">
        <v>1061</v>
      </c>
      <c r="G104" s="341">
        <v>2017</v>
      </c>
      <c r="H104" s="323">
        <v>2</v>
      </c>
      <c r="I104" s="323">
        <v>228123.61</v>
      </c>
      <c r="J104" s="323">
        <v>1331.07</v>
      </c>
      <c r="K104" s="323">
        <v>226792.54</v>
      </c>
      <c r="L104" s="323">
        <v>317983.06</v>
      </c>
      <c r="M104" s="322">
        <v>0</v>
      </c>
      <c r="N104" s="323">
        <v>546106.67000000004</v>
      </c>
      <c r="O104" s="323">
        <v>8360.9599999999991</v>
      </c>
      <c r="P104" s="323"/>
    </row>
    <row r="105" spans="1:16">
      <c r="A105" s="324" t="s">
        <v>976</v>
      </c>
      <c r="B105" s="320" t="s">
        <v>977</v>
      </c>
      <c r="C105" s="320" t="s">
        <v>416</v>
      </c>
      <c r="D105" s="320" t="s">
        <v>980</v>
      </c>
      <c r="E105" s="320" t="s">
        <v>979</v>
      </c>
      <c r="F105" s="340" t="s">
        <v>1061</v>
      </c>
      <c r="G105" s="342">
        <v>2017</v>
      </c>
      <c r="H105" s="323">
        <v>2</v>
      </c>
      <c r="I105" s="323">
        <v>852887.01</v>
      </c>
      <c r="J105" s="323">
        <v>0</v>
      </c>
      <c r="K105" s="323">
        <v>852887.01</v>
      </c>
      <c r="L105" s="323">
        <v>26616.46</v>
      </c>
      <c r="M105" s="323">
        <v>56998.39</v>
      </c>
      <c r="N105" s="323">
        <v>822505.08</v>
      </c>
      <c r="O105" s="323">
        <v>87478.29</v>
      </c>
      <c r="P105" s="322"/>
    </row>
    <row r="106" spans="1:16">
      <c r="A106" s="324" t="s">
        <v>981</v>
      </c>
      <c r="B106" s="320" t="s">
        <v>982</v>
      </c>
      <c r="C106" s="320" t="s">
        <v>416</v>
      </c>
      <c r="D106" s="320" t="s">
        <v>983</v>
      </c>
      <c r="E106" s="320" t="s">
        <v>4</v>
      </c>
      <c r="F106" s="340" t="s">
        <v>1061</v>
      </c>
      <c r="G106" s="342">
        <v>2017</v>
      </c>
      <c r="H106" s="345">
        <v>128</v>
      </c>
      <c r="I106" s="323">
        <v>624420.30000000005</v>
      </c>
      <c r="J106" s="323">
        <v>0</v>
      </c>
      <c r="K106" s="323">
        <v>624420.30000000005</v>
      </c>
      <c r="L106" s="323">
        <v>0</v>
      </c>
      <c r="M106" s="323">
        <v>624420.30000000005</v>
      </c>
      <c r="N106" s="323">
        <v>500423.14</v>
      </c>
      <c r="O106" s="323">
        <v>123997.17</v>
      </c>
      <c r="P106" s="323"/>
    </row>
    <row r="107" spans="1:16">
      <c r="A107" s="324" t="s">
        <v>981</v>
      </c>
      <c r="B107" s="320" t="s">
        <v>982</v>
      </c>
      <c r="C107" s="320" t="s">
        <v>416</v>
      </c>
      <c r="D107" s="320" t="s">
        <v>984</v>
      </c>
      <c r="E107" s="320" t="s">
        <v>4</v>
      </c>
      <c r="F107" s="340" t="s">
        <v>1061</v>
      </c>
      <c r="G107" s="342">
        <v>2017</v>
      </c>
      <c r="H107" s="345">
        <v>600</v>
      </c>
      <c r="I107" s="323">
        <v>3846458.71</v>
      </c>
      <c r="J107" s="323">
        <v>0</v>
      </c>
      <c r="K107" s="323">
        <v>3846458.71</v>
      </c>
      <c r="L107" s="323">
        <v>0</v>
      </c>
      <c r="M107" s="323">
        <v>3846458.71</v>
      </c>
      <c r="N107" s="323">
        <v>3704578.97</v>
      </c>
      <c r="O107" s="323">
        <v>141879.74</v>
      </c>
      <c r="P107" s="322"/>
    </row>
    <row r="108" spans="1:16">
      <c r="A108" s="324" t="s">
        <v>981</v>
      </c>
      <c r="B108" s="320" t="s">
        <v>982</v>
      </c>
      <c r="C108" s="320" t="s">
        <v>416</v>
      </c>
      <c r="D108" s="320" t="s">
        <v>985</v>
      </c>
      <c r="E108" s="320" t="s">
        <v>9</v>
      </c>
      <c r="F108" s="340" t="s">
        <v>1061</v>
      </c>
      <c r="G108" s="341">
        <v>2017</v>
      </c>
      <c r="H108" s="345">
        <v>175</v>
      </c>
      <c r="I108" s="323">
        <v>815852.92</v>
      </c>
      <c r="J108" s="323">
        <v>21223.62</v>
      </c>
      <c r="K108" s="323">
        <v>794629.3</v>
      </c>
      <c r="L108" s="323">
        <v>0</v>
      </c>
      <c r="M108" s="323">
        <v>794629.3</v>
      </c>
      <c r="N108" s="323">
        <v>794572.75</v>
      </c>
      <c r="O108" s="323">
        <v>56.55</v>
      </c>
      <c r="P108" s="322"/>
    </row>
    <row r="109" spans="1:16">
      <c r="A109" s="324" t="s">
        <v>981</v>
      </c>
      <c r="B109" s="320" t="s">
        <v>982</v>
      </c>
      <c r="C109" s="320" t="s">
        <v>416</v>
      </c>
      <c r="D109" s="320" t="s">
        <v>986</v>
      </c>
      <c r="E109" s="320" t="s">
        <v>9</v>
      </c>
      <c r="F109" s="340" t="s">
        <v>1061</v>
      </c>
      <c r="G109" s="341">
        <v>2017</v>
      </c>
      <c r="H109" s="345">
        <v>252</v>
      </c>
      <c r="I109" s="323">
        <v>1777011.81</v>
      </c>
      <c r="J109" s="323">
        <v>19036.46</v>
      </c>
      <c r="K109" s="323">
        <v>1757975.35</v>
      </c>
      <c r="L109" s="323">
        <v>0</v>
      </c>
      <c r="M109" s="323">
        <v>1757975.35</v>
      </c>
      <c r="N109" s="323">
        <v>1359504.58</v>
      </c>
      <c r="O109" s="323">
        <v>398470.76</v>
      </c>
      <c r="P109" s="322"/>
    </row>
    <row r="110" spans="1:16">
      <c r="A110" s="324" t="s">
        <v>987</v>
      </c>
      <c r="B110" s="320" t="s">
        <v>988</v>
      </c>
      <c r="C110" s="320" t="s">
        <v>416</v>
      </c>
      <c r="D110" s="320" t="s">
        <v>989</v>
      </c>
      <c r="E110" s="320" t="s">
        <v>779</v>
      </c>
      <c r="F110" s="340" t="s">
        <v>1061</v>
      </c>
      <c r="G110" s="342">
        <v>2017</v>
      </c>
      <c r="H110" s="323">
        <v>75</v>
      </c>
      <c r="I110" s="323">
        <v>145984.74</v>
      </c>
      <c r="J110" s="323">
        <v>0</v>
      </c>
      <c r="K110" s="323">
        <v>145984.74</v>
      </c>
      <c r="L110" s="323">
        <v>589.52</v>
      </c>
      <c r="M110" s="323">
        <v>145395.23000000001</v>
      </c>
      <c r="N110" s="323">
        <v>0</v>
      </c>
      <c r="O110" s="323">
        <v>145395.23000000001</v>
      </c>
      <c r="P110" s="322"/>
    </row>
    <row r="111" spans="1:16">
      <c r="A111" s="324" t="s">
        <v>780</v>
      </c>
      <c r="B111" s="320" t="s">
        <v>990</v>
      </c>
      <c r="C111" s="320" t="s">
        <v>416</v>
      </c>
      <c r="D111" s="320" t="s">
        <v>991</v>
      </c>
      <c r="E111" s="320" t="s">
        <v>779</v>
      </c>
      <c r="F111" s="340" t="s">
        <v>1061</v>
      </c>
      <c r="G111" s="342">
        <v>2017</v>
      </c>
      <c r="H111" s="323">
        <v>10</v>
      </c>
      <c r="I111" s="323">
        <v>21461.51</v>
      </c>
      <c r="J111" s="323">
        <v>0</v>
      </c>
      <c r="K111" s="323">
        <v>21461.51</v>
      </c>
      <c r="L111" s="323">
        <v>81.06</v>
      </c>
      <c r="M111" s="323">
        <v>21380.44</v>
      </c>
      <c r="N111" s="323">
        <v>27.3</v>
      </c>
      <c r="O111" s="323">
        <v>21461.51</v>
      </c>
      <c r="P111" s="323"/>
    </row>
    <row r="112" spans="1:16">
      <c r="A112" s="324" t="s">
        <v>992</v>
      </c>
      <c r="B112" s="320" t="s">
        <v>993</v>
      </c>
      <c r="C112" s="320" t="s">
        <v>416</v>
      </c>
      <c r="D112" s="320" t="s">
        <v>994</v>
      </c>
      <c r="E112" s="320" t="s">
        <v>779</v>
      </c>
      <c r="F112" s="340" t="s">
        <v>1061</v>
      </c>
      <c r="G112" s="342">
        <v>2017</v>
      </c>
      <c r="H112" s="323">
        <v>36.799999999999997</v>
      </c>
      <c r="I112" s="323">
        <v>88866.89</v>
      </c>
      <c r="J112" s="323">
        <v>0</v>
      </c>
      <c r="K112" s="323">
        <v>82487.990000000005</v>
      </c>
      <c r="L112" s="323">
        <v>331.48</v>
      </c>
      <c r="M112" s="323">
        <v>82147.91</v>
      </c>
      <c r="N112" s="323">
        <v>0</v>
      </c>
      <c r="O112" s="323">
        <v>82147.91</v>
      </c>
      <c r="P112" s="323"/>
    </row>
    <row r="113" spans="1:16">
      <c r="A113" s="324" t="s">
        <v>995</v>
      </c>
      <c r="B113" s="320" t="s">
        <v>996</v>
      </c>
      <c r="C113" s="320" t="s">
        <v>416</v>
      </c>
      <c r="D113" s="320" t="s">
        <v>997</v>
      </c>
      <c r="E113" s="320" t="s">
        <v>779</v>
      </c>
      <c r="F113" s="340" t="s">
        <v>1061</v>
      </c>
      <c r="G113" s="342">
        <v>2017</v>
      </c>
      <c r="H113" s="323">
        <v>69.599999999999994</v>
      </c>
      <c r="I113" s="323">
        <v>158612.76</v>
      </c>
      <c r="J113" s="323">
        <v>0</v>
      </c>
      <c r="K113" s="323">
        <v>158612.76</v>
      </c>
      <c r="L113" s="323">
        <v>578.46</v>
      </c>
      <c r="M113" s="323">
        <v>158034.31</v>
      </c>
      <c r="N113" s="323">
        <v>0</v>
      </c>
      <c r="O113" s="323">
        <v>158034.31</v>
      </c>
      <c r="P113" s="323"/>
    </row>
    <row r="114" spans="1:16">
      <c r="A114" s="324" t="s">
        <v>998</v>
      </c>
      <c r="B114" s="320" t="s">
        <v>999</v>
      </c>
      <c r="C114" s="320" t="s">
        <v>416</v>
      </c>
      <c r="D114" s="320" t="s">
        <v>1000</v>
      </c>
      <c r="E114" s="320" t="s">
        <v>779</v>
      </c>
      <c r="F114" s="340" t="s">
        <v>1061</v>
      </c>
      <c r="G114" s="342">
        <v>2017</v>
      </c>
      <c r="H114" s="323">
        <v>5</v>
      </c>
      <c r="I114" s="323">
        <v>10635.07</v>
      </c>
      <c r="J114" s="323">
        <v>0</v>
      </c>
      <c r="K114" s="323">
        <v>10635.07</v>
      </c>
      <c r="L114" s="323">
        <v>33.43</v>
      </c>
      <c r="M114" s="323">
        <v>10635.07</v>
      </c>
      <c r="N114" s="323">
        <v>33.43</v>
      </c>
      <c r="O114" s="323">
        <v>10635.07</v>
      </c>
      <c r="P114" s="323"/>
    </row>
    <row r="115" spans="1:16">
      <c r="A115" s="324" t="s">
        <v>1001</v>
      </c>
      <c r="B115" s="320" t="s">
        <v>1002</v>
      </c>
      <c r="C115" s="320" t="s">
        <v>416</v>
      </c>
      <c r="D115" s="320" t="s">
        <v>1003</v>
      </c>
      <c r="E115" s="320" t="s">
        <v>779</v>
      </c>
      <c r="F115" s="340" t="s">
        <v>1061</v>
      </c>
      <c r="G115" s="342">
        <v>2017</v>
      </c>
      <c r="H115" s="323">
        <v>75</v>
      </c>
      <c r="I115" s="323">
        <v>158252.19</v>
      </c>
      <c r="J115" s="323">
        <v>0</v>
      </c>
      <c r="K115" s="323">
        <v>158252.19</v>
      </c>
      <c r="L115" s="323">
        <v>0</v>
      </c>
      <c r="M115" s="323">
        <v>158252.19</v>
      </c>
      <c r="N115" s="323">
        <v>0</v>
      </c>
      <c r="O115" s="323">
        <v>158252.19</v>
      </c>
      <c r="P115" s="323"/>
    </row>
    <row r="116" spans="1:16">
      <c r="A116" s="324" t="s">
        <v>1004</v>
      </c>
      <c r="B116" s="320" t="s">
        <v>1005</v>
      </c>
      <c r="C116" s="320" t="s">
        <v>416</v>
      </c>
      <c r="D116" s="320" t="s">
        <v>1006</v>
      </c>
      <c r="E116" s="320" t="s">
        <v>779</v>
      </c>
      <c r="F116" s="340" t="s">
        <v>1061</v>
      </c>
      <c r="G116" s="342">
        <v>2017</v>
      </c>
      <c r="H116" s="323">
        <v>75</v>
      </c>
      <c r="I116" s="323">
        <v>184923.5</v>
      </c>
      <c r="J116" s="323">
        <v>0</v>
      </c>
      <c r="K116" s="323">
        <v>184923.5</v>
      </c>
      <c r="L116" s="323">
        <v>0</v>
      </c>
      <c r="M116" s="323">
        <v>184923.5</v>
      </c>
      <c r="N116" s="323">
        <v>0</v>
      </c>
      <c r="O116" s="323">
        <v>184923.5</v>
      </c>
      <c r="P116" s="323"/>
    </row>
    <row r="117" spans="1:16">
      <c r="A117" s="324" t="s">
        <v>1007</v>
      </c>
      <c r="B117" s="320" t="s">
        <v>1008</v>
      </c>
      <c r="C117" s="320" t="s">
        <v>416</v>
      </c>
      <c r="D117" s="320" t="s">
        <v>1008</v>
      </c>
      <c r="E117" s="320" t="s">
        <v>96</v>
      </c>
      <c r="F117" s="340" t="s">
        <v>1061</v>
      </c>
      <c r="G117" s="342">
        <v>2017</v>
      </c>
      <c r="H117" s="323">
        <v>4.3099999999999996</v>
      </c>
      <c r="I117" s="323">
        <v>31055.95</v>
      </c>
      <c r="J117" s="323">
        <v>0</v>
      </c>
      <c r="K117" s="323">
        <v>31055.95</v>
      </c>
      <c r="L117" s="323">
        <v>122.7</v>
      </c>
      <c r="M117" s="323">
        <v>30933.25</v>
      </c>
      <c r="N117" s="323">
        <v>5.7</v>
      </c>
      <c r="O117" s="323">
        <v>30927.55</v>
      </c>
      <c r="P117" s="323"/>
    </row>
    <row r="118" spans="1:16">
      <c r="A118" s="324" t="s">
        <v>1009</v>
      </c>
      <c r="B118" s="320" t="s">
        <v>1010</v>
      </c>
      <c r="C118" s="320" t="s">
        <v>416</v>
      </c>
      <c r="D118" s="320" t="s">
        <v>1011</v>
      </c>
      <c r="E118" s="320" t="s">
        <v>779</v>
      </c>
      <c r="F118" s="340" t="s">
        <v>1061</v>
      </c>
      <c r="G118" s="342">
        <v>2017</v>
      </c>
      <c r="H118" s="323">
        <v>8.9</v>
      </c>
      <c r="I118" s="323">
        <v>18783.63</v>
      </c>
      <c r="J118" s="323">
        <v>0</v>
      </c>
      <c r="K118" s="323">
        <v>18783.63</v>
      </c>
      <c r="L118" s="323">
        <v>111.12</v>
      </c>
      <c r="M118" s="323">
        <v>18672.509999999998</v>
      </c>
      <c r="N118" s="323">
        <v>0</v>
      </c>
      <c r="O118" s="323">
        <v>18672.509999999998</v>
      </c>
      <c r="P118" s="323"/>
    </row>
    <row r="119" spans="1:16">
      <c r="A119" s="324" t="s">
        <v>1012</v>
      </c>
      <c r="B119" s="320" t="s">
        <v>1013</v>
      </c>
      <c r="C119" s="320" t="s">
        <v>818</v>
      </c>
      <c r="D119" s="320" t="s">
        <v>1014</v>
      </c>
      <c r="E119" s="320" t="s">
        <v>96</v>
      </c>
      <c r="F119" s="340" t="s">
        <v>1061</v>
      </c>
      <c r="G119" s="342">
        <v>2017</v>
      </c>
      <c r="H119" s="323">
        <v>3.35</v>
      </c>
      <c r="I119" s="323">
        <v>9885.36</v>
      </c>
      <c r="J119" s="323">
        <v>0</v>
      </c>
      <c r="K119" s="323">
        <v>9885.36</v>
      </c>
      <c r="L119" s="323">
        <v>0</v>
      </c>
      <c r="M119" s="322">
        <v>0</v>
      </c>
      <c r="N119" s="323">
        <v>0</v>
      </c>
      <c r="O119" s="323">
        <v>9885.36</v>
      </c>
      <c r="P119" s="323"/>
    </row>
    <row r="120" spans="1:16">
      <c r="A120" s="324" t="s">
        <v>1015</v>
      </c>
      <c r="B120" s="320" t="s">
        <v>1016</v>
      </c>
      <c r="C120" s="320" t="s">
        <v>416</v>
      </c>
      <c r="D120" s="320" t="s">
        <v>1017</v>
      </c>
      <c r="E120" s="320" t="s">
        <v>779</v>
      </c>
      <c r="F120" s="340" t="s">
        <v>1061</v>
      </c>
      <c r="G120" s="342">
        <v>2017</v>
      </c>
      <c r="H120" s="323">
        <v>60</v>
      </c>
      <c r="I120" s="323">
        <v>116393.06</v>
      </c>
      <c r="J120" s="323">
        <v>0</v>
      </c>
      <c r="K120" s="323">
        <v>116393.06</v>
      </c>
      <c r="L120" s="323">
        <v>1077.2</v>
      </c>
      <c r="M120" s="323">
        <v>115315.86</v>
      </c>
      <c r="N120" s="322">
        <v>0</v>
      </c>
      <c r="O120" s="323">
        <v>115315.86</v>
      </c>
      <c r="P120" s="322"/>
    </row>
    <row r="121" spans="1:16">
      <c r="A121" s="324" t="s">
        <v>1018</v>
      </c>
      <c r="B121" s="320" t="s">
        <v>1019</v>
      </c>
      <c r="C121" s="320" t="s">
        <v>416</v>
      </c>
      <c r="D121" s="320" t="s">
        <v>1020</v>
      </c>
      <c r="E121" s="320" t="s">
        <v>944</v>
      </c>
      <c r="F121" s="340" t="s">
        <v>1061</v>
      </c>
      <c r="G121" s="342">
        <v>2017</v>
      </c>
      <c r="H121" s="323">
        <v>12</v>
      </c>
      <c r="I121" s="323">
        <v>32778</v>
      </c>
      <c r="J121" s="323">
        <v>0</v>
      </c>
      <c r="K121" s="323">
        <v>32778</v>
      </c>
      <c r="L121" s="323">
        <v>7788.3</v>
      </c>
      <c r="M121" s="323">
        <v>40566.300000000003</v>
      </c>
      <c r="N121" s="323">
        <v>39675.4</v>
      </c>
      <c r="O121" s="322">
        <v>890.9</v>
      </c>
      <c r="P121" s="323"/>
    </row>
    <row r="122" spans="1:16">
      <c r="A122" s="324" t="s">
        <v>1018</v>
      </c>
      <c r="B122" s="320" t="s">
        <v>1019</v>
      </c>
      <c r="C122" s="320" t="s">
        <v>416</v>
      </c>
      <c r="D122" s="320" t="s">
        <v>1021</v>
      </c>
      <c r="E122" s="320" t="s">
        <v>944</v>
      </c>
      <c r="F122" s="340" t="s">
        <v>1061</v>
      </c>
      <c r="G122" s="342">
        <v>2017</v>
      </c>
      <c r="H122" s="323">
        <v>12</v>
      </c>
      <c r="I122" s="323">
        <v>16800</v>
      </c>
      <c r="J122" s="323">
        <v>0</v>
      </c>
      <c r="K122" s="323">
        <v>16800</v>
      </c>
      <c r="L122" s="323">
        <v>4990.1000000000004</v>
      </c>
      <c r="M122" s="323">
        <v>21790.1</v>
      </c>
      <c r="N122" s="323">
        <v>21790.1</v>
      </c>
      <c r="O122" s="323">
        <v>0</v>
      </c>
      <c r="P122" s="323"/>
    </row>
    <row r="123" spans="1:16">
      <c r="A123" s="324" t="s">
        <v>1018</v>
      </c>
      <c r="B123" s="320" t="s">
        <v>1019</v>
      </c>
      <c r="C123" s="320" t="s">
        <v>416</v>
      </c>
      <c r="D123" s="320" t="s">
        <v>1022</v>
      </c>
      <c r="E123" s="320" t="s">
        <v>944</v>
      </c>
      <c r="F123" s="340" t="s">
        <v>1061</v>
      </c>
      <c r="G123" s="342">
        <v>2017</v>
      </c>
      <c r="H123" s="323">
        <v>32</v>
      </c>
      <c r="I123" s="323">
        <v>78800</v>
      </c>
      <c r="J123" s="323">
        <v>0</v>
      </c>
      <c r="K123" s="323">
        <v>78800</v>
      </c>
      <c r="L123" s="323">
        <v>7440.8</v>
      </c>
      <c r="M123" s="323">
        <v>86240.8</v>
      </c>
      <c r="N123" s="323">
        <v>71739.899999999994</v>
      </c>
      <c r="O123" s="323">
        <v>14500.9</v>
      </c>
      <c r="P123" s="322"/>
    </row>
    <row r="124" spans="1:16">
      <c r="A124" s="324" t="s">
        <v>1018</v>
      </c>
      <c r="B124" s="320" t="s">
        <v>1019</v>
      </c>
      <c r="C124" s="320" t="s">
        <v>416</v>
      </c>
      <c r="D124" s="320" t="s">
        <v>1023</v>
      </c>
      <c r="E124" s="320" t="s">
        <v>944</v>
      </c>
      <c r="F124" s="340" t="s">
        <v>1061</v>
      </c>
      <c r="G124" s="342">
        <v>2017</v>
      </c>
      <c r="H124" s="323">
        <v>22.5</v>
      </c>
      <c r="I124" s="323">
        <v>42929.599999999999</v>
      </c>
      <c r="J124" s="323">
        <v>0</v>
      </c>
      <c r="K124" s="323">
        <v>42929.599999999999</v>
      </c>
      <c r="L124" s="323">
        <v>10784.4</v>
      </c>
      <c r="M124" s="323">
        <v>53714</v>
      </c>
      <c r="N124" s="323">
        <v>50765.4</v>
      </c>
      <c r="O124" s="323">
        <v>2948.6</v>
      </c>
      <c r="P124" s="323"/>
    </row>
    <row r="125" spans="1:16">
      <c r="A125" s="324" t="s">
        <v>1024</v>
      </c>
      <c r="B125" s="320" t="s">
        <v>1025</v>
      </c>
      <c r="C125" s="320" t="s">
        <v>416</v>
      </c>
      <c r="D125" s="320" t="s">
        <v>1026</v>
      </c>
      <c r="E125" s="320" t="s">
        <v>217</v>
      </c>
      <c r="F125" s="340" t="s">
        <v>1061</v>
      </c>
      <c r="G125" s="342">
        <v>2017</v>
      </c>
      <c r="H125" s="323">
        <v>94.8</v>
      </c>
      <c r="I125" s="323">
        <v>340331</v>
      </c>
      <c r="J125" s="323">
        <v>0</v>
      </c>
      <c r="K125" s="323">
        <v>340331</v>
      </c>
      <c r="L125" s="323">
        <v>528.84</v>
      </c>
      <c r="M125" s="323">
        <v>339802.16</v>
      </c>
      <c r="N125" s="323">
        <v>2863.57</v>
      </c>
      <c r="O125" s="323">
        <v>336938.59</v>
      </c>
      <c r="P125" s="323"/>
    </row>
    <row r="126" spans="1:16">
      <c r="A126" s="324" t="s">
        <v>1027</v>
      </c>
      <c r="B126" s="320" t="s">
        <v>1028</v>
      </c>
      <c r="C126" s="320" t="s">
        <v>416</v>
      </c>
      <c r="D126" s="320" t="s">
        <v>1029</v>
      </c>
      <c r="E126" s="320" t="s">
        <v>17</v>
      </c>
      <c r="F126" s="340" t="s">
        <v>1061</v>
      </c>
      <c r="G126" s="342">
        <v>2017</v>
      </c>
      <c r="H126" s="323">
        <v>5</v>
      </c>
      <c r="I126" s="323">
        <v>41145.65</v>
      </c>
      <c r="J126" s="323">
        <v>0</v>
      </c>
      <c r="K126" s="323">
        <v>41145.65</v>
      </c>
      <c r="L126" s="323">
        <v>2922.13</v>
      </c>
      <c r="M126" s="322">
        <v>0</v>
      </c>
      <c r="N126" s="323">
        <v>42919.33</v>
      </c>
      <c r="O126" s="323">
        <v>1148.45</v>
      </c>
      <c r="P126" s="323"/>
    </row>
    <row r="127" spans="1:16">
      <c r="A127" s="324" t="s">
        <v>1030</v>
      </c>
      <c r="B127" s="320" t="s">
        <v>1031</v>
      </c>
      <c r="C127" s="320" t="s">
        <v>416</v>
      </c>
      <c r="D127" s="320" t="s">
        <v>1032</v>
      </c>
      <c r="E127" s="320" t="s">
        <v>217</v>
      </c>
      <c r="F127" s="340" t="s">
        <v>1061</v>
      </c>
      <c r="G127" s="342">
        <v>2017</v>
      </c>
      <c r="H127" s="323">
        <v>65.400000000000006</v>
      </c>
      <c r="I127" s="323">
        <v>184742.21</v>
      </c>
      <c r="J127" s="323">
        <v>0</v>
      </c>
      <c r="K127" s="323">
        <v>184742.21</v>
      </c>
      <c r="L127" s="323">
        <v>604.46</v>
      </c>
      <c r="M127" s="323">
        <v>184742.21</v>
      </c>
      <c r="N127" s="322">
        <v>72</v>
      </c>
      <c r="O127" s="323">
        <v>182409.55</v>
      </c>
      <c r="P127" s="323"/>
    </row>
    <row r="128" spans="1:16">
      <c r="A128" s="324" t="s">
        <v>1033</v>
      </c>
      <c r="B128" s="320" t="s">
        <v>1034</v>
      </c>
      <c r="C128" s="320" t="s">
        <v>416</v>
      </c>
      <c r="D128" s="320" t="s">
        <v>1035</v>
      </c>
      <c r="E128" s="320" t="s">
        <v>779</v>
      </c>
      <c r="F128" s="340" t="s">
        <v>1061</v>
      </c>
      <c r="G128" s="342">
        <v>2017</v>
      </c>
      <c r="H128" s="323">
        <v>8.82</v>
      </c>
      <c r="I128" s="323">
        <v>19601.810000000001</v>
      </c>
      <c r="J128" s="323">
        <v>81.069999999999993</v>
      </c>
      <c r="K128" s="323">
        <v>19682.88</v>
      </c>
      <c r="L128" s="323">
        <v>0</v>
      </c>
      <c r="M128" s="323">
        <v>19601.810000000001</v>
      </c>
      <c r="N128" s="323">
        <v>0</v>
      </c>
      <c r="O128" s="323">
        <v>19601.810000000001</v>
      </c>
      <c r="P128" s="323"/>
    </row>
    <row r="129" spans="1:16">
      <c r="A129" s="324" t="s">
        <v>1036</v>
      </c>
      <c r="B129" s="320" t="s">
        <v>1037</v>
      </c>
      <c r="C129" s="320" t="s">
        <v>416</v>
      </c>
      <c r="D129" s="320" t="s">
        <v>1038</v>
      </c>
      <c r="E129" s="320" t="s">
        <v>217</v>
      </c>
      <c r="F129" s="340" t="s">
        <v>1061</v>
      </c>
      <c r="G129" s="342">
        <v>2017</v>
      </c>
      <c r="H129" s="323">
        <v>23.4</v>
      </c>
      <c r="I129" s="323">
        <v>95641.61</v>
      </c>
      <c r="J129" s="323">
        <v>0</v>
      </c>
      <c r="K129" s="323">
        <v>95641.61</v>
      </c>
      <c r="L129" s="323">
        <v>103.21</v>
      </c>
      <c r="M129" s="323">
        <v>95538.4</v>
      </c>
      <c r="N129" s="323">
        <v>0</v>
      </c>
      <c r="O129" s="323">
        <v>95538.4</v>
      </c>
      <c r="P129" s="323"/>
    </row>
    <row r="130" spans="1:16">
      <c r="A130" s="324" t="s">
        <v>1039</v>
      </c>
      <c r="B130" s="320" t="s">
        <v>1040</v>
      </c>
      <c r="C130" s="320" t="s">
        <v>416</v>
      </c>
      <c r="D130" s="320" t="s">
        <v>1041</v>
      </c>
      <c r="E130" s="320" t="s">
        <v>779</v>
      </c>
      <c r="F130" s="340" t="s">
        <v>1061</v>
      </c>
      <c r="G130" s="342">
        <v>2017</v>
      </c>
      <c r="H130" s="323">
        <v>74</v>
      </c>
      <c r="I130" s="323">
        <v>206664.65</v>
      </c>
      <c r="J130" s="323">
        <v>0</v>
      </c>
      <c r="K130" s="323">
        <v>206664.65</v>
      </c>
      <c r="L130" s="323">
        <v>0</v>
      </c>
      <c r="M130" s="323">
        <v>206664.65</v>
      </c>
      <c r="N130" s="323">
        <v>0</v>
      </c>
      <c r="O130" s="323">
        <v>206664.65</v>
      </c>
      <c r="P130" s="323"/>
    </row>
    <row r="131" spans="1:16">
      <c r="A131" s="324" t="s">
        <v>1042</v>
      </c>
      <c r="B131" s="320" t="s">
        <v>1043</v>
      </c>
      <c r="C131" s="320" t="s">
        <v>416</v>
      </c>
      <c r="D131" s="320" t="s">
        <v>1044</v>
      </c>
      <c r="E131" s="320" t="s">
        <v>775</v>
      </c>
      <c r="F131" s="340" t="s">
        <v>1061</v>
      </c>
      <c r="G131" s="341">
        <v>2017</v>
      </c>
      <c r="H131" s="323">
        <v>100</v>
      </c>
      <c r="I131" s="323">
        <v>205620.73</v>
      </c>
      <c r="J131" s="323">
        <v>22768.66</v>
      </c>
      <c r="K131" s="323">
        <v>182852.07</v>
      </c>
      <c r="L131" s="323">
        <v>2666.08</v>
      </c>
      <c r="M131" s="323">
        <v>205620.73</v>
      </c>
      <c r="N131" s="323">
        <v>22768.66</v>
      </c>
      <c r="O131" s="323">
        <v>182852.07</v>
      </c>
      <c r="P131" s="323"/>
    </row>
    <row r="132" spans="1:16" ht="15" customHeight="1">
      <c r="A132" s="324"/>
      <c r="B132" s="320"/>
      <c r="C132" s="320"/>
      <c r="D132" s="320"/>
      <c r="E132" s="320"/>
      <c r="F132" s="321"/>
      <c r="G132" s="315"/>
      <c r="H132" s="322"/>
      <c r="I132" s="322"/>
      <c r="J132" s="323"/>
      <c r="K132" s="323"/>
      <c r="L132" s="323"/>
      <c r="M132" s="323"/>
      <c r="N132" s="323"/>
      <c r="O132" s="323"/>
      <c r="P132" s="323"/>
    </row>
    <row r="134" spans="1:16">
      <c r="M134" s="14" t="s">
        <v>1067</v>
      </c>
      <c r="N134" s="10">
        <f>(N107+N109)/1000000</f>
        <v>5.0640835500000003</v>
      </c>
    </row>
    <row r="135" spans="1:16">
      <c r="N135" s="10">
        <f>N134*3.6</f>
        <v>18.230700780000003</v>
      </c>
    </row>
    <row r="136" spans="1:16">
      <c r="M136" s="14" t="s">
        <v>1068</v>
      </c>
      <c r="N136" s="10">
        <f>(N106+N108)/1000000</f>
        <v>1.29499589</v>
      </c>
    </row>
    <row r="137" spans="1:16">
      <c r="I137" s="48"/>
      <c r="K137" s="48"/>
      <c r="L137" s="326"/>
      <c r="M137" s="48"/>
      <c r="N137" s="10">
        <f>N136*3.6</f>
        <v>4.6619852040000005</v>
      </c>
    </row>
    <row r="138" spans="1:16">
      <c r="K138" s="48"/>
      <c r="L138" s="326"/>
      <c r="M138" s="48"/>
    </row>
    <row r="139" spans="1:16">
      <c r="K139" s="48"/>
      <c r="L139" s="326"/>
      <c r="M139" s="14" t="s">
        <v>1069</v>
      </c>
      <c r="N139" s="20" t="s">
        <v>1048</v>
      </c>
      <c r="O139" s="14" t="s">
        <v>1070</v>
      </c>
      <c r="P139" s="14" t="s">
        <v>1071</v>
      </c>
    </row>
    <row r="140" spans="1:16">
      <c r="K140" s="48"/>
      <c r="L140" s="326"/>
      <c r="M140" s="14" t="s">
        <v>1072</v>
      </c>
      <c r="N140" s="48">
        <f>M109</f>
        <v>1757975.35</v>
      </c>
      <c r="O140" s="14">
        <v>0.33</v>
      </c>
      <c r="P140" s="207">
        <f t="shared" ref="P140:P141" si="0">N140*3.6/O140/1000000</f>
        <v>19.17791290909091</v>
      </c>
    </row>
    <row r="141" spans="1:16">
      <c r="M141" s="14" t="s">
        <v>1073</v>
      </c>
      <c r="N141" s="189">
        <f>M108</f>
        <v>794629.3</v>
      </c>
      <c r="O141" s="14">
        <v>0.45</v>
      </c>
      <c r="P141" s="207">
        <f t="shared" si="0"/>
        <v>6.3570344000000008</v>
      </c>
    </row>
    <row r="142" spans="1:16">
      <c r="M142" s="14" t="s">
        <v>24</v>
      </c>
      <c r="P142" s="207">
        <f>P141+P140</f>
        <v>25.53494730909091</v>
      </c>
    </row>
    <row r="144" spans="1:16">
      <c r="K144" s="48"/>
      <c r="L144" s="327"/>
      <c r="M144" s="48"/>
      <c r="N144" s="48"/>
      <c r="P144" s="326"/>
    </row>
    <row r="146" spans="11:15">
      <c r="K146" s="48"/>
      <c r="L146" s="48"/>
      <c r="M146" s="48"/>
      <c r="N146" s="48"/>
      <c r="O146" s="48"/>
    </row>
    <row r="147" spans="11:15">
      <c r="K147" s="48"/>
      <c r="L147" s="328"/>
      <c r="M147" s="48"/>
      <c r="N147" s="48"/>
      <c r="O147" s="48"/>
    </row>
    <row r="148" spans="11:15">
      <c r="K148" s="48"/>
      <c r="L148" s="48"/>
      <c r="M148" s="48"/>
      <c r="N148" s="48"/>
      <c r="O148" s="48"/>
    </row>
    <row r="150" spans="11:15">
      <c r="K150" s="48"/>
      <c r="L150" s="326"/>
      <c r="M150" s="48"/>
    </row>
  </sheetData>
  <autoFilter ref="A1:P132" xr:uid="{00000000-0009-0000-0000-00000B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V121"/>
  <sheetViews>
    <sheetView workbookViewId="0"/>
  </sheetViews>
  <sheetFormatPr defaultColWidth="11.21875" defaultRowHeight="15" customHeight="1"/>
  <cols>
    <col min="2" max="2" width="24.44140625" customWidth="1"/>
    <col min="3" max="3" width="30.109375" customWidth="1"/>
  </cols>
  <sheetData>
    <row r="1" spans="1:74" ht="15" customHeight="1">
      <c r="A1" s="346"/>
      <c r="B1" s="347" t="s">
        <v>1074</v>
      </c>
      <c r="C1" s="348"/>
      <c r="D1" s="348"/>
      <c r="E1" s="347" t="s">
        <v>41</v>
      </c>
      <c r="F1" s="347" t="s">
        <v>41</v>
      </c>
      <c r="G1" s="347" t="s">
        <v>41</v>
      </c>
      <c r="H1" s="347" t="s">
        <v>371</v>
      </c>
      <c r="I1" s="347" t="s">
        <v>371</v>
      </c>
      <c r="J1" s="347" t="s">
        <v>371</v>
      </c>
      <c r="K1" s="347" t="s">
        <v>371</v>
      </c>
      <c r="L1" s="347" t="s">
        <v>1075</v>
      </c>
      <c r="M1" s="347" t="s">
        <v>1075</v>
      </c>
      <c r="N1" s="347" t="s">
        <v>1076</v>
      </c>
      <c r="O1" s="347" t="s">
        <v>1076</v>
      </c>
      <c r="P1" s="347" t="s">
        <v>1076</v>
      </c>
      <c r="Q1" s="347" t="s">
        <v>1076</v>
      </c>
      <c r="R1" s="347" t="s">
        <v>139</v>
      </c>
      <c r="S1" s="347" t="s">
        <v>138</v>
      </c>
      <c r="T1" s="347" t="s">
        <v>138</v>
      </c>
      <c r="U1" s="347" t="s">
        <v>1077</v>
      </c>
      <c r="V1" s="347" t="s">
        <v>130</v>
      </c>
      <c r="W1" s="347" t="s">
        <v>130</v>
      </c>
      <c r="X1" s="347" t="s">
        <v>130</v>
      </c>
      <c r="Y1" s="347" t="s">
        <v>130</v>
      </c>
      <c r="Z1" s="347" t="s">
        <v>133</v>
      </c>
      <c r="AA1" s="347" t="s">
        <v>133</v>
      </c>
      <c r="AB1" s="347" t="s">
        <v>129</v>
      </c>
      <c r="AC1" s="347" t="s">
        <v>132</v>
      </c>
      <c r="AD1" s="347" t="s">
        <v>129</v>
      </c>
      <c r="AE1" s="347" t="s">
        <v>135</v>
      </c>
      <c r="AF1" s="347" t="s">
        <v>135</v>
      </c>
      <c r="AG1" s="347" t="s">
        <v>1078</v>
      </c>
      <c r="AH1" s="347" t="s">
        <v>1078</v>
      </c>
      <c r="AI1" s="347" t="s">
        <v>1078</v>
      </c>
      <c r="AJ1" s="347" t="s">
        <v>1079</v>
      </c>
      <c r="AK1" s="347" t="s">
        <v>1078</v>
      </c>
      <c r="AL1" s="347" t="s">
        <v>1078</v>
      </c>
      <c r="AM1" s="347" t="s">
        <v>70</v>
      </c>
      <c r="AN1" s="347" t="s">
        <v>1078</v>
      </c>
      <c r="AO1" s="347" t="s">
        <v>140</v>
      </c>
      <c r="AP1" s="347" t="s">
        <v>1080</v>
      </c>
      <c r="AQ1" s="347" t="s">
        <v>1080</v>
      </c>
      <c r="AR1" s="347" t="s">
        <v>1080</v>
      </c>
      <c r="AS1" s="347" t="s">
        <v>1080</v>
      </c>
      <c r="AT1" s="347" t="s">
        <v>57</v>
      </c>
      <c r="AU1" s="347" t="s">
        <v>57</v>
      </c>
      <c r="AV1" s="347" t="s">
        <v>57</v>
      </c>
      <c r="AW1" s="347" t="s">
        <v>57</v>
      </c>
      <c r="AX1" s="347" t="s">
        <v>1080</v>
      </c>
      <c r="AY1" s="347" t="s">
        <v>1080</v>
      </c>
      <c r="AZ1" s="347" t="s">
        <v>1080</v>
      </c>
      <c r="BA1" s="347" t="s">
        <v>1080</v>
      </c>
      <c r="BB1" s="347" t="s">
        <v>1080</v>
      </c>
      <c r="BC1" s="347" t="s">
        <v>1080</v>
      </c>
      <c r="BD1" s="347" t="s">
        <v>1080</v>
      </c>
      <c r="BE1" s="347" t="s">
        <v>1080</v>
      </c>
      <c r="BF1" s="347" t="s">
        <v>1080</v>
      </c>
      <c r="BG1" s="347" t="s">
        <v>1080</v>
      </c>
      <c r="BH1" s="347" t="s">
        <v>1080</v>
      </c>
      <c r="BI1" s="347" t="s">
        <v>1080</v>
      </c>
      <c r="BJ1" s="347" t="s">
        <v>1080</v>
      </c>
      <c r="BK1" s="347" t="s">
        <v>1080</v>
      </c>
      <c r="BL1" s="347" t="s">
        <v>1080</v>
      </c>
      <c r="BM1" s="347" t="s">
        <v>1080</v>
      </c>
      <c r="BN1" s="454" t="s">
        <v>1080</v>
      </c>
      <c r="BO1" s="455"/>
      <c r="BP1" s="348"/>
      <c r="BQ1" s="347" t="s">
        <v>68</v>
      </c>
      <c r="BR1" s="347" t="s">
        <v>56</v>
      </c>
      <c r="BS1" s="347" t="s">
        <v>1080</v>
      </c>
      <c r="BT1" s="347" t="s">
        <v>140</v>
      </c>
      <c r="BU1" s="454" t="s">
        <v>1081</v>
      </c>
      <c r="BV1" s="455"/>
    </row>
    <row r="2" spans="1:74" ht="15" customHeight="1">
      <c r="A2" s="349"/>
      <c r="B2" s="350" t="s">
        <v>1082</v>
      </c>
      <c r="C2" s="351" t="s">
        <v>1083</v>
      </c>
      <c r="D2" s="351" t="s">
        <v>1084</v>
      </c>
      <c r="E2" s="352" t="s">
        <v>41</v>
      </c>
      <c r="F2" s="352" t="s">
        <v>1085</v>
      </c>
      <c r="G2" s="352" t="s">
        <v>1086</v>
      </c>
      <c r="H2" s="352" t="s">
        <v>1087</v>
      </c>
      <c r="I2" s="352" t="s">
        <v>1088</v>
      </c>
      <c r="J2" s="352" t="s">
        <v>1089</v>
      </c>
      <c r="K2" s="352" t="s">
        <v>1090</v>
      </c>
      <c r="L2" s="352" t="s">
        <v>1091</v>
      </c>
      <c r="M2" s="352" t="s">
        <v>1092</v>
      </c>
      <c r="N2" s="352" t="s">
        <v>1093</v>
      </c>
      <c r="O2" s="352" t="s">
        <v>1094</v>
      </c>
      <c r="P2" s="352" t="s">
        <v>1095</v>
      </c>
      <c r="Q2" s="352" t="s">
        <v>1096</v>
      </c>
      <c r="R2" s="352" t="s">
        <v>1097</v>
      </c>
      <c r="S2" s="352" t="s">
        <v>1098</v>
      </c>
      <c r="T2" s="352" t="s">
        <v>1099</v>
      </c>
      <c r="U2" s="352" t="s">
        <v>1100</v>
      </c>
      <c r="V2" s="352" t="s">
        <v>1101</v>
      </c>
      <c r="W2" s="352" t="s">
        <v>1102</v>
      </c>
      <c r="X2" s="352" t="s">
        <v>1103</v>
      </c>
      <c r="Y2" s="352" t="s">
        <v>1104</v>
      </c>
      <c r="Z2" s="352" t="s">
        <v>670</v>
      </c>
      <c r="AA2" s="352" t="s">
        <v>1105</v>
      </c>
      <c r="AB2" s="352" t="s">
        <v>1106</v>
      </c>
      <c r="AC2" s="352" t="s">
        <v>1107</v>
      </c>
      <c r="AD2" s="352" t="s">
        <v>1108</v>
      </c>
      <c r="AE2" s="352" t="s">
        <v>1109</v>
      </c>
      <c r="AF2" s="352" t="s">
        <v>1110</v>
      </c>
      <c r="AG2" s="352" t="s">
        <v>1111</v>
      </c>
      <c r="AH2" s="352" t="s">
        <v>1112</v>
      </c>
      <c r="AI2" s="352" t="s">
        <v>1113</v>
      </c>
      <c r="AJ2" s="352" t="s">
        <v>1114</v>
      </c>
      <c r="AK2" s="352" t="s">
        <v>1115</v>
      </c>
      <c r="AL2" s="352" t="s">
        <v>1116</v>
      </c>
      <c r="AM2" s="352" t="s">
        <v>1117</v>
      </c>
      <c r="AN2" s="352" t="s">
        <v>1118</v>
      </c>
      <c r="AO2" s="352" t="s">
        <v>140</v>
      </c>
      <c r="AP2" s="352" t="s">
        <v>1119</v>
      </c>
      <c r="AQ2" s="352" t="s">
        <v>1120</v>
      </c>
      <c r="AR2" s="352" t="s">
        <v>1121</v>
      </c>
      <c r="AS2" s="352" t="s">
        <v>1122</v>
      </c>
      <c r="AT2" s="352" t="s">
        <v>1123</v>
      </c>
      <c r="AU2" s="352" t="s">
        <v>1124</v>
      </c>
      <c r="AV2" s="352" t="s">
        <v>1125</v>
      </c>
      <c r="AW2" s="352" t="s">
        <v>1126</v>
      </c>
      <c r="AX2" s="352" t="s">
        <v>1127</v>
      </c>
      <c r="AY2" s="352" t="s">
        <v>1128</v>
      </c>
      <c r="AZ2" s="352" t="s">
        <v>1129</v>
      </c>
      <c r="BA2" s="352" t="s">
        <v>1130</v>
      </c>
      <c r="BB2" s="352" t="s">
        <v>1131</v>
      </c>
      <c r="BC2" s="352" t="s">
        <v>1132</v>
      </c>
      <c r="BD2" s="352" t="s">
        <v>1133</v>
      </c>
      <c r="BE2" s="352" t="s">
        <v>1134</v>
      </c>
      <c r="BF2" s="352" t="s">
        <v>1135</v>
      </c>
      <c r="BG2" s="352" t="s">
        <v>298</v>
      </c>
      <c r="BH2" s="352" t="s">
        <v>1136</v>
      </c>
      <c r="BI2" s="352" t="s">
        <v>1137</v>
      </c>
      <c r="BJ2" s="352" t="s">
        <v>1138</v>
      </c>
      <c r="BK2" s="352" t="s">
        <v>1139</v>
      </c>
      <c r="BL2" s="352" t="s">
        <v>1140</v>
      </c>
      <c r="BM2" s="352" t="s">
        <v>1141</v>
      </c>
      <c r="BN2" s="352" t="s">
        <v>1142</v>
      </c>
      <c r="BO2" s="353" t="s">
        <v>1143</v>
      </c>
      <c r="BP2" s="354" t="s">
        <v>1144</v>
      </c>
      <c r="BQ2" s="355" t="s">
        <v>68</v>
      </c>
      <c r="BR2" s="355" t="s">
        <v>1145</v>
      </c>
      <c r="BS2" s="355" t="s">
        <v>1146</v>
      </c>
      <c r="BT2" s="355" t="s">
        <v>1147</v>
      </c>
      <c r="BU2" s="355" t="s">
        <v>1148</v>
      </c>
      <c r="BV2" s="352" t="s">
        <v>1149</v>
      </c>
    </row>
    <row r="3" spans="1:74" ht="15" customHeight="1">
      <c r="A3" s="356"/>
      <c r="B3" s="357"/>
      <c r="C3" s="358"/>
      <c r="D3" s="359"/>
      <c r="E3" s="351" t="s">
        <v>1150</v>
      </c>
      <c r="F3" s="351" t="s">
        <v>1151</v>
      </c>
      <c r="G3" s="351" t="s">
        <v>1152</v>
      </c>
      <c r="H3" s="351" t="s">
        <v>1153</v>
      </c>
      <c r="I3" s="351" t="s">
        <v>1154</v>
      </c>
      <c r="J3" s="351" t="s">
        <v>1155</v>
      </c>
      <c r="K3" s="351" t="s">
        <v>1156</v>
      </c>
      <c r="L3" s="351" t="s">
        <v>1157</v>
      </c>
      <c r="M3" s="351" t="s">
        <v>1158</v>
      </c>
      <c r="N3" s="351" t="s">
        <v>1159</v>
      </c>
      <c r="O3" s="351" t="s">
        <v>1160</v>
      </c>
      <c r="P3" s="351" t="s">
        <v>1161</v>
      </c>
      <c r="Q3" s="351" t="s">
        <v>1162</v>
      </c>
      <c r="R3" s="351" t="s">
        <v>1163</v>
      </c>
      <c r="S3" s="351" t="s">
        <v>1164</v>
      </c>
      <c r="T3" s="351" t="s">
        <v>1165</v>
      </c>
      <c r="U3" s="351" t="s">
        <v>1166</v>
      </c>
      <c r="V3" s="351" t="s">
        <v>1167</v>
      </c>
      <c r="W3" s="351" t="s">
        <v>1168</v>
      </c>
      <c r="X3" s="351" t="s">
        <v>1169</v>
      </c>
      <c r="Y3" s="351" t="s">
        <v>1170</v>
      </c>
      <c r="Z3" s="351" t="s">
        <v>1171</v>
      </c>
      <c r="AA3" s="351" t="s">
        <v>1172</v>
      </c>
      <c r="AB3" s="351" t="s">
        <v>1173</v>
      </c>
      <c r="AC3" s="351" t="s">
        <v>1174</v>
      </c>
      <c r="AD3" s="351" t="s">
        <v>1175</v>
      </c>
      <c r="AE3" s="351" t="s">
        <v>1176</v>
      </c>
      <c r="AF3" s="351" t="s">
        <v>1177</v>
      </c>
      <c r="AG3" s="351" t="s">
        <v>1178</v>
      </c>
      <c r="AH3" s="351" t="s">
        <v>1179</v>
      </c>
      <c r="AI3" s="351" t="s">
        <v>1180</v>
      </c>
      <c r="AJ3" s="351" t="s">
        <v>1181</v>
      </c>
      <c r="AK3" s="351" t="s">
        <v>1182</v>
      </c>
      <c r="AL3" s="351" t="s">
        <v>1183</v>
      </c>
      <c r="AM3" s="351" t="s">
        <v>1184</v>
      </c>
      <c r="AN3" s="351" t="s">
        <v>1185</v>
      </c>
      <c r="AO3" s="351" t="s">
        <v>1186</v>
      </c>
      <c r="AP3" s="351" t="s">
        <v>1187</v>
      </c>
      <c r="AQ3" s="351" t="s">
        <v>1188</v>
      </c>
      <c r="AR3" s="351" t="s">
        <v>1189</v>
      </c>
      <c r="AS3" s="351" t="s">
        <v>1190</v>
      </c>
      <c r="AT3" s="351" t="s">
        <v>1191</v>
      </c>
      <c r="AU3" s="351" t="s">
        <v>1192</v>
      </c>
      <c r="AV3" s="351" t="s">
        <v>1193</v>
      </c>
      <c r="AW3" s="351" t="s">
        <v>1194</v>
      </c>
      <c r="AX3" s="351" t="s">
        <v>1195</v>
      </c>
      <c r="AY3" s="351" t="s">
        <v>1196</v>
      </c>
      <c r="AZ3" s="351" t="s">
        <v>1197</v>
      </c>
      <c r="BA3" s="351" t="s">
        <v>1198</v>
      </c>
      <c r="BB3" s="351" t="s">
        <v>1199</v>
      </c>
      <c r="BC3" s="351" t="s">
        <v>1200</v>
      </c>
      <c r="BD3" s="351" t="s">
        <v>1201</v>
      </c>
      <c r="BE3" s="351" t="s">
        <v>1202</v>
      </c>
      <c r="BF3" s="351" t="s">
        <v>1203</v>
      </c>
      <c r="BG3" s="351" t="s">
        <v>1204</v>
      </c>
      <c r="BH3" s="351" t="s">
        <v>1205</v>
      </c>
      <c r="BI3" s="351" t="s">
        <v>1206</v>
      </c>
      <c r="BJ3" s="351" t="s">
        <v>1207</v>
      </c>
      <c r="BK3" s="351" t="s">
        <v>1208</v>
      </c>
      <c r="BL3" s="351" t="s">
        <v>1209</v>
      </c>
      <c r="BM3" s="351" t="s">
        <v>1210</v>
      </c>
      <c r="BN3" s="351" t="s">
        <v>1211</v>
      </c>
      <c r="BO3" s="360" t="s">
        <v>1212</v>
      </c>
      <c r="BP3" s="360" t="s">
        <v>1213</v>
      </c>
      <c r="BQ3" s="361"/>
      <c r="BR3" s="361"/>
      <c r="BS3" s="361"/>
      <c r="BT3" s="361"/>
      <c r="BU3" s="361"/>
      <c r="BV3" s="362"/>
    </row>
    <row r="4" spans="1:74" ht="15" customHeight="1">
      <c r="A4" s="356"/>
      <c r="B4" s="357"/>
      <c r="C4" s="358"/>
      <c r="D4" s="359"/>
      <c r="E4" s="358"/>
      <c r="F4" s="358"/>
      <c r="G4" s="358"/>
      <c r="H4" s="358"/>
      <c r="I4" s="358"/>
      <c r="J4" s="358"/>
      <c r="K4" s="358"/>
      <c r="L4" s="358"/>
      <c r="M4" s="358"/>
      <c r="N4" s="358"/>
      <c r="O4" s="358"/>
      <c r="P4" s="358"/>
      <c r="Q4" s="358"/>
      <c r="R4" s="358"/>
      <c r="S4" s="358"/>
      <c r="T4" s="358"/>
      <c r="U4" s="358"/>
      <c r="V4" s="358"/>
      <c r="W4" s="358"/>
      <c r="X4" s="358"/>
      <c r="Y4" s="358"/>
      <c r="Z4" s="358"/>
      <c r="AA4" s="358"/>
      <c r="AB4" s="358"/>
      <c r="AC4" s="358"/>
      <c r="AD4" s="358"/>
      <c r="AE4" s="358"/>
      <c r="AF4" s="358"/>
      <c r="AG4" s="358"/>
      <c r="AH4" s="358"/>
      <c r="AI4" s="358"/>
      <c r="AJ4" s="358"/>
      <c r="AK4" s="358"/>
      <c r="AL4" s="358"/>
      <c r="AM4" s="358"/>
      <c r="AN4" s="358"/>
      <c r="AO4" s="358"/>
      <c r="AP4" s="358"/>
      <c r="AQ4" s="358"/>
      <c r="AR4" s="358"/>
      <c r="AS4" s="358"/>
      <c r="AT4" s="358"/>
      <c r="AU4" s="358"/>
      <c r="AV4" s="358"/>
      <c r="AW4" s="358"/>
      <c r="AX4" s="358"/>
      <c r="AY4" s="358"/>
      <c r="AZ4" s="358"/>
      <c r="BA4" s="358"/>
      <c r="BB4" s="358"/>
      <c r="BC4" s="358"/>
      <c r="BD4" s="358"/>
      <c r="BE4" s="358"/>
      <c r="BF4" s="358"/>
      <c r="BG4" s="358"/>
      <c r="BH4" s="358"/>
      <c r="BI4" s="358"/>
      <c r="BJ4" s="358"/>
      <c r="BK4" s="358"/>
      <c r="BL4" s="358"/>
      <c r="BM4" s="358"/>
      <c r="BN4" s="363"/>
      <c r="BO4" s="364"/>
      <c r="BP4" s="364"/>
      <c r="BQ4" s="364"/>
      <c r="BR4" s="364"/>
      <c r="BS4" s="364"/>
      <c r="BT4" s="364"/>
      <c r="BU4" s="364"/>
      <c r="BV4" s="363"/>
    </row>
    <row r="5" spans="1:74">
      <c r="A5" s="365" t="s">
        <v>1214</v>
      </c>
      <c r="B5" s="366" t="s">
        <v>41</v>
      </c>
      <c r="C5" s="367" t="s">
        <v>1215</v>
      </c>
      <c r="D5" s="368">
        <v>0</v>
      </c>
      <c r="E5" s="369">
        <v>5733.11</v>
      </c>
      <c r="F5" s="369">
        <v>588.59</v>
      </c>
      <c r="G5" s="369">
        <v>69.37</v>
      </c>
      <c r="H5" s="369">
        <v>11.88</v>
      </c>
      <c r="I5" s="369">
        <v>1.1499999999999999</v>
      </c>
      <c r="J5" s="369">
        <v>4.3899999999999997</v>
      </c>
      <c r="K5" s="369">
        <v>5.51</v>
      </c>
      <c r="L5" s="369">
        <v>52512.86</v>
      </c>
      <c r="M5" s="369">
        <v>10861.75</v>
      </c>
      <c r="N5" s="369">
        <v>2005.83</v>
      </c>
      <c r="O5" s="369">
        <v>47.66</v>
      </c>
      <c r="P5" s="369">
        <v>0.77</v>
      </c>
      <c r="Q5" s="369">
        <v>79.650000000000006</v>
      </c>
      <c r="R5" s="369">
        <v>31.19</v>
      </c>
      <c r="S5" s="369">
        <v>147.52000000000001</v>
      </c>
      <c r="T5" s="369">
        <v>91.56</v>
      </c>
      <c r="U5" s="369">
        <v>105.02</v>
      </c>
      <c r="V5" s="369">
        <v>113.03</v>
      </c>
      <c r="W5" s="369">
        <v>381.05</v>
      </c>
      <c r="X5" s="369">
        <v>939.9</v>
      </c>
      <c r="Y5" s="369">
        <v>11.21</v>
      </c>
      <c r="Z5" s="369">
        <v>14.59</v>
      </c>
      <c r="AA5" s="369">
        <v>69.23</v>
      </c>
      <c r="AB5" s="369">
        <v>11.53</v>
      </c>
      <c r="AC5" s="369">
        <v>82.65</v>
      </c>
      <c r="AD5" s="369">
        <v>57.35</v>
      </c>
      <c r="AE5" s="369">
        <v>159.76</v>
      </c>
      <c r="AF5" s="369">
        <v>108.28</v>
      </c>
      <c r="AG5" s="369">
        <v>0</v>
      </c>
      <c r="AH5" s="369">
        <v>24.69</v>
      </c>
      <c r="AI5" s="369">
        <v>118.24</v>
      </c>
      <c r="AJ5" s="369">
        <v>69.44</v>
      </c>
      <c r="AK5" s="369">
        <v>27.29</v>
      </c>
      <c r="AL5" s="369">
        <v>429.54</v>
      </c>
      <c r="AM5" s="369">
        <v>27.94</v>
      </c>
      <c r="AN5" s="369">
        <v>0</v>
      </c>
      <c r="AO5" s="369">
        <v>6.82</v>
      </c>
      <c r="AP5" s="369">
        <v>24.56</v>
      </c>
      <c r="AQ5" s="369">
        <v>8.39</v>
      </c>
      <c r="AR5" s="369">
        <v>0</v>
      </c>
      <c r="AS5" s="369">
        <v>340.6</v>
      </c>
      <c r="AT5" s="369">
        <v>1.96</v>
      </c>
      <c r="AU5" s="369">
        <v>7.0000000000000007E-2</v>
      </c>
      <c r="AV5" s="369">
        <v>0.49</v>
      </c>
      <c r="AW5" s="369">
        <v>0.62</v>
      </c>
      <c r="AX5" s="369">
        <v>0.04</v>
      </c>
      <c r="AY5" s="369">
        <v>0</v>
      </c>
      <c r="AZ5" s="369">
        <v>0</v>
      </c>
      <c r="BA5" s="369">
        <v>0</v>
      </c>
      <c r="BB5" s="369">
        <v>68.400000000000006</v>
      </c>
      <c r="BC5" s="369">
        <v>6.64</v>
      </c>
      <c r="BD5" s="369">
        <v>21.48</v>
      </c>
      <c r="BE5" s="369">
        <v>2.63</v>
      </c>
      <c r="BF5" s="369">
        <v>89.99</v>
      </c>
      <c r="BG5" s="369">
        <v>311.79000000000002</v>
      </c>
      <c r="BH5" s="369">
        <v>67.86</v>
      </c>
      <c r="BI5" s="369">
        <v>238.31</v>
      </c>
      <c r="BJ5" s="369">
        <v>1.07</v>
      </c>
      <c r="BK5" s="369">
        <v>3.43</v>
      </c>
      <c r="BL5" s="369">
        <v>69.569999999999993</v>
      </c>
      <c r="BM5" s="369">
        <v>7.04</v>
      </c>
      <c r="BN5" s="370">
        <v>1168.32</v>
      </c>
      <c r="BO5" s="371">
        <v>77383.58</v>
      </c>
      <c r="BP5" s="372"/>
      <c r="BQ5" s="370">
        <v>26162.44</v>
      </c>
      <c r="BR5" s="370">
        <v>99734.02</v>
      </c>
      <c r="BS5" s="370">
        <v>0</v>
      </c>
      <c r="BT5" s="370">
        <v>0</v>
      </c>
      <c r="BU5" s="370">
        <v>-158</v>
      </c>
      <c r="BV5" s="370">
        <v>-636.96</v>
      </c>
    </row>
    <row r="6" spans="1:74">
      <c r="A6" s="365" t="s">
        <v>1216</v>
      </c>
      <c r="B6" s="366" t="s">
        <v>1217</v>
      </c>
      <c r="C6" s="373">
        <v>67540.81</v>
      </c>
      <c r="D6" s="368">
        <v>0</v>
      </c>
      <c r="E6" s="369">
        <v>0</v>
      </c>
      <c r="F6" s="369">
        <v>0</v>
      </c>
      <c r="G6" s="369">
        <v>0</v>
      </c>
      <c r="H6" s="369">
        <v>0</v>
      </c>
      <c r="I6" s="369">
        <v>0</v>
      </c>
      <c r="J6" s="369">
        <v>0</v>
      </c>
      <c r="K6" s="369">
        <v>0</v>
      </c>
      <c r="L6" s="369">
        <v>32058.82</v>
      </c>
      <c r="M6" s="369">
        <v>224.27</v>
      </c>
      <c r="N6" s="369">
        <v>4166.1400000000003</v>
      </c>
      <c r="O6" s="369">
        <v>0</v>
      </c>
      <c r="P6" s="369">
        <v>5037.0600000000004</v>
      </c>
      <c r="Q6" s="369">
        <v>861.03</v>
      </c>
      <c r="R6" s="369">
        <v>0</v>
      </c>
      <c r="S6" s="369">
        <v>0</v>
      </c>
      <c r="T6" s="369">
        <v>0</v>
      </c>
      <c r="U6" s="369">
        <v>0</v>
      </c>
      <c r="V6" s="369">
        <v>0</v>
      </c>
      <c r="W6" s="369">
        <v>452.2</v>
      </c>
      <c r="X6" s="369">
        <v>0</v>
      </c>
      <c r="Y6" s="369">
        <v>0</v>
      </c>
      <c r="Z6" s="369">
        <v>0</v>
      </c>
      <c r="AA6" s="369">
        <v>0</v>
      </c>
      <c r="AB6" s="369">
        <v>0</v>
      </c>
      <c r="AC6" s="369">
        <v>0</v>
      </c>
      <c r="AD6" s="369">
        <v>0</v>
      </c>
      <c r="AE6" s="369">
        <v>0</v>
      </c>
      <c r="AF6" s="369">
        <v>0</v>
      </c>
      <c r="AG6" s="369">
        <v>0</v>
      </c>
      <c r="AH6" s="369">
        <v>0</v>
      </c>
      <c r="AI6" s="369">
        <v>0</v>
      </c>
      <c r="AJ6" s="369">
        <v>0</v>
      </c>
      <c r="AK6" s="369">
        <v>0</v>
      </c>
      <c r="AL6" s="369">
        <v>1372.86</v>
      </c>
      <c r="AM6" s="369">
        <v>0</v>
      </c>
      <c r="AN6" s="369">
        <v>0</v>
      </c>
      <c r="AO6" s="369">
        <v>0</v>
      </c>
      <c r="AP6" s="369">
        <v>0</v>
      </c>
      <c r="AQ6" s="369">
        <v>0</v>
      </c>
      <c r="AR6" s="369">
        <v>0</v>
      </c>
      <c r="AS6" s="369">
        <v>0</v>
      </c>
      <c r="AT6" s="369">
        <v>0</v>
      </c>
      <c r="AU6" s="369">
        <v>0</v>
      </c>
      <c r="AV6" s="369">
        <v>0</v>
      </c>
      <c r="AW6" s="369">
        <v>0</v>
      </c>
      <c r="AX6" s="369">
        <v>0</v>
      </c>
      <c r="AY6" s="369">
        <v>0</v>
      </c>
      <c r="AZ6" s="369">
        <v>0</v>
      </c>
      <c r="BA6" s="369">
        <v>0</v>
      </c>
      <c r="BB6" s="369">
        <v>0</v>
      </c>
      <c r="BC6" s="369">
        <v>0</v>
      </c>
      <c r="BD6" s="369">
        <v>0</v>
      </c>
      <c r="BE6" s="369">
        <v>0</v>
      </c>
      <c r="BF6" s="369">
        <v>0</v>
      </c>
      <c r="BG6" s="369">
        <v>0</v>
      </c>
      <c r="BH6" s="369">
        <v>0</v>
      </c>
      <c r="BI6" s="369">
        <v>0</v>
      </c>
      <c r="BJ6" s="369">
        <v>0</v>
      </c>
      <c r="BK6" s="369">
        <v>0</v>
      </c>
      <c r="BL6" s="369">
        <v>0</v>
      </c>
      <c r="BM6" s="369">
        <v>0</v>
      </c>
      <c r="BN6" s="370">
        <v>3507.2</v>
      </c>
      <c r="BO6" s="373">
        <v>47679.6</v>
      </c>
      <c r="BP6" s="374"/>
      <c r="BQ6" s="370">
        <v>3500.97</v>
      </c>
      <c r="BR6" s="370">
        <v>16660.400000000001</v>
      </c>
      <c r="BS6" s="370">
        <v>0</v>
      </c>
      <c r="BT6" s="370">
        <v>0</v>
      </c>
      <c r="BU6" s="370">
        <v>-122</v>
      </c>
      <c r="BV6" s="370">
        <v>-178.15</v>
      </c>
    </row>
    <row r="7" spans="1:74">
      <c r="A7" s="365" t="s">
        <v>1218</v>
      </c>
      <c r="B7" s="366" t="s">
        <v>1085</v>
      </c>
      <c r="C7" s="373">
        <v>23558.82</v>
      </c>
      <c r="D7" s="368">
        <v>0</v>
      </c>
      <c r="E7" s="369">
        <v>0</v>
      </c>
      <c r="F7" s="369">
        <v>0</v>
      </c>
      <c r="G7" s="369">
        <v>0</v>
      </c>
      <c r="H7" s="369">
        <v>0</v>
      </c>
      <c r="I7" s="369">
        <v>0</v>
      </c>
      <c r="J7" s="369">
        <v>0</v>
      </c>
      <c r="K7" s="369">
        <v>0</v>
      </c>
      <c r="L7" s="369">
        <v>0</v>
      </c>
      <c r="M7" s="369">
        <v>0</v>
      </c>
      <c r="N7" s="369">
        <v>0</v>
      </c>
      <c r="O7" s="369">
        <v>0</v>
      </c>
      <c r="P7" s="369">
        <v>0</v>
      </c>
      <c r="Q7" s="369">
        <v>0</v>
      </c>
      <c r="R7" s="369">
        <v>7621.25</v>
      </c>
      <c r="S7" s="369">
        <v>8983.51</v>
      </c>
      <c r="T7" s="369">
        <v>115.95</v>
      </c>
      <c r="U7" s="369">
        <v>0</v>
      </c>
      <c r="V7" s="369">
        <v>0</v>
      </c>
      <c r="W7" s="369">
        <v>29.29</v>
      </c>
      <c r="X7" s="369">
        <v>23.96</v>
      </c>
      <c r="Y7" s="369">
        <v>0</v>
      </c>
      <c r="Z7" s="369">
        <v>0</v>
      </c>
      <c r="AA7" s="369">
        <v>0</v>
      </c>
      <c r="AB7" s="369">
        <v>0</v>
      </c>
      <c r="AC7" s="369">
        <v>0</v>
      </c>
      <c r="AD7" s="369">
        <v>0</v>
      </c>
      <c r="AE7" s="369">
        <v>0</v>
      </c>
      <c r="AF7" s="369">
        <v>0</v>
      </c>
      <c r="AG7" s="369">
        <v>0</v>
      </c>
      <c r="AH7" s="369">
        <v>0</v>
      </c>
      <c r="AI7" s="369">
        <v>0</v>
      </c>
      <c r="AJ7" s="369">
        <v>0</v>
      </c>
      <c r="AK7" s="369">
        <v>354.9</v>
      </c>
      <c r="AL7" s="369">
        <v>18.34</v>
      </c>
      <c r="AM7" s="369">
        <v>0</v>
      </c>
      <c r="AN7" s="369">
        <v>0</v>
      </c>
      <c r="AO7" s="369">
        <v>0</v>
      </c>
      <c r="AP7" s="369">
        <v>0</v>
      </c>
      <c r="AQ7" s="369">
        <v>0</v>
      </c>
      <c r="AR7" s="369">
        <v>0</v>
      </c>
      <c r="AS7" s="369">
        <v>0</v>
      </c>
      <c r="AT7" s="369">
        <v>0</v>
      </c>
      <c r="AU7" s="369">
        <v>0</v>
      </c>
      <c r="AV7" s="369">
        <v>0</v>
      </c>
      <c r="AW7" s="369">
        <v>0</v>
      </c>
      <c r="AX7" s="369">
        <v>0</v>
      </c>
      <c r="AY7" s="369">
        <v>0</v>
      </c>
      <c r="AZ7" s="369">
        <v>0</v>
      </c>
      <c r="BA7" s="369">
        <v>0</v>
      </c>
      <c r="BB7" s="369">
        <v>0</v>
      </c>
      <c r="BC7" s="369">
        <v>0</v>
      </c>
      <c r="BD7" s="369">
        <v>0</v>
      </c>
      <c r="BE7" s="369">
        <v>0</v>
      </c>
      <c r="BF7" s="369">
        <v>0</v>
      </c>
      <c r="BG7" s="369">
        <v>0</v>
      </c>
      <c r="BH7" s="369">
        <v>0</v>
      </c>
      <c r="BI7" s="369">
        <v>0</v>
      </c>
      <c r="BJ7" s="369">
        <v>0</v>
      </c>
      <c r="BK7" s="369">
        <v>0</v>
      </c>
      <c r="BL7" s="369">
        <v>0</v>
      </c>
      <c r="BM7" s="369">
        <v>0</v>
      </c>
      <c r="BN7" s="370">
        <v>46.93</v>
      </c>
      <c r="BO7" s="373">
        <v>17194.13</v>
      </c>
      <c r="BP7" s="374"/>
      <c r="BQ7" s="370">
        <v>291.60000000000002</v>
      </c>
      <c r="BR7" s="370">
        <v>6198.69</v>
      </c>
      <c r="BS7" s="370">
        <v>0</v>
      </c>
      <c r="BT7" s="370">
        <v>0</v>
      </c>
      <c r="BU7" s="370">
        <v>-31</v>
      </c>
      <c r="BV7" s="370">
        <v>-94.59</v>
      </c>
    </row>
    <row r="8" spans="1:74">
      <c r="A8" s="365" t="s">
        <v>1219</v>
      </c>
      <c r="B8" s="366" t="s">
        <v>1086</v>
      </c>
      <c r="C8" s="373">
        <v>12410.25</v>
      </c>
      <c r="D8" s="368">
        <v>0</v>
      </c>
      <c r="E8" s="369">
        <v>0</v>
      </c>
      <c r="F8" s="369">
        <v>0</v>
      </c>
      <c r="G8" s="369">
        <v>0</v>
      </c>
      <c r="H8" s="369">
        <v>0</v>
      </c>
      <c r="I8" s="369">
        <v>0</v>
      </c>
      <c r="J8" s="369">
        <v>0</v>
      </c>
      <c r="K8" s="369">
        <v>0</v>
      </c>
      <c r="L8" s="369">
        <v>3943.91</v>
      </c>
      <c r="M8" s="369">
        <v>0</v>
      </c>
      <c r="N8" s="369">
        <v>0</v>
      </c>
      <c r="O8" s="369">
        <v>0</v>
      </c>
      <c r="P8" s="369">
        <v>0</v>
      </c>
      <c r="Q8" s="369">
        <v>0</v>
      </c>
      <c r="R8" s="369">
        <v>0</v>
      </c>
      <c r="S8" s="369">
        <v>0</v>
      </c>
      <c r="T8" s="369">
        <v>0</v>
      </c>
      <c r="U8" s="369">
        <v>0</v>
      </c>
      <c r="V8" s="369">
        <v>0</v>
      </c>
      <c r="W8" s="369">
        <v>0</v>
      </c>
      <c r="X8" s="369">
        <v>0</v>
      </c>
      <c r="Y8" s="369">
        <v>0</v>
      </c>
      <c r="Z8" s="369">
        <v>0</v>
      </c>
      <c r="AA8" s="369">
        <v>0</v>
      </c>
      <c r="AB8" s="369">
        <v>0</v>
      </c>
      <c r="AC8" s="369">
        <v>0</v>
      </c>
      <c r="AD8" s="369">
        <v>0</v>
      </c>
      <c r="AE8" s="369">
        <v>0</v>
      </c>
      <c r="AF8" s="369">
        <v>0</v>
      </c>
      <c r="AG8" s="369">
        <v>0</v>
      </c>
      <c r="AH8" s="369">
        <v>0</v>
      </c>
      <c r="AI8" s="369">
        <v>0</v>
      </c>
      <c r="AJ8" s="369">
        <v>0</v>
      </c>
      <c r="AK8" s="369">
        <v>0</v>
      </c>
      <c r="AL8" s="369">
        <v>149.59</v>
      </c>
      <c r="AM8" s="369">
        <v>9.65</v>
      </c>
      <c r="AN8" s="369">
        <v>0</v>
      </c>
      <c r="AO8" s="369">
        <v>0</v>
      </c>
      <c r="AP8" s="369">
        <v>0</v>
      </c>
      <c r="AQ8" s="369">
        <v>0</v>
      </c>
      <c r="AR8" s="369">
        <v>0</v>
      </c>
      <c r="AS8" s="369">
        <v>252.19</v>
      </c>
      <c r="AT8" s="369">
        <v>6.53</v>
      </c>
      <c r="AU8" s="369">
        <v>0.22</v>
      </c>
      <c r="AV8" s="369">
        <v>1.64</v>
      </c>
      <c r="AW8" s="369">
        <v>2.06</v>
      </c>
      <c r="AX8" s="369">
        <v>0.14000000000000001</v>
      </c>
      <c r="AY8" s="369">
        <v>0</v>
      </c>
      <c r="AZ8" s="369">
        <v>0</v>
      </c>
      <c r="BA8" s="369">
        <v>0</v>
      </c>
      <c r="BB8" s="369">
        <v>18.47</v>
      </c>
      <c r="BC8" s="369">
        <v>1.79</v>
      </c>
      <c r="BD8" s="369">
        <v>5.8</v>
      </c>
      <c r="BE8" s="369">
        <v>0.71</v>
      </c>
      <c r="BF8" s="369">
        <v>24.31</v>
      </c>
      <c r="BG8" s="369">
        <v>175.77</v>
      </c>
      <c r="BH8" s="369">
        <v>16.29</v>
      </c>
      <c r="BI8" s="369">
        <v>57.2</v>
      </c>
      <c r="BJ8" s="369">
        <v>0.26</v>
      </c>
      <c r="BK8" s="369">
        <v>0.82</v>
      </c>
      <c r="BL8" s="369">
        <v>16.7</v>
      </c>
      <c r="BM8" s="369">
        <v>1.69</v>
      </c>
      <c r="BN8" s="370">
        <v>520.32000000000005</v>
      </c>
      <c r="BO8" s="373">
        <v>5206.0600000000004</v>
      </c>
      <c r="BP8" s="374"/>
      <c r="BQ8" s="370">
        <v>2446.41</v>
      </c>
      <c r="BR8" s="370">
        <v>4781</v>
      </c>
      <c r="BS8" s="370">
        <v>0</v>
      </c>
      <c r="BT8" s="370">
        <v>0</v>
      </c>
      <c r="BU8" s="370">
        <v>-9</v>
      </c>
      <c r="BV8" s="370">
        <v>-14.23</v>
      </c>
    </row>
    <row r="9" spans="1:74">
      <c r="A9" s="375" t="s">
        <v>1220</v>
      </c>
      <c r="B9" s="376" t="s">
        <v>1221</v>
      </c>
      <c r="C9" s="377" t="s">
        <v>1215</v>
      </c>
      <c r="D9" s="378">
        <v>0</v>
      </c>
      <c r="E9" s="379">
        <v>23.08</v>
      </c>
      <c r="F9" s="379">
        <v>0</v>
      </c>
      <c r="G9" s="379">
        <v>0</v>
      </c>
      <c r="H9" s="379">
        <v>8.2899999999999991</v>
      </c>
      <c r="I9" s="379">
        <v>451.16</v>
      </c>
      <c r="J9" s="379">
        <v>3560.55</v>
      </c>
      <c r="K9" s="379">
        <v>769.61</v>
      </c>
      <c r="L9" s="379">
        <v>636.07000000000005</v>
      </c>
      <c r="M9" s="379">
        <v>105.81</v>
      </c>
      <c r="N9" s="379">
        <v>238.98</v>
      </c>
      <c r="O9" s="379">
        <v>73.69</v>
      </c>
      <c r="P9" s="379">
        <v>3.97</v>
      </c>
      <c r="Q9" s="379">
        <v>1</v>
      </c>
      <c r="R9" s="379">
        <v>163.19999999999999</v>
      </c>
      <c r="S9" s="379">
        <v>3198.31</v>
      </c>
      <c r="T9" s="379">
        <v>25.92</v>
      </c>
      <c r="U9" s="379">
        <v>7737.63</v>
      </c>
      <c r="V9" s="379">
        <v>324.81</v>
      </c>
      <c r="W9" s="379">
        <v>95.44</v>
      </c>
      <c r="X9" s="379">
        <v>55.38</v>
      </c>
      <c r="Y9" s="379">
        <v>10.64</v>
      </c>
      <c r="Z9" s="379">
        <v>15.95</v>
      </c>
      <c r="AA9" s="379">
        <v>1176.8499999999999</v>
      </c>
      <c r="AB9" s="379">
        <v>3576.96</v>
      </c>
      <c r="AC9" s="379">
        <v>18.95</v>
      </c>
      <c r="AD9" s="379">
        <v>53.51</v>
      </c>
      <c r="AE9" s="379">
        <v>28.43</v>
      </c>
      <c r="AF9" s="379">
        <v>16.059999999999999</v>
      </c>
      <c r="AG9" s="379">
        <v>4.9800000000000004</v>
      </c>
      <c r="AH9" s="379">
        <v>0.42</v>
      </c>
      <c r="AI9" s="379">
        <v>3.13</v>
      </c>
      <c r="AJ9" s="379">
        <v>4.29</v>
      </c>
      <c r="AK9" s="379">
        <v>25.65</v>
      </c>
      <c r="AL9" s="379">
        <v>10.07</v>
      </c>
      <c r="AM9" s="379">
        <v>36567.269999999997</v>
      </c>
      <c r="AN9" s="379">
        <v>1525.47</v>
      </c>
      <c r="AO9" s="379">
        <v>0</v>
      </c>
      <c r="AP9" s="379">
        <v>0</v>
      </c>
      <c r="AQ9" s="379">
        <v>0</v>
      </c>
      <c r="AR9" s="379">
        <v>0</v>
      </c>
      <c r="AS9" s="379">
        <v>46.55</v>
      </c>
      <c r="AT9" s="379">
        <v>83.72</v>
      </c>
      <c r="AU9" s="379">
        <v>2.82</v>
      </c>
      <c r="AV9" s="379">
        <v>21.02</v>
      </c>
      <c r="AW9" s="379">
        <v>26.41</v>
      </c>
      <c r="AX9" s="379">
        <v>1.8</v>
      </c>
      <c r="AY9" s="379">
        <v>0</v>
      </c>
      <c r="AZ9" s="379">
        <v>0</v>
      </c>
      <c r="BA9" s="379">
        <v>0</v>
      </c>
      <c r="BB9" s="379">
        <v>0</v>
      </c>
      <c r="BC9" s="379">
        <v>0</v>
      </c>
      <c r="BD9" s="379">
        <v>0</v>
      </c>
      <c r="BE9" s="379">
        <v>0</v>
      </c>
      <c r="BF9" s="379">
        <v>0</v>
      </c>
      <c r="BG9" s="379">
        <v>683.05</v>
      </c>
      <c r="BH9" s="379">
        <v>16.04</v>
      </c>
      <c r="BI9" s="379">
        <v>56.34</v>
      </c>
      <c r="BJ9" s="379">
        <v>0.25</v>
      </c>
      <c r="BK9" s="379">
        <v>0.81</v>
      </c>
      <c r="BL9" s="379">
        <v>16.45</v>
      </c>
      <c r="BM9" s="379">
        <v>1.66</v>
      </c>
      <c r="BN9" s="380">
        <v>76.209999999999994</v>
      </c>
      <c r="BO9" s="381">
        <v>61544.66</v>
      </c>
      <c r="BP9" s="382"/>
      <c r="BQ9" s="380">
        <v>45955.78</v>
      </c>
      <c r="BR9" s="380">
        <v>2677.53</v>
      </c>
      <c r="BS9" s="380">
        <v>0</v>
      </c>
      <c r="BT9" s="380">
        <v>0</v>
      </c>
      <c r="BU9" s="380">
        <v>472</v>
      </c>
      <c r="BV9" s="380">
        <v>-243.24</v>
      </c>
    </row>
    <row r="10" spans="1:74">
      <c r="A10" s="365" t="s">
        <v>1222</v>
      </c>
      <c r="B10" s="366" t="s">
        <v>1223</v>
      </c>
      <c r="C10" s="367" t="s">
        <v>1215</v>
      </c>
      <c r="D10" s="368">
        <v>0</v>
      </c>
      <c r="E10" s="369">
        <v>0</v>
      </c>
      <c r="F10" s="369">
        <v>0</v>
      </c>
      <c r="G10" s="369">
        <v>0</v>
      </c>
      <c r="H10" s="369">
        <v>0</v>
      </c>
      <c r="I10" s="369">
        <v>0</v>
      </c>
      <c r="J10" s="369">
        <v>0</v>
      </c>
      <c r="K10" s="369">
        <v>0</v>
      </c>
      <c r="L10" s="369">
        <v>0</v>
      </c>
      <c r="M10" s="369">
        <v>0</v>
      </c>
      <c r="N10" s="369">
        <v>0</v>
      </c>
      <c r="O10" s="369">
        <v>0</v>
      </c>
      <c r="P10" s="369">
        <v>0</v>
      </c>
      <c r="Q10" s="369">
        <v>0</v>
      </c>
      <c r="R10" s="369">
        <v>12.53</v>
      </c>
      <c r="S10" s="369">
        <v>0</v>
      </c>
      <c r="T10" s="369">
        <v>0.45</v>
      </c>
      <c r="U10" s="369">
        <v>9.1300000000000008</v>
      </c>
      <c r="V10" s="369">
        <v>0</v>
      </c>
      <c r="W10" s="369">
        <v>0</v>
      </c>
      <c r="X10" s="369">
        <v>0</v>
      </c>
      <c r="Y10" s="369">
        <v>0</v>
      </c>
      <c r="Z10" s="369">
        <v>0</v>
      </c>
      <c r="AA10" s="369">
        <v>0.2</v>
      </c>
      <c r="AB10" s="369">
        <v>38101.14</v>
      </c>
      <c r="AC10" s="369">
        <v>9323.24</v>
      </c>
      <c r="AD10" s="369">
        <v>2136.42</v>
      </c>
      <c r="AE10" s="369">
        <v>2191.6799999999998</v>
      </c>
      <c r="AF10" s="369">
        <v>2056.4699999999998</v>
      </c>
      <c r="AG10" s="369">
        <v>769.67</v>
      </c>
      <c r="AH10" s="369">
        <v>0</v>
      </c>
      <c r="AI10" s="369">
        <v>2972.53</v>
      </c>
      <c r="AJ10" s="369">
        <v>269.91000000000003</v>
      </c>
      <c r="AK10" s="369">
        <v>0</v>
      </c>
      <c r="AL10" s="369">
        <v>250.1</v>
      </c>
      <c r="AM10" s="369">
        <v>0</v>
      </c>
      <c r="AN10" s="369">
        <v>0</v>
      </c>
      <c r="AO10" s="369">
        <v>0</v>
      </c>
      <c r="AP10" s="369">
        <v>0</v>
      </c>
      <c r="AQ10" s="369">
        <v>0</v>
      </c>
      <c r="AR10" s="369">
        <v>0</v>
      </c>
      <c r="AS10" s="369">
        <v>0</v>
      </c>
      <c r="AT10" s="369">
        <v>0</v>
      </c>
      <c r="AU10" s="369">
        <v>0</v>
      </c>
      <c r="AV10" s="369">
        <v>0</v>
      </c>
      <c r="AW10" s="369">
        <v>0</v>
      </c>
      <c r="AX10" s="369">
        <v>0</v>
      </c>
      <c r="AY10" s="369">
        <v>0</v>
      </c>
      <c r="AZ10" s="369">
        <v>0</v>
      </c>
      <c r="BA10" s="369">
        <v>0</v>
      </c>
      <c r="BB10" s="369">
        <v>0</v>
      </c>
      <c r="BC10" s="369">
        <v>0</v>
      </c>
      <c r="BD10" s="369">
        <v>0</v>
      </c>
      <c r="BE10" s="369">
        <v>0</v>
      </c>
      <c r="BF10" s="369">
        <v>0</v>
      </c>
      <c r="BG10" s="369">
        <v>0</v>
      </c>
      <c r="BH10" s="369">
        <v>0</v>
      </c>
      <c r="BI10" s="369">
        <v>0</v>
      </c>
      <c r="BJ10" s="369">
        <v>0</v>
      </c>
      <c r="BK10" s="369">
        <v>0</v>
      </c>
      <c r="BL10" s="369">
        <v>0</v>
      </c>
      <c r="BM10" s="369">
        <v>0</v>
      </c>
      <c r="BN10" s="370">
        <v>7.73</v>
      </c>
      <c r="BO10" s="373">
        <v>58101.21</v>
      </c>
      <c r="BP10" s="374"/>
      <c r="BQ10" s="383" t="s">
        <v>1215</v>
      </c>
      <c r="BR10" s="370">
        <v>0</v>
      </c>
      <c r="BS10" s="370">
        <v>0</v>
      </c>
      <c r="BT10" s="370">
        <v>0</v>
      </c>
      <c r="BU10" s="370">
        <v>2477.13</v>
      </c>
      <c r="BV10" s="370">
        <v>-1111.9000000000001</v>
      </c>
    </row>
    <row r="11" spans="1:74">
      <c r="A11" s="365" t="s">
        <v>1224</v>
      </c>
      <c r="B11" s="366" t="s">
        <v>1225</v>
      </c>
      <c r="C11" s="367" t="s">
        <v>1215</v>
      </c>
      <c r="D11" s="368">
        <v>0</v>
      </c>
      <c r="E11" s="369">
        <v>4360.17</v>
      </c>
      <c r="F11" s="369">
        <v>449.32</v>
      </c>
      <c r="G11" s="369">
        <v>51.77</v>
      </c>
      <c r="H11" s="369">
        <v>288.17</v>
      </c>
      <c r="I11" s="369">
        <v>97</v>
      </c>
      <c r="J11" s="369">
        <v>770.06</v>
      </c>
      <c r="K11" s="369">
        <v>279.47000000000003</v>
      </c>
      <c r="L11" s="369">
        <v>752.68</v>
      </c>
      <c r="M11" s="369">
        <v>0.31</v>
      </c>
      <c r="N11" s="369">
        <v>33.04</v>
      </c>
      <c r="O11" s="369">
        <v>0</v>
      </c>
      <c r="P11" s="369">
        <v>0</v>
      </c>
      <c r="Q11" s="369">
        <v>0</v>
      </c>
      <c r="R11" s="369">
        <v>772.97</v>
      </c>
      <c r="S11" s="369">
        <v>4.99</v>
      </c>
      <c r="T11" s="369">
        <v>620.02</v>
      </c>
      <c r="U11" s="384" t="s">
        <v>1215</v>
      </c>
      <c r="V11" s="369">
        <v>9327.7099999999991</v>
      </c>
      <c r="W11" s="369">
        <v>5132.93</v>
      </c>
      <c r="X11" s="369">
        <v>0</v>
      </c>
      <c r="Y11" s="369">
        <v>767.34</v>
      </c>
      <c r="Z11" s="369">
        <v>2127.85</v>
      </c>
      <c r="AA11" s="369">
        <v>20285.84</v>
      </c>
      <c r="AB11" s="369">
        <v>889.5</v>
      </c>
      <c r="AC11" s="369">
        <v>251.35</v>
      </c>
      <c r="AD11" s="369">
        <v>58.53</v>
      </c>
      <c r="AE11" s="369">
        <v>717.65</v>
      </c>
      <c r="AF11" s="369">
        <v>0</v>
      </c>
      <c r="AG11" s="369">
        <v>13.74</v>
      </c>
      <c r="AH11" s="369">
        <v>0</v>
      </c>
      <c r="AI11" s="369">
        <v>159.18</v>
      </c>
      <c r="AJ11" s="369">
        <v>0.28000000000000003</v>
      </c>
      <c r="AK11" s="369">
        <v>6.41</v>
      </c>
      <c r="AL11" s="369">
        <v>6497.3</v>
      </c>
      <c r="AM11" s="369">
        <v>152.5</v>
      </c>
      <c r="AN11" s="369">
        <v>55.59</v>
      </c>
      <c r="AO11" s="369">
        <v>17818.52</v>
      </c>
      <c r="AP11" s="369">
        <v>0</v>
      </c>
      <c r="AQ11" s="369">
        <v>0</v>
      </c>
      <c r="AR11" s="369">
        <v>0</v>
      </c>
      <c r="AS11" s="369">
        <v>36.69</v>
      </c>
      <c r="AT11" s="369">
        <v>1140.43</v>
      </c>
      <c r="AU11" s="369">
        <v>38.479999999999997</v>
      </c>
      <c r="AV11" s="369">
        <v>286.37</v>
      </c>
      <c r="AW11" s="369">
        <v>359.8</v>
      </c>
      <c r="AX11" s="369">
        <v>24.57</v>
      </c>
      <c r="AY11" s="369">
        <v>0</v>
      </c>
      <c r="AZ11" s="369">
        <v>0</v>
      </c>
      <c r="BA11" s="369">
        <v>0</v>
      </c>
      <c r="BB11" s="369">
        <v>0</v>
      </c>
      <c r="BC11" s="369">
        <v>0</v>
      </c>
      <c r="BD11" s="369">
        <v>0</v>
      </c>
      <c r="BE11" s="369">
        <v>0</v>
      </c>
      <c r="BF11" s="369">
        <v>0</v>
      </c>
      <c r="BG11" s="369">
        <v>3361.87</v>
      </c>
      <c r="BH11" s="369">
        <v>693.68</v>
      </c>
      <c r="BI11" s="369">
        <v>2436.12</v>
      </c>
      <c r="BJ11" s="369">
        <v>10.97</v>
      </c>
      <c r="BK11" s="369">
        <v>35.090000000000003</v>
      </c>
      <c r="BL11" s="369">
        <v>711.23</v>
      </c>
      <c r="BM11" s="369">
        <v>71.95</v>
      </c>
      <c r="BN11" s="370">
        <v>6212.59</v>
      </c>
      <c r="BO11" s="367" t="s">
        <v>1215</v>
      </c>
      <c r="BP11" s="374"/>
      <c r="BQ11" s="383" t="s">
        <v>1215</v>
      </c>
      <c r="BR11" s="370">
        <v>1108.94</v>
      </c>
      <c r="BS11" s="370">
        <v>0</v>
      </c>
      <c r="BT11" s="370">
        <v>0</v>
      </c>
      <c r="BU11" s="370">
        <v>2378</v>
      </c>
      <c r="BV11" s="370">
        <v>-871.37</v>
      </c>
    </row>
    <row r="12" spans="1:74">
      <c r="A12" s="375" t="s">
        <v>1226</v>
      </c>
      <c r="B12" s="376" t="s">
        <v>1227</v>
      </c>
      <c r="C12" s="381">
        <v>52582.99</v>
      </c>
      <c r="D12" s="378">
        <v>0</v>
      </c>
      <c r="E12" s="379">
        <v>4713.03</v>
      </c>
      <c r="F12" s="379">
        <v>484.8</v>
      </c>
      <c r="G12" s="379">
        <v>56.76</v>
      </c>
      <c r="H12" s="379">
        <v>1122.5</v>
      </c>
      <c r="I12" s="379">
        <v>10333.450000000001</v>
      </c>
      <c r="J12" s="379">
        <v>4113.7700000000004</v>
      </c>
      <c r="K12" s="379">
        <v>1088.26</v>
      </c>
      <c r="L12" s="379">
        <v>496.19</v>
      </c>
      <c r="M12" s="379">
        <v>16.09</v>
      </c>
      <c r="N12" s="379">
        <v>254.8</v>
      </c>
      <c r="O12" s="379">
        <v>29.64</v>
      </c>
      <c r="P12" s="379">
        <v>4.4800000000000004</v>
      </c>
      <c r="Q12" s="379">
        <v>0.03</v>
      </c>
      <c r="R12" s="379">
        <v>161.19</v>
      </c>
      <c r="S12" s="379">
        <v>767.71</v>
      </c>
      <c r="T12" s="379">
        <v>35.44</v>
      </c>
      <c r="U12" s="379">
        <v>1</v>
      </c>
      <c r="V12" s="379">
        <v>8845.34</v>
      </c>
      <c r="W12" s="379">
        <v>4710.79</v>
      </c>
      <c r="X12" s="379">
        <v>33.299999999999997</v>
      </c>
      <c r="Y12" s="379">
        <v>51.96</v>
      </c>
      <c r="Z12" s="379">
        <v>364.17</v>
      </c>
      <c r="AA12" s="379">
        <v>506.43</v>
      </c>
      <c r="AB12" s="379">
        <v>3906.97</v>
      </c>
      <c r="AC12" s="379">
        <v>356.46</v>
      </c>
      <c r="AD12" s="379">
        <v>584.82000000000005</v>
      </c>
      <c r="AE12" s="379">
        <v>354.33</v>
      </c>
      <c r="AF12" s="379">
        <v>38.119999999999997</v>
      </c>
      <c r="AG12" s="379">
        <v>10.17</v>
      </c>
      <c r="AH12" s="379">
        <v>1.48</v>
      </c>
      <c r="AI12" s="379">
        <v>578.11</v>
      </c>
      <c r="AJ12" s="379">
        <v>124.45</v>
      </c>
      <c r="AK12" s="379">
        <v>46.4</v>
      </c>
      <c r="AL12" s="379">
        <v>50.69</v>
      </c>
      <c r="AM12" s="379">
        <v>0</v>
      </c>
      <c r="AN12" s="379">
        <v>0</v>
      </c>
      <c r="AO12" s="379">
        <v>0</v>
      </c>
      <c r="AP12" s="379">
        <v>0</v>
      </c>
      <c r="AQ12" s="379">
        <v>0</v>
      </c>
      <c r="AR12" s="379">
        <v>0</v>
      </c>
      <c r="AS12" s="379">
        <v>0</v>
      </c>
      <c r="AT12" s="379">
        <v>0</v>
      </c>
      <c r="AU12" s="379">
        <v>0</v>
      </c>
      <c r="AV12" s="379">
        <v>0</v>
      </c>
      <c r="AW12" s="379">
        <v>0</v>
      </c>
      <c r="AX12" s="379">
        <v>0</v>
      </c>
      <c r="AY12" s="379">
        <v>0</v>
      </c>
      <c r="AZ12" s="379">
        <v>0</v>
      </c>
      <c r="BA12" s="379">
        <v>0</v>
      </c>
      <c r="BB12" s="379">
        <v>0</v>
      </c>
      <c r="BC12" s="379">
        <v>0</v>
      </c>
      <c r="BD12" s="379">
        <v>0</v>
      </c>
      <c r="BE12" s="379">
        <v>0</v>
      </c>
      <c r="BF12" s="379">
        <v>0</v>
      </c>
      <c r="BG12" s="379">
        <v>0</v>
      </c>
      <c r="BH12" s="379">
        <v>0</v>
      </c>
      <c r="BI12" s="379">
        <v>0</v>
      </c>
      <c r="BJ12" s="379">
        <v>0</v>
      </c>
      <c r="BK12" s="379">
        <v>0</v>
      </c>
      <c r="BL12" s="379">
        <v>0</v>
      </c>
      <c r="BM12" s="379">
        <v>0</v>
      </c>
      <c r="BN12" s="380">
        <v>23.12</v>
      </c>
      <c r="BO12" s="381">
        <v>44266.239999999998</v>
      </c>
      <c r="BP12" s="382"/>
      <c r="BQ12" s="380">
        <v>3217.57</v>
      </c>
      <c r="BR12" s="380">
        <v>5294</v>
      </c>
      <c r="BS12" s="380">
        <v>0</v>
      </c>
      <c r="BT12" s="380">
        <v>0</v>
      </c>
      <c r="BU12" s="380">
        <v>0</v>
      </c>
      <c r="BV12" s="380">
        <v>-194.82</v>
      </c>
    </row>
    <row r="13" spans="1:74">
      <c r="A13" s="365" t="s">
        <v>1228</v>
      </c>
      <c r="B13" s="366" t="s">
        <v>1229</v>
      </c>
      <c r="C13" s="373">
        <v>14321.49</v>
      </c>
      <c r="D13" s="368">
        <v>0</v>
      </c>
      <c r="E13" s="369">
        <v>915.11</v>
      </c>
      <c r="F13" s="369">
        <v>95.65</v>
      </c>
      <c r="G13" s="369">
        <v>12.86</v>
      </c>
      <c r="H13" s="369">
        <v>28.57</v>
      </c>
      <c r="I13" s="369">
        <v>289.08999999999997</v>
      </c>
      <c r="J13" s="369">
        <v>396.22</v>
      </c>
      <c r="K13" s="369">
        <v>104.74</v>
      </c>
      <c r="L13" s="369">
        <v>182.3</v>
      </c>
      <c r="M13" s="369">
        <v>1733.29</v>
      </c>
      <c r="N13" s="369">
        <v>0</v>
      </c>
      <c r="O13" s="369">
        <v>0</v>
      </c>
      <c r="P13" s="369">
        <v>0.08</v>
      </c>
      <c r="Q13" s="369">
        <v>0</v>
      </c>
      <c r="R13" s="369">
        <v>0</v>
      </c>
      <c r="S13" s="369">
        <v>0</v>
      </c>
      <c r="T13" s="369">
        <v>0</v>
      </c>
      <c r="U13" s="369">
        <v>0</v>
      </c>
      <c r="V13" s="369">
        <v>44.02</v>
      </c>
      <c r="W13" s="369">
        <v>27.98</v>
      </c>
      <c r="X13" s="369">
        <v>0</v>
      </c>
      <c r="Y13" s="369">
        <v>0</v>
      </c>
      <c r="Z13" s="369">
        <v>0</v>
      </c>
      <c r="AA13" s="369">
        <v>0</v>
      </c>
      <c r="AB13" s="369">
        <v>0</v>
      </c>
      <c r="AC13" s="369">
        <v>0</v>
      </c>
      <c r="AD13" s="369">
        <v>0</v>
      </c>
      <c r="AE13" s="369">
        <v>0</v>
      </c>
      <c r="AF13" s="369">
        <v>0</v>
      </c>
      <c r="AG13" s="369">
        <v>0</v>
      </c>
      <c r="AH13" s="369">
        <v>0</v>
      </c>
      <c r="AI13" s="369">
        <v>0</v>
      </c>
      <c r="AJ13" s="369">
        <v>0</v>
      </c>
      <c r="AK13" s="369">
        <v>0</v>
      </c>
      <c r="AL13" s="369">
        <v>4.66</v>
      </c>
      <c r="AM13" s="369">
        <v>0</v>
      </c>
      <c r="AN13" s="369">
        <v>10464.36</v>
      </c>
      <c r="AO13" s="369">
        <v>0</v>
      </c>
      <c r="AP13" s="369">
        <v>0</v>
      </c>
      <c r="AQ13" s="369">
        <v>0</v>
      </c>
      <c r="AR13" s="369">
        <v>0</v>
      </c>
      <c r="AS13" s="369">
        <v>0</v>
      </c>
      <c r="AT13" s="369">
        <v>0</v>
      </c>
      <c r="AU13" s="369">
        <v>0</v>
      </c>
      <c r="AV13" s="369">
        <v>0</v>
      </c>
      <c r="AW13" s="369">
        <v>0</v>
      </c>
      <c r="AX13" s="369">
        <v>0</v>
      </c>
      <c r="AY13" s="369">
        <v>0</v>
      </c>
      <c r="AZ13" s="369">
        <v>0</v>
      </c>
      <c r="BA13" s="369">
        <v>0</v>
      </c>
      <c r="BB13" s="369">
        <v>0</v>
      </c>
      <c r="BC13" s="369">
        <v>0</v>
      </c>
      <c r="BD13" s="369">
        <v>0</v>
      </c>
      <c r="BE13" s="369">
        <v>0</v>
      </c>
      <c r="BF13" s="369">
        <v>0</v>
      </c>
      <c r="BG13" s="369">
        <v>0</v>
      </c>
      <c r="BH13" s="369">
        <v>0</v>
      </c>
      <c r="BI13" s="369">
        <v>0</v>
      </c>
      <c r="BJ13" s="369">
        <v>0</v>
      </c>
      <c r="BK13" s="369">
        <v>0</v>
      </c>
      <c r="BL13" s="369">
        <v>0</v>
      </c>
      <c r="BM13" s="369">
        <v>0</v>
      </c>
      <c r="BN13" s="370">
        <v>12.07</v>
      </c>
      <c r="BO13" s="373">
        <v>14311.01</v>
      </c>
      <c r="BP13" s="374"/>
      <c r="BQ13" s="370">
        <v>5</v>
      </c>
      <c r="BR13" s="370">
        <v>0</v>
      </c>
      <c r="BS13" s="370">
        <v>0</v>
      </c>
      <c r="BT13" s="370">
        <v>0</v>
      </c>
      <c r="BU13" s="370">
        <v>0</v>
      </c>
      <c r="BV13" s="370">
        <v>5.49</v>
      </c>
    </row>
    <row r="14" spans="1:74">
      <c r="A14" s="365" t="s">
        <v>1230</v>
      </c>
      <c r="B14" s="366" t="s">
        <v>1231</v>
      </c>
      <c r="C14" s="373">
        <v>86527.98</v>
      </c>
      <c r="D14" s="368">
        <v>0</v>
      </c>
      <c r="E14" s="369">
        <v>0</v>
      </c>
      <c r="F14" s="369">
        <v>0</v>
      </c>
      <c r="G14" s="369">
        <v>0</v>
      </c>
      <c r="H14" s="369">
        <v>0</v>
      </c>
      <c r="I14" s="369">
        <v>0</v>
      </c>
      <c r="J14" s="369">
        <v>0</v>
      </c>
      <c r="K14" s="369">
        <v>0</v>
      </c>
      <c r="L14" s="369">
        <v>3621.66</v>
      </c>
      <c r="M14" s="369">
        <v>0.05</v>
      </c>
      <c r="N14" s="369">
        <v>0</v>
      </c>
      <c r="O14" s="369">
        <v>0</v>
      </c>
      <c r="P14" s="369">
        <v>0</v>
      </c>
      <c r="Q14" s="369">
        <v>0</v>
      </c>
      <c r="R14" s="369">
        <v>0</v>
      </c>
      <c r="S14" s="369">
        <v>42.89</v>
      </c>
      <c r="T14" s="369">
        <v>0</v>
      </c>
      <c r="U14" s="369">
        <v>0</v>
      </c>
      <c r="V14" s="369">
        <v>0</v>
      </c>
      <c r="W14" s="369">
        <v>4.16</v>
      </c>
      <c r="X14" s="369">
        <v>0</v>
      </c>
      <c r="Y14" s="369">
        <v>0</v>
      </c>
      <c r="Z14" s="369">
        <v>0</v>
      </c>
      <c r="AA14" s="369">
        <v>0</v>
      </c>
      <c r="AB14" s="369">
        <v>0</v>
      </c>
      <c r="AC14" s="369">
        <v>0</v>
      </c>
      <c r="AD14" s="369">
        <v>0</v>
      </c>
      <c r="AE14" s="369">
        <v>20.059999999999999</v>
      </c>
      <c r="AF14" s="369">
        <v>0</v>
      </c>
      <c r="AG14" s="369">
        <v>0</v>
      </c>
      <c r="AH14" s="369">
        <v>0</v>
      </c>
      <c r="AI14" s="369">
        <v>0</v>
      </c>
      <c r="AJ14" s="369">
        <v>0</v>
      </c>
      <c r="AK14" s="369">
        <v>0</v>
      </c>
      <c r="AL14" s="369">
        <v>111.8</v>
      </c>
      <c r="AM14" s="369">
        <v>99.43</v>
      </c>
      <c r="AN14" s="369">
        <v>0</v>
      </c>
      <c r="AO14" s="369">
        <v>0</v>
      </c>
      <c r="AP14" s="369">
        <v>0</v>
      </c>
      <c r="AQ14" s="369">
        <v>0</v>
      </c>
      <c r="AR14" s="369">
        <v>0</v>
      </c>
      <c r="AS14" s="369">
        <v>1974.59</v>
      </c>
      <c r="AT14" s="369">
        <v>27.28</v>
      </c>
      <c r="AU14" s="369">
        <v>0.92</v>
      </c>
      <c r="AV14" s="369">
        <v>6.85</v>
      </c>
      <c r="AW14" s="369">
        <v>8.61</v>
      </c>
      <c r="AX14" s="369">
        <v>15.36</v>
      </c>
      <c r="AY14" s="369">
        <v>0</v>
      </c>
      <c r="AZ14" s="369">
        <v>0</v>
      </c>
      <c r="BA14" s="369">
        <v>0</v>
      </c>
      <c r="BB14" s="369">
        <v>551.41</v>
      </c>
      <c r="BC14" s="369">
        <v>53.5</v>
      </c>
      <c r="BD14" s="369">
        <v>173.17</v>
      </c>
      <c r="BE14" s="369">
        <v>21.22</v>
      </c>
      <c r="BF14" s="369">
        <v>725.53</v>
      </c>
      <c r="BG14" s="369">
        <v>865.97</v>
      </c>
      <c r="BH14" s="369">
        <v>98.46</v>
      </c>
      <c r="BI14" s="369">
        <v>345.79</v>
      </c>
      <c r="BJ14" s="369">
        <v>1.56</v>
      </c>
      <c r="BK14" s="369">
        <v>4.9800000000000004</v>
      </c>
      <c r="BL14" s="369">
        <v>100.95</v>
      </c>
      <c r="BM14" s="369">
        <v>10.210000000000001</v>
      </c>
      <c r="BN14" s="370">
        <v>1337.05</v>
      </c>
      <c r="BO14" s="373">
        <v>10223.450000000001</v>
      </c>
      <c r="BP14" s="374"/>
      <c r="BQ14" s="370">
        <v>3085.41</v>
      </c>
      <c r="BR14" s="370">
        <v>73542.81</v>
      </c>
      <c r="BS14" s="370">
        <v>0</v>
      </c>
      <c r="BT14" s="370">
        <v>0</v>
      </c>
      <c r="BU14" s="370">
        <v>-0.06</v>
      </c>
      <c r="BV14" s="370">
        <v>-323.63</v>
      </c>
    </row>
    <row r="15" spans="1:74">
      <c r="A15" s="365" t="s">
        <v>1232</v>
      </c>
      <c r="B15" s="366" t="s">
        <v>1233</v>
      </c>
      <c r="C15" s="373">
        <v>29760.19</v>
      </c>
      <c r="D15" s="368">
        <v>0</v>
      </c>
      <c r="E15" s="369">
        <v>0</v>
      </c>
      <c r="F15" s="369">
        <v>0</v>
      </c>
      <c r="G15" s="369">
        <v>0</v>
      </c>
      <c r="H15" s="369">
        <v>0</v>
      </c>
      <c r="I15" s="369">
        <v>0</v>
      </c>
      <c r="J15" s="369">
        <v>0</v>
      </c>
      <c r="K15" s="369">
        <v>0</v>
      </c>
      <c r="L15" s="369">
        <v>11895.61</v>
      </c>
      <c r="M15" s="369">
        <v>0</v>
      </c>
      <c r="N15" s="369">
        <v>0</v>
      </c>
      <c r="O15" s="369">
        <v>0</v>
      </c>
      <c r="P15" s="369">
        <v>0</v>
      </c>
      <c r="Q15" s="369">
        <v>0</v>
      </c>
      <c r="R15" s="369">
        <v>0</v>
      </c>
      <c r="S15" s="369">
        <v>0</v>
      </c>
      <c r="T15" s="369">
        <v>0</v>
      </c>
      <c r="U15" s="369">
        <v>0</v>
      </c>
      <c r="V15" s="369">
        <v>0</v>
      </c>
      <c r="W15" s="369">
        <v>0</v>
      </c>
      <c r="X15" s="369">
        <v>0</v>
      </c>
      <c r="Y15" s="369">
        <v>0</v>
      </c>
      <c r="Z15" s="369">
        <v>0</v>
      </c>
      <c r="AA15" s="369">
        <v>0</v>
      </c>
      <c r="AB15" s="369">
        <v>0</v>
      </c>
      <c r="AC15" s="369">
        <v>0</v>
      </c>
      <c r="AD15" s="369">
        <v>0</v>
      </c>
      <c r="AE15" s="369">
        <v>0</v>
      </c>
      <c r="AF15" s="369">
        <v>0</v>
      </c>
      <c r="AG15" s="369">
        <v>0</v>
      </c>
      <c r="AH15" s="369">
        <v>0</v>
      </c>
      <c r="AI15" s="369">
        <v>0</v>
      </c>
      <c r="AJ15" s="369">
        <v>0</v>
      </c>
      <c r="AK15" s="369">
        <v>0</v>
      </c>
      <c r="AL15" s="369">
        <v>148.99</v>
      </c>
      <c r="AM15" s="369">
        <v>0</v>
      </c>
      <c r="AN15" s="369">
        <v>0</v>
      </c>
      <c r="AO15" s="369">
        <v>0</v>
      </c>
      <c r="AP15" s="369">
        <v>0</v>
      </c>
      <c r="AQ15" s="369">
        <v>0</v>
      </c>
      <c r="AR15" s="369">
        <v>0</v>
      </c>
      <c r="AS15" s="369">
        <v>0</v>
      </c>
      <c r="AT15" s="369">
        <v>0</v>
      </c>
      <c r="AU15" s="369">
        <v>0</v>
      </c>
      <c r="AV15" s="369">
        <v>0</v>
      </c>
      <c r="AW15" s="369">
        <v>0</v>
      </c>
      <c r="AX15" s="369">
        <v>0.84</v>
      </c>
      <c r="AY15" s="369">
        <v>0</v>
      </c>
      <c r="AZ15" s="369">
        <v>0</v>
      </c>
      <c r="BA15" s="369">
        <v>0</v>
      </c>
      <c r="BB15" s="369">
        <v>0</v>
      </c>
      <c r="BC15" s="369">
        <v>0</v>
      </c>
      <c r="BD15" s="369">
        <v>0</v>
      </c>
      <c r="BE15" s="369">
        <v>0</v>
      </c>
      <c r="BF15" s="369">
        <v>0</v>
      </c>
      <c r="BG15" s="369">
        <v>0</v>
      </c>
      <c r="BH15" s="369">
        <v>0</v>
      </c>
      <c r="BI15" s="369">
        <v>0</v>
      </c>
      <c r="BJ15" s="369">
        <v>0</v>
      </c>
      <c r="BK15" s="369">
        <v>0</v>
      </c>
      <c r="BL15" s="369">
        <v>0</v>
      </c>
      <c r="BM15" s="369">
        <v>0</v>
      </c>
      <c r="BN15" s="370">
        <v>380.58</v>
      </c>
      <c r="BO15" s="373">
        <v>12426.03</v>
      </c>
      <c r="BP15" s="374"/>
      <c r="BQ15" s="370">
        <v>6240.77</v>
      </c>
      <c r="BR15" s="370">
        <v>11194.27</v>
      </c>
      <c r="BS15" s="370">
        <v>0</v>
      </c>
      <c r="BT15" s="370">
        <v>0</v>
      </c>
      <c r="BU15" s="370">
        <v>-0.55000000000000004</v>
      </c>
      <c r="BV15" s="370">
        <v>-100.32</v>
      </c>
    </row>
    <row r="16" spans="1:74">
      <c r="A16" s="365" t="s">
        <v>1234</v>
      </c>
      <c r="B16" s="366" t="s">
        <v>1235</v>
      </c>
      <c r="C16" s="373">
        <v>14270.07</v>
      </c>
      <c r="D16" s="368">
        <v>0</v>
      </c>
      <c r="E16" s="369">
        <v>0</v>
      </c>
      <c r="F16" s="369">
        <v>0</v>
      </c>
      <c r="G16" s="369">
        <v>0</v>
      </c>
      <c r="H16" s="369">
        <v>0</v>
      </c>
      <c r="I16" s="369">
        <v>0</v>
      </c>
      <c r="J16" s="369">
        <v>0</v>
      </c>
      <c r="K16" s="369">
        <v>0</v>
      </c>
      <c r="L16" s="369">
        <v>645.91</v>
      </c>
      <c r="M16" s="369">
        <v>0</v>
      </c>
      <c r="N16" s="369">
        <v>0</v>
      </c>
      <c r="O16" s="369">
        <v>0</v>
      </c>
      <c r="P16" s="369">
        <v>0</v>
      </c>
      <c r="Q16" s="369">
        <v>0</v>
      </c>
      <c r="R16" s="369">
        <v>0</v>
      </c>
      <c r="S16" s="369">
        <v>0</v>
      </c>
      <c r="T16" s="369">
        <v>0</v>
      </c>
      <c r="U16" s="369">
        <v>0</v>
      </c>
      <c r="V16" s="369">
        <v>0</v>
      </c>
      <c r="W16" s="369">
        <v>0</v>
      </c>
      <c r="X16" s="369">
        <v>0</v>
      </c>
      <c r="Y16" s="369">
        <v>0</v>
      </c>
      <c r="Z16" s="369">
        <v>0</v>
      </c>
      <c r="AA16" s="369">
        <v>0</v>
      </c>
      <c r="AB16" s="369">
        <v>0</v>
      </c>
      <c r="AC16" s="369">
        <v>0</v>
      </c>
      <c r="AD16" s="369">
        <v>0</v>
      </c>
      <c r="AE16" s="369">
        <v>0</v>
      </c>
      <c r="AF16" s="369">
        <v>0</v>
      </c>
      <c r="AG16" s="369">
        <v>0</v>
      </c>
      <c r="AH16" s="369">
        <v>0</v>
      </c>
      <c r="AI16" s="369">
        <v>0</v>
      </c>
      <c r="AJ16" s="369">
        <v>0</v>
      </c>
      <c r="AK16" s="369">
        <v>0</v>
      </c>
      <c r="AL16" s="369">
        <v>12.61</v>
      </c>
      <c r="AM16" s="369">
        <v>12.44</v>
      </c>
      <c r="AN16" s="369">
        <v>0</v>
      </c>
      <c r="AO16" s="369">
        <v>0</v>
      </c>
      <c r="AP16" s="369">
        <v>0</v>
      </c>
      <c r="AQ16" s="369">
        <v>0</v>
      </c>
      <c r="AR16" s="369">
        <v>0</v>
      </c>
      <c r="AS16" s="369">
        <v>42.99</v>
      </c>
      <c r="AT16" s="369">
        <v>2.84</v>
      </c>
      <c r="AU16" s="369">
        <v>0.1</v>
      </c>
      <c r="AV16" s="369">
        <v>0.71</v>
      </c>
      <c r="AW16" s="369">
        <v>0.9</v>
      </c>
      <c r="AX16" s="369">
        <v>0.63</v>
      </c>
      <c r="AY16" s="369">
        <v>0</v>
      </c>
      <c r="AZ16" s="369">
        <v>0</v>
      </c>
      <c r="BA16" s="369">
        <v>0</v>
      </c>
      <c r="BB16" s="369">
        <v>0</v>
      </c>
      <c r="BC16" s="369">
        <v>0</v>
      </c>
      <c r="BD16" s="369">
        <v>0</v>
      </c>
      <c r="BE16" s="369">
        <v>0</v>
      </c>
      <c r="BF16" s="369">
        <v>0</v>
      </c>
      <c r="BG16" s="369">
        <v>154.33000000000001</v>
      </c>
      <c r="BH16" s="369">
        <v>23.17</v>
      </c>
      <c r="BI16" s="369">
        <v>81.37</v>
      </c>
      <c r="BJ16" s="369">
        <v>0.37</v>
      </c>
      <c r="BK16" s="369">
        <v>1.17</v>
      </c>
      <c r="BL16" s="369">
        <v>23.76</v>
      </c>
      <c r="BM16" s="369">
        <v>2.4</v>
      </c>
      <c r="BN16" s="370">
        <v>75.11</v>
      </c>
      <c r="BO16" s="373">
        <v>1080.81</v>
      </c>
      <c r="BP16" s="374"/>
      <c r="BQ16" s="370">
        <v>1108.81</v>
      </c>
      <c r="BR16" s="370">
        <v>12117.41</v>
      </c>
      <c r="BS16" s="370">
        <v>0</v>
      </c>
      <c r="BT16" s="370">
        <v>0</v>
      </c>
      <c r="BU16" s="370">
        <v>-0.1</v>
      </c>
      <c r="BV16" s="370">
        <v>-36.86</v>
      </c>
    </row>
    <row r="17" spans="1:74">
      <c r="A17" s="365" t="s">
        <v>1236</v>
      </c>
      <c r="B17" s="366" t="s">
        <v>1237</v>
      </c>
      <c r="C17" s="373">
        <v>35443.870000000003</v>
      </c>
      <c r="D17" s="368">
        <v>0</v>
      </c>
      <c r="E17" s="369">
        <v>0</v>
      </c>
      <c r="F17" s="369">
        <v>0</v>
      </c>
      <c r="G17" s="369">
        <v>0</v>
      </c>
      <c r="H17" s="369">
        <v>0</v>
      </c>
      <c r="I17" s="369">
        <v>0</v>
      </c>
      <c r="J17" s="369">
        <v>0</v>
      </c>
      <c r="K17" s="369">
        <v>0</v>
      </c>
      <c r="L17" s="369">
        <v>9840.2000000000007</v>
      </c>
      <c r="M17" s="369">
        <v>3872.38</v>
      </c>
      <c r="N17" s="369">
        <v>0</v>
      </c>
      <c r="O17" s="369">
        <v>0</v>
      </c>
      <c r="P17" s="369">
        <v>0.48</v>
      </c>
      <c r="Q17" s="369">
        <v>0</v>
      </c>
      <c r="R17" s="369">
        <v>0</v>
      </c>
      <c r="S17" s="369">
        <v>0</v>
      </c>
      <c r="T17" s="369">
        <v>0</v>
      </c>
      <c r="U17" s="369">
        <v>0</v>
      </c>
      <c r="V17" s="369">
        <v>0</v>
      </c>
      <c r="W17" s="369">
        <v>5.0599999999999996</v>
      </c>
      <c r="X17" s="369">
        <v>0</v>
      </c>
      <c r="Y17" s="369">
        <v>0</v>
      </c>
      <c r="Z17" s="369">
        <v>0</v>
      </c>
      <c r="AA17" s="369">
        <v>0</v>
      </c>
      <c r="AB17" s="369">
        <v>0</v>
      </c>
      <c r="AC17" s="369">
        <v>0</v>
      </c>
      <c r="AD17" s="369">
        <v>0</v>
      </c>
      <c r="AE17" s="369">
        <v>0</v>
      </c>
      <c r="AF17" s="369">
        <v>0</v>
      </c>
      <c r="AG17" s="369">
        <v>0</v>
      </c>
      <c r="AH17" s="369">
        <v>0</v>
      </c>
      <c r="AI17" s="369">
        <v>0</v>
      </c>
      <c r="AJ17" s="369">
        <v>0</v>
      </c>
      <c r="AK17" s="369">
        <v>0</v>
      </c>
      <c r="AL17" s="369">
        <v>217.05</v>
      </c>
      <c r="AM17" s="369">
        <v>13.82</v>
      </c>
      <c r="AN17" s="369">
        <v>0</v>
      </c>
      <c r="AO17" s="369">
        <v>0</v>
      </c>
      <c r="AP17" s="369">
        <v>0</v>
      </c>
      <c r="AQ17" s="369">
        <v>0</v>
      </c>
      <c r="AR17" s="369">
        <v>0</v>
      </c>
      <c r="AS17" s="369">
        <v>58.61</v>
      </c>
      <c r="AT17" s="369">
        <v>3.15</v>
      </c>
      <c r="AU17" s="369">
        <v>0.11</v>
      </c>
      <c r="AV17" s="369">
        <v>0.79</v>
      </c>
      <c r="AW17" s="369">
        <v>0.99</v>
      </c>
      <c r="AX17" s="369">
        <v>2.15</v>
      </c>
      <c r="AY17" s="369">
        <v>0</v>
      </c>
      <c r="AZ17" s="369">
        <v>0</v>
      </c>
      <c r="BA17" s="369">
        <v>0</v>
      </c>
      <c r="BB17" s="369">
        <v>0</v>
      </c>
      <c r="BC17" s="369">
        <v>0</v>
      </c>
      <c r="BD17" s="369">
        <v>0</v>
      </c>
      <c r="BE17" s="369">
        <v>0</v>
      </c>
      <c r="BF17" s="369">
        <v>0</v>
      </c>
      <c r="BG17" s="369">
        <v>171.42</v>
      </c>
      <c r="BH17" s="369">
        <v>23.16</v>
      </c>
      <c r="BI17" s="369">
        <v>81.34</v>
      </c>
      <c r="BJ17" s="369">
        <v>0.37</v>
      </c>
      <c r="BK17" s="369">
        <v>1.17</v>
      </c>
      <c r="BL17" s="369">
        <v>23.75</v>
      </c>
      <c r="BM17" s="369">
        <v>2.4</v>
      </c>
      <c r="BN17" s="370">
        <v>607.49</v>
      </c>
      <c r="BO17" s="373">
        <v>14925.88</v>
      </c>
      <c r="BP17" s="374"/>
      <c r="BQ17" s="370">
        <v>7083.59</v>
      </c>
      <c r="BR17" s="370">
        <v>12588.24</v>
      </c>
      <c r="BS17" s="370">
        <v>0</v>
      </c>
      <c r="BT17" s="370">
        <v>0</v>
      </c>
      <c r="BU17" s="370">
        <v>999.67</v>
      </c>
      <c r="BV17" s="370">
        <v>-153.51</v>
      </c>
    </row>
    <row r="18" spans="1:74">
      <c r="A18" s="365" t="s">
        <v>1238</v>
      </c>
      <c r="B18" s="366" t="s">
        <v>1239</v>
      </c>
      <c r="C18" s="373">
        <v>33140.89</v>
      </c>
      <c r="D18" s="368">
        <v>0</v>
      </c>
      <c r="E18" s="369">
        <v>0</v>
      </c>
      <c r="F18" s="369">
        <v>0</v>
      </c>
      <c r="G18" s="369">
        <v>0</v>
      </c>
      <c r="H18" s="369">
        <v>0</v>
      </c>
      <c r="I18" s="369">
        <v>0</v>
      </c>
      <c r="J18" s="369">
        <v>0</v>
      </c>
      <c r="K18" s="369">
        <v>0</v>
      </c>
      <c r="L18" s="369">
        <v>7447.22</v>
      </c>
      <c r="M18" s="369">
        <v>0</v>
      </c>
      <c r="N18" s="369">
        <v>20.43</v>
      </c>
      <c r="O18" s="369">
        <v>0</v>
      </c>
      <c r="P18" s="369">
        <v>0</v>
      </c>
      <c r="Q18" s="369">
        <v>0</v>
      </c>
      <c r="R18" s="369">
        <v>0</v>
      </c>
      <c r="S18" s="369">
        <v>0</v>
      </c>
      <c r="T18" s="369">
        <v>0</v>
      </c>
      <c r="U18" s="369">
        <v>0</v>
      </c>
      <c r="V18" s="369">
        <v>481.14</v>
      </c>
      <c r="W18" s="369">
        <v>2520.2800000000002</v>
      </c>
      <c r="X18" s="369">
        <v>0</v>
      </c>
      <c r="Y18" s="369">
        <v>0</v>
      </c>
      <c r="Z18" s="369">
        <v>0</v>
      </c>
      <c r="AA18" s="369">
        <v>0</v>
      </c>
      <c r="AB18" s="369">
        <v>0</v>
      </c>
      <c r="AC18" s="369">
        <v>0</v>
      </c>
      <c r="AD18" s="369">
        <v>0</v>
      </c>
      <c r="AE18" s="369">
        <v>0</v>
      </c>
      <c r="AF18" s="369">
        <v>0</v>
      </c>
      <c r="AG18" s="369">
        <v>0</v>
      </c>
      <c r="AH18" s="369">
        <v>0</v>
      </c>
      <c r="AI18" s="369">
        <v>0</v>
      </c>
      <c r="AJ18" s="369">
        <v>0</v>
      </c>
      <c r="AK18" s="369">
        <v>0</v>
      </c>
      <c r="AL18" s="369">
        <v>45.43</v>
      </c>
      <c r="AM18" s="369">
        <v>0</v>
      </c>
      <c r="AN18" s="369">
        <v>0</v>
      </c>
      <c r="AO18" s="369">
        <v>0</v>
      </c>
      <c r="AP18" s="369">
        <v>0</v>
      </c>
      <c r="AQ18" s="369">
        <v>0</v>
      </c>
      <c r="AR18" s="369">
        <v>0</v>
      </c>
      <c r="AS18" s="369">
        <v>146.26</v>
      </c>
      <c r="AT18" s="369">
        <v>0</v>
      </c>
      <c r="AU18" s="369">
        <v>0</v>
      </c>
      <c r="AV18" s="369">
        <v>0</v>
      </c>
      <c r="AW18" s="369">
        <v>0</v>
      </c>
      <c r="AX18" s="369">
        <v>1.67</v>
      </c>
      <c r="AY18" s="369">
        <v>0</v>
      </c>
      <c r="AZ18" s="369">
        <v>0</v>
      </c>
      <c r="BA18" s="369">
        <v>0</v>
      </c>
      <c r="BB18" s="369">
        <v>0</v>
      </c>
      <c r="BC18" s="369">
        <v>0</v>
      </c>
      <c r="BD18" s="369">
        <v>0</v>
      </c>
      <c r="BE18" s="369">
        <v>0</v>
      </c>
      <c r="BF18" s="369">
        <v>0</v>
      </c>
      <c r="BG18" s="369">
        <v>139.13999999999999</v>
      </c>
      <c r="BH18" s="369">
        <v>40.08</v>
      </c>
      <c r="BI18" s="369">
        <v>140.74</v>
      </c>
      <c r="BJ18" s="369">
        <v>0.63</v>
      </c>
      <c r="BK18" s="369">
        <v>2.0299999999999998</v>
      </c>
      <c r="BL18" s="369">
        <v>41.09</v>
      </c>
      <c r="BM18" s="369">
        <v>4.16</v>
      </c>
      <c r="BN18" s="370">
        <v>224.64</v>
      </c>
      <c r="BO18" s="373">
        <v>11254.95</v>
      </c>
      <c r="BP18" s="374"/>
      <c r="BQ18" s="370">
        <v>4936.5200000000004</v>
      </c>
      <c r="BR18" s="370">
        <v>17082.689999999999</v>
      </c>
      <c r="BS18" s="370">
        <v>0</v>
      </c>
      <c r="BT18" s="370">
        <v>0</v>
      </c>
      <c r="BU18" s="370">
        <v>0.12</v>
      </c>
      <c r="BV18" s="370">
        <v>-133.38</v>
      </c>
    </row>
    <row r="19" spans="1:74">
      <c r="A19" s="365" t="s">
        <v>1240</v>
      </c>
      <c r="B19" s="366" t="s">
        <v>1241</v>
      </c>
      <c r="C19" s="373">
        <v>60797.79</v>
      </c>
      <c r="D19" s="368">
        <v>0</v>
      </c>
      <c r="E19" s="369">
        <v>0</v>
      </c>
      <c r="F19" s="369">
        <v>0</v>
      </c>
      <c r="G19" s="369">
        <v>0</v>
      </c>
      <c r="H19" s="369">
        <v>0</v>
      </c>
      <c r="I19" s="369">
        <v>0</v>
      </c>
      <c r="J19" s="369">
        <v>0</v>
      </c>
      <c r="K19" s="369">
        <v>0</v>
      </c>
      <c r="L19" s="369">
        <v>9394.2999999999993</v>
      </c>
      <c r="M19" s="369">
        <v>22.9</v>
      </c>
      <c r="N19" s="369">
        <v>0</v>
      </c>
      <c r="O19" s="369">
        <v>0</v>
      </c>
      <c r="P19" s="369">
        <v>0</v>
      </c>
      <c r="Q19" s="369">
        <v>0</v>
      </c>
      <c r="R19" s="369">
        <v>0</v>
      </c>
      <c r="S19" s="369">
        <v>0</v>
      </c>
      <c r="T19" s="369">
        <v>0</v>
      </c>
      <c r="U19" s="369">
        <v>0</v>
      </c>
      <c r="V19" s="369">
        <v>0</v>
      </c>
      <c r="W19" s="369">
        <v>221.89</v>
      </c>
      <c r="X19" s="369">
        <v>0</v>
      </c>
      <c r="Y19" s="369">
        <v>0</v>
      </c>
      <c r="Z19" s="369">
        <v>0</v>
      </c>
      <c r="AA19" s="369">
        <v>0</v>
      </c>
      <c r="AB19" s="369">
        <v>0</v>
      </c>
      <c r="AC19" s="369">
        <v>0</v>
      </c>
      <c r="AD19" s="369">
        <v>0</v>
      </c>
      <c r="AE19" s="369">
        <v>0</v>
      </c>
      <c r="AF19" s="369">
        <v>0</v>
      </c>
      <c r="AG19" s="369">
        <v>0</v>
      </c>
      <c r="AH19" s="369">
        <v>0</v>
      </c>
      <c r="AI19" s="369">
        <v>0</v>
      </c>
      <c r="AJ19" s="369">
        <v>0</v>
      </c>
      <c r="AK19" s="369">
        <v>0</v>
      </c>
      <c r="AL19" s="369">
        <v>3.88</v>
      </c>
      <c r="AM19" s="369">
        <v>11.02</v>
      </c>
      <c r="AN19" s="369">
        <v>0</v>
      </c>
      <c r="AO19" s="369">
        <v>0</v>
      </c>
      <c r="AP19" s="369">
        <v>243.5</v>
      </c>
      <c r="AQ19" s="369">
        <v>83.24</v>
      </c>
      <c r="AR19" s="369">
        <v>0</v>
      </c>
      <c r="AS19" s="369">
        <v>532.45000000000005</v>
      </c>
      <c r="AT19" s="369">
        <v>6.4</v>
      </c>
      <c r="AU19" s="369">
        <v>0.22</v>
      </c>
      <c r="AV19" s="369">
        <v>1.61</v>
      </c>
      <c r="AW19" s="369">
        <v>2.02</v>
      </c>
      <c r="AX19" s="369">
        <v>2.29</v>
      </c>
      <c r="AY19" s="369">
        <v>0</v>
      </c>
      <c r="AZ19" s="369">
        <v>0</v>
      </c>
      <c r="BA19" s="369">
        <v>0</v>
      </c>
      <c r="BB19" s="369">
        <v>59.09</v>
      </c>
      <c r="BC19" s="369">
        <v>5.73</v>
      </c>
      <c r="BD19" s="369">
        <v>18.559999999999999</v>
      </c>
      <c r="BE19" s="369">
        <v>2.27</v>
      </c>
      <c r="BF19" s="369">
        <v>77.75</v>
      </c>
      <c r="BG19" s="369">
        <v>111.28</v>
      </c>
      <c r="BH19" s="369">
        <v>20.36</v>
      </c>
      <c r="BI19" s="369">
        <v>71.5</v>
      </c>
      <c r="BJ19" s="369">
        <v>0.32</v>
      </c>
      <c r="BK19" s="369">
        <v>1.03</v>
      </c>
      <c r="BL19" s="369">
        <v>20.87</v>
      </c>
      <c r="BM19" s="369">
        <v>2.11</v>
      </c>
      <c r="BN19" s="370">
        <v>287.61</v>
      </c>
      <c r="BO19" s="373">
        <v>11204.2</v>
      </c>
      <c r="BP19" s="374"/>
      <c r="BQ19" s="370">
        <v>4289.3900000000003</v>
      </c>
      <c r="BR19" s="370">
        <v>42455.72</v>
      </c>
      <c r="BS19" s="370">
        <v>0</v>
      </c>
      <c r="BT19" s="370">
        <v>0</v>
      </c>
      <c r="BU19" s="370">
        <v>3000.98</v>
      </c>
      <c r="BV19" s="370">
        <v>-152.5</v>
      </c>
    </row>
    <row r="20" spans="1:74">
      <c r="A20" s="365" t="s">
        <v>1242</v>
      </c>
      <c r="B20" s="366" t="s">
        <v>1243</v>
      </c>
      <c r="C20" s="373">
        <v>53535.88</v>
      </c>
      <c r="D20" s="368">
        <v>0</v>
      </c>
      <c r="E20" s="369">
        <v>0</v>
      </c>
      <c r="F20" s="369">
        <v>0</v>
      </c>
      <c r="G20" s="369">
        <v>0</v>
      </c>
      <c r="H20" s="369">
        <v>0</v>
      </c>
      <c r="I20" s="369">
        <v>0</v>
      </c>
      <c r="J20" s="369">
        <v>0</v>
      </c>
      <c r="K20" s="369">
        <v>0</v>
      </c>
      <c r="L20" s="369">
        <v>8408.1299999999992</v>
      </c>
      <c r="M20" s="369">
        <v>17.8</v>
      </c>
      <c r="N20" s="369">
        <v>0</v>
      </c>
      <c r="O20" s="369">
        <v>0</v>
      </c>
      <c r="P20" s="369">
        <v>0</v>
      </c>
      <c r="Q20" s="369">
        <v>0</v>
      </c>
      <c r="R20" s="369">
        <v>0</v>
      </c>
      <c r="S20" s="369">
        <v>0</v>
      </c>
      <c r="T20" s="369">
        <v>0</v>
      </c>
      <c r="U20" s="369">
        <v>0</v>
      </c>
      <c r="V20" s="369">
        <v>0</v>
      </c>
      <c r="W20" s="369">
        <v>0</v>
      </c>
      <c r="X20" s="369">
        <v>0</v>
      </c>
      <c r="Y20" s="369">
        <v>0</v>
      </c>
      <c r="Z20" s="369">
        <v>0</v>
      </c>
      <c r="AA20" s="369">
        <v>0</v>
      </c>
      <c r="AB20" s="369">
        <v>0</v>
      </c>
      <c r="AC20" s="369">
        <v>0</v>
      </c>
      <c r="AD20" s="369">
        <v>0</v>
      </c>
      <c r="AE20" s="369">
        <v>0</v>
      </c>
      <c r="AF20" s="369">
        <v>0</v>
      </c>
      <c r="AG20" s="369">
        <v>0</v>
      </c>
      <c r="AH20" s="369">
        <v>0</v>
      </c>
      <c r="AI20" s="369">
        <v>0</v>
      </c>
      <c r="AJ20" s="369">
        <v>0</v>
      </c>
      <c r="AK20" s="369">
        <v>0</v>
      </c>
      <c r="AL20" s="369">
        <v>141.05000000000001</v>
      </c>
      <c r="AM20" s="369">
        <v>4.47</v>
      </c>
      <c r="AN20" s="369">
        <v>0</v>
      </c>
      <c r="AO20" s="369">
        <v>0</v>
      </c>
      <c r="AP20" s="369">
        <v>0</v>
      </c>
      <c r="AQ20" s="369">
        <v>0</v>
      </c>
      <c r="AR20" s="369">
        <v>0</v>
      </c>
      <c r="AS20" s="369">
        <v>46.22</v>
      </c>
      <c r="AT20" s="369">
        <v>1.25</v>
      </c>
      <c r="AU20" s="369">
        <v>0.04</v>
      </c>
      <c r="AV20" s="369">
        <v>0.31</v>
      </c>
      <c r="AW20" s="369">
        <v>0.39</v>
      </c>
      <c r="AX20" s="369">
        <v>0.56999999999999995</v>
      </c>
      <c r="AY20" s="369">
        <v>0</v>
      </c>
      <c r="AZ20" s="369">
        <v>0</v>
      </c>
      <c r="BA20" s="369">
        <v>0</v>
      </c>
      <c r="BB20" s="369">
        <v>30.81</v>
      </c>
      <c r="BC20" s="369">
        <v>2.99</v>
      </c>
      <c r="BD20" s="369">
        <v>9.67</v>
      </c>
      <c r="BE20" s="369">
        <v>1.19</v>
      </c>
      <c r="BF20" s="369">
        <v>40.53</v>
      </c>
      <c r="BG20" s="369">
        <v>42.13</v>
      </c>
      <c r="BH20" s="369">
        <v>7.89</v>
      </c>
      <c r="BI20" s="369">
        <v>27.71</v>
      </c>
      <c r="BJ20" s="369">
        <v>0.12</v>
      </c>
      <c r="BK20" s="369">
        <v>0.4</v>
      </c>
      <c r="BL20" s="369">
        <v>8.09</v>
      </c>
      <c r="BM20" s="369">
        <v>0.82</v>
      </c>
      <c r="BN20" s="370">
        <v>390.26</v>
      </c>
      <c r="BO20" s="373">
        <v>9182.86</v>
      </c>
      <c r="BP20" s="374"/>
      <c r="BQ20" s="370">
        <v>3026.28</v>
      </c>
      <c r="BR20" s="370">
        <v>41472.93</v>
      </c>
      <c r="BS20" s="370">
        <v>0</v>
      </c>
      <c r="BT20" s="370">
        <v>0</v>
      </c>
      <c r="BU20" s="370">
        <v>-0.41</v>
      </c>
      <c r="BV20" s="370">
        <v>-145.78</v>
      </c>
    </row>
    <row r="21" spans="1:74">
      <c r="A21" s="365" t="s">
        <v>1244</v>
      </c>
      <c r="B21" s="366" t="s">
        <v>1245</v>
      </c>
      <c r="C21" s="373">
        <v>21913.4</v>
      </c>
      <c r="D21" s="368">
        <v>0</v>
      </c>
      <c r="E21" s="369">
        <v>0</v>
      </c>
      <c r="F21" s="369">
        <v>0</v>
      </c>
      <c r="G21" s="369">
        <v>0</v>
      </c>
      <c r="H21" s="369">
        <v>0</v>
      </c>
      <c r="I21" s="369">
        <v>0</v>
      </c>
      <c r="J21" s="369">
        <v>0</v>
      </c>
      <c r="K21" s="369">
        <v>0</v>
      </c>
      <c r="L21" s="369">
        <v>226.03</v>
      </c>
      <c r="M21" s="369">
        <v>50.95</v>
      </c>
      <c r="N21" s="369">
        <v>9.7899999999999991</v>
      </c>
      <c r="O21" s="369">
        <v>0</v>
      </c>
      <c r="P21" s="369">
        <v>0</v>
      </c>
      <c r="Q21" s="369">
        <v>0</v>
      </c>
      <c r="R21" s="369">
        <v>1.41</v>
      </c>
      <c r="S21" s="369">
        <v>246.62</v>
      </c>
      <c r="T21" s="369">
        <v>0</v>
      </c>
      <c r="U21" s="369">
        <v>0</v>
      </c>
      <c r="V21" s="369">
        <v>17.63</v>
      </c>
      <c r="W21" s="369">
        <v>264.75</v>
      </c>
      <c r="X21" s="369">
        <v>0</v>
      </c>
      <c r="Y21" s="369">
        <v>0</v>
      </c>
      <c r="Z21" s="369">
        <v>0</v>
      </c>
      <c r="AA21" s="369">
        <v>0</v>
      </c>
      <c r="AB21" s="369">
        <v>0</v>
      </c>
      <c r="AC21" s="369">
        <v>0</v>
      </c>
      <c r="AD21" s="369">
        <v>0</v>
      </c>
      <c r="AE21" s="369">
        <v>0</v>
      </c>
      <c r="AF21" s="369">
        <v>0</v>
      </c>
      <c r="AG21" s="369">
        <v>0</v>
      </c>
      <c r="AH21" s="369">
        <v>0</v>
      </c>
      <c r="AI21" s="369">
        <v>0</v>
      </c>
      <c r="AJ21" s="369">
        <v>0</v>
      </c>
      <c r="AK21" s="369">
        <v>0</v>
      </c>
      <c r="AL21" s="369">
        <v>2.77</v>
      </c>
      <c r="AM21" s="369">
        <v>0</v>
      </c>
      <c r="AN21" s="369">
        <v>0</v>
      </c>
      <c r="AO21" s="369">
        <v>0</v>
      </c>
      <c r="AP21" s="369">
        <v>0</v>
      </c>
      <c r="AQ21" s="369">
        <v>0</v>
      </c>
      <c r="AR21" s="369">
        <v>0</v>
      </c>
      <c r="AS21" s="369">
        <v>0</v>
      </c>
      <c r="AT21" s="369">
        <v>0</v>
      </c>
      <c r="AU21" s="369">
        <v>0</v>
      </c>
      <c r="AV21" s="369">
        <v>0</v>
      </c>
      <c r="AW21" s="369">
        <v>0</v>
      </c>
      <c r="AX21" s="369">
        <v>2.82</v>
      </c>
      <c r="AY21" s="369">
        <v>0</v>
      </c>
      <c r="AZ21" s="369">
        <v>0</v>
      </c>
      <c r="BA21" s="369">
        <v>0</v>
      </c>
      <c r="BB21" s="369">
        <v>0</v>
      </c>
      <c r="BC21" s="369">
        <v>0</v>
      </c>
      <c r="BD21" s="369">
        <v>0</v>
      </c>
      <c r="BE21" s="369">
        <v>0</v>
      </c>
      <c r="BF21" s="369">
        <v>0</v>
      </c>
      <c r="BG21" s="369">
        <v>0</v>
      </c>
      <c r="BH21" s="369">
        <v>0</v>
      </c>
      <c r="BI21" s="369">
        <v>0</v>
      </c>
      <c r="BJ21" s="369">
        <v>0</v>
      </c>
      <c r="BK21" s="369">
        <v>0</v>
      </c>
      <c r="BL21" s="369">
        <v>0</v>
      </c>
      <c r="BM21" s="369">
        <v>0</v>
      </c>
      <c r="BN21" s="370">
        <v>7.28</v>
      </c>
      <c r="BO21" s="373">
        <v>830.04</v>
      </c>
      <c r="BP21" s="374"/>
      <c r="BQ21" s="370">
        <v>2088.8000000000002</v>
      </c>
      <c r="BR21" s="370">
        <v>19075.25</v>
      </c>
      <c r="BS21" s="370">
        <v>0</v>
      </c>
      <c r="BT21" s="370">
        <v>0</v>
      </c>
      <c r="BU21" s="370">
        <v>-0.02</v>
      </c>
      <c r="BV21" s="370">
        <v>-80.67</v>
      </c>
    </row>
    <row r="22" spans="1:74">
      <c r="A22" s="365" t="s">
        <v>1246</v>
      </c>
      <c r="B22" s="366" t="s">
        <v>1247</v>
      </c>
      <c r="C22" s="373">
        <v>29766.52</v>
      </c>
      <c r="D22" s="368">
        <v>0</v>
      </c>
      <c r="E22" s="369">
        <v>11135.03</v>
      </c>
      <c r="F22" s="369">
        <v>1142.2</v>
      </c>
      <c r="G22" s="369">
        <v>135.82</v>
      </c>
      <c r="H22" s="369">
        <v>3.2</v>
      </c>
      <c r="I22" s="369">
        <v>0</v>
      </c>
      <c r="J22" s="369">
        <v>0</v>
      </c>
      <c r="K22" s="369">
        <v>0.99</v>
      </c>
      <c r="L22" s="369">
        <v>289.67</v>
      </c>
      <c r="M22" s="369">
        <v>0</v>
      </c>
      <c r="N22" s="369">
        <v>0</v>
      </c>
      <c r="O22" s="369">
        <v>0</v>
      </c>
      <c r="P22" s="369">
        <v>0</v>
      </c>
      <c r="Q22" s="369">
        <v>0</v>
      </c>
      <c r="R22" s="369">
        <v>0</v>
      </c>
      <c r="S22" s="369">
        <v>0</v>
      </c>
      <c r="T22" s="369">
        <v>0</v>
      </c>
      <c r="U22" s="369">
        <v>0</v>
      </c>
      <c r="V22" s="369">
        <v>0</v>
      </c>
      <c r="W22" s="369">
        <v>0</v>
      </c>
      <c r="X22" s="369">
        <v>0</v>
      </c>
      <c r="Y22" s="369">
        <v>0</v>
      </c>
      <c r="Z22" s="369">
        <v>0</v>
      </c>
      <c r="AA22" s="369">
        <v>0</v>
      </c>
      <c r="AB22" s="369">
        <v>0</v>
      </c>
      <c r="AC22" s="369">
        <v>0</v>
      </c>
      <c r="AD22" s="369">
        <v>0</v>
      </c>
      <c r="AE22" s="369">
        <v>0</v>
      </c>
      <c r="AF22" s="369">
        <v>0</v>
      </c>
      <c r="AG22" s="369">
        <v>0</v>
      </c>
      <c r="AH22" s="369">
        <v>0</v>
      </c>
      <c r="AI22" s="369">
        <v>0</v>
      </c>
      <c r="AJ22" s="369">
        <v>0</v>
      </c>
      <c r="AK22" s="369">
        <v>0</v>
      </c>
      <c r="AL22" s="369">
        <v>7.0000000000000007E-2</v>
      </c>
      <c r="AM22" s="369">
        <v>5.09</v>
      </c>
      <c r="AN22" s="369">
        <v>0</v>
      </c>
      <c r="AO22" s="369">
        <v>0</v>
      </c>
      <c r="AP22" s="369">
        <v>0</v>
      </c>
      <c r="AQ22" s="369">
        <v>0</v>
      </c>
      <c r="AR22" s="369">
        <v>0</v>
      </c>
      <c r="AS22" s="369">
        <v>0</v>
      </c>
      <c r="AT22" s="369">
        <v>0</v>
      </c>
      <c r="AU22" s="369">
        <v>0</v>
      </c>
      <c r="AV22" s="369">
        <v>0</v>
      </c>
      <c r="AW22" s="369">
        <v>0</v>
      </c>
      <c r="AX22" s="369">
        <v>0</v>
      </c>
      <c r="AY22" s="369">
        <v>0</v>
      </c>
      <c r="AZ22" s="369">
        <v>0</v>
      </c>
      <c r="BA22" s="369">
        <v>0</v>
      </c>
      <c r="BB22" s="369">
        <v>0</v>
      </c>
      <c r="BC22" s="369">
        <v>0</v>
      </c>
      <c r="BD22" s="369">
        <v>0</v>
      </c>
      <c r="BE22" s="369">
        <v>0</v>
      </c>
      <c r="BF22" s="369">
        <v>0</v>
      </c>
      <c r="BG22" s="369">
        <v>2.4500000000000002</v>
      </c>
      <c r="BH22" s="369">
        <v>0</v>
      </c>
      <c r="BI22" s="369">
        <v>0</v>
      </c>
      <c r="BJ22" s="369">
        <v>0</v>
      </c>
      <c r="BK22" s="369">
        <v>0</v>
      </c>
      <c r="BL22" s="369">
        <v>0</v>
      </c>
      <c r="BM22" s="369">
        <v>0</v>
      </c>
      <c r="BN22" s="370">
        <v>0.18</v>
      </c>
      <c r="BO22" s="373">
        <v>12714.71</v>
      </c>
      <c r="BP22" s="374"/>
      <c r="BQ22" s="370">
        <v>2023.37</v>
      </c>
      <c r="BR22" s="370">
        <v>14648.53</v>
      </c>
      <c r="BS22" s="370">
        <v>0</v>
      </c>
      <c r="BT22" s="370">
        <v>0</v>
      </c>
      <c r="BU22" s="370">
        <v>499.9</v>
      </c>
      <c r="BV22" s="370">
        <v>-119.99</v>
      </c>
    </row>
    <row r="23" spans="1:74">
      <c r="A23" s="365" t="s">
        <v>1248</v>
      </c>
      <c r="B23" s="366" t="s">
        <v>1249</v>
      </c>
      <c r="C23" s="373">
        <v>97078.2</v>
      </c>
      <c r="D23" s="368">
        <v>0</v>
      </c>
      <c r="E23" s="369">
        <v>0</v>
      </c>
      <c r="F23" s="369">
        <v>0</v>
      </c>
      <c r="G23" s="369">
        <v>0</v>
      </c>
      <c r="H23" s="369">
        <v>0</v>
      </c>
      <c r="I23" s="369">
        <v>0</v>
      </c>
      <c r="J23" s="369">
        <v>0</v>
      </c>
      <c r="K23" s="369">
        <v>0</v>
      </c>
      <c r="L23" s="369">
        <v>3293.3</v>
      </c>
      <c r="M23" s="369">
        <v>9.1999999999999993</v>
      </c>
      <c r="N23" s="369">
        <v>0</v>
      </c>
      <c r="O23" s="369">
        <v>0</v>
      </c>
      <c r="P23" s="369">
        <v>0</v>
      </c>
      <c r="Q23" s="369">
        <v>0</v>
      </c>
      <c r="R23" s="369">
        <v>0</v>
      </c>
      <c r="S23" s="369">
        <v>0</v>
      </c>
      <c r="T23" s="369">
        <v>0</v>
      </c>
      <c r="U23" s="369">
        <v>0</v>
      </c>
      <c r="V23" s="369">
        <v>0</v>
      </c>
      <c r="W23" s="369">
        <v>0</v>
      </c>
      <c r="X23" s="369">
        <v>0</v>
      </c>
      <c r="Y23" s="369">
        <v>0</v>
      </c>
      <c r="Z23" s="369">
        <v>0</v>
      </c>
      <c r="AA23" s="369">
        <v>0</v>
      </c>
      <c r="AB23" s="369">
        <v>0</v>
      </c>
      <c r="AC23" s="369">
        <v>0</v>
      </c>
      <c r="AD23" s="369">
        <v>0</v>
      </c>
      <c r="AE23" s="369">
        <v>0</v>
      </c>
      <c r="AF23" s="369">
        <v>0</v>
      </c>
      <c r="AG23" s="369">
        <v>0</v>
      </c>
      <c r="AH23" s="369">
        <v>0</v>
      </c>
      <c r="AI23" s="369">
        <v>0</v>
      </c>
      <c r="AJ23" s="369">
        <v>0</v>
      </c>
      <c r="AK23" s="369">
        <v>0</v>
      </c>
      <c r="AL23" s="369">
        <v>66.13</v>
      </c>
      <c r="AM23" s="369">
        <v>164.44</v>
      </c>
      <c r="AN23" s="369">
        <v>0</v>
      </c>
      <c r="AO23" s="369">
        <v>0</v>
      </c>
      <c r="AP23" s="369">
        <v>0</v>
      </c>
      <c r="AQ23" s="369">
        <v>0</v>
      </c>
      <c r="AR23" s="369">
        <v>0</v>
      </c>
      <c r="AS23" s="369">
        <v>1563.3</v>
      </c>
      <c r="AT23" s="369">
        <v>45.58</v>
      </c>
      <c r="AU23" s="369">
        <v>1.54</v>
      </c>
      <c r="AV23" s="369">
        <v>11.45</v>
      </c>
      <c r="AW23" s="369">
        <v>14.38</v>
      </c>
      <c r="AX23" s="369">
        <v>82.32</v>
      </c>
      <c r="AY23" s="369">
        <v>0</v>
      </c>
      <c r="AZ23" s="369">
        <v>0</v>
      </c>
      <c r="BA23" s="369">
        <v>0</v>
      </c>
      <c r="BB23" s="369">
        <v>2053.9</v>
      </c>
      <c r="BC23" s="369">
        <v>199.26</v>
      </c>
      <c r="BD23" s="369">
        <v>645.03</v>
      </c>
      <c r="BE23" s="369">
        <v>79.03</v>
      </c>
      <c r="BF23" s="369">
        <v>2702.45</v>
      </c>
      <c r="BG23" s="369">
        <v>2725.03</v>
      </c>
      <c r="BH23" s="369">
        <v>584.44000000000005</v>
      </c>
      <c r="BI23" s="369">
        <v>2052.5100000000002</v>
      </c>
      <c r="BJ23" s="369">
        <v>9.24</v>
      </c>
      <c r="BK23" s="369">
        <v>29.57</v>
      </c>
      <c r="BL23" s="369">
        <v>599.23</v>
      </c>
      <c r="BM23" s="369">
        <v>60.62</v>
      </c>
      <c r="BN23" s="370">
        <v>1481.4</v>
      </c>
      <c r="BO23" s="373">
        <v>18473.349999999999</v>
      </c>
      <c r="BP23" s="374"/>
      <c r="BQ23" s="370">
        <v>473.05</v>
      </c>
      <c r="BR23" s="370">
        <v>76569.41</v>
      </c>
      <c r="BS23" s="370">
        <v>0</v>
      </c>
      <c r="BT23" s="370">
        <v>0</v>
      </c>
      <c r="BU23" s="370">
        <v>1997.17</v>
      </c>
      <c r="BV23" s="370">
        <v>-434.79</v>
      </c>
    </row>
    <row r="24" spans="1:74">
      <c r="A24" s="365" t="s">
        <v>1250</v>
      </c>
      <c r="B24" s="366" t="s">
        <v>1251</v>
      </c>
      <c r="C24" s="373">
        <v>31256.84</v>
      </c>
      <c r="D24" s="368">
        <v>0</v>
      </c>
      <c r="E24" s="369">
        <v>0</v>
      </c>
      <c r="F24" s="369">
        <v>0</v>
      </c>
      <c r="G24" s="369">
        <v>0</v>
      </c>
      <c r="H24" s="369">
        <v>0</v>
      </c>
      <c r="I24" s="369">
        <v>0</v>
      </c>
      <c r="J24" s="369">
        <v>0</v>
      </c>
      <c r="K24" s="369">
        <v>0</v>
      </c>
      <c r="L24" s="369">
        <v>3630.66</v>
      </c>
      <c r="M24" s="369">
        <v>2375.39</v>
      </c>
      <c r="N24" s="369">
        <v>0</v>
      </c>
      <c r="O24" s="369">
        <v>0</v>
      </c>
      <c r="P24" s="369">
        <v>1.42</v>
      </c>
      <c r="Q24" s="369">
        <v>0</v>
      </c>
      <c r="R24" s="369">
        <v>0</v>
      </c>
      <c r="S24" s="369">
        <v>0</v>
      </c>
      <c r="T24" s="369">
        <v>0</v>
      </c>
      <c r="U24" s="369">
        <v>0</v>
      </c>
      <c r="V24" s="369">
        <v>439.65</v>
      </c>
      <c r="W24" s="369">
        <v>851.74</v>
      </c>
      <c r="X24" s="369">
        <v>0</v>
      </c>
      <c r="Y24" s="369">
        <v>0</v>
      </c>
      <c r="Z24" s="369">
        <v>0</v>
      </c>
      <c r="AA24" s="369">
        <v>0</v>
      </c>
      <c r="AB24" s="369">
        <v>0</v>
      </c>
      <c r="AC24" s="369">
        <v>0</v>
      </c>
      <c r="AD24" s="369">
        <v>0</v>
      </c>
      <c r="AE24" s="369">
        <v>0</v>
      </c>
      <c r="AF24" s="369">
        <v>0</v>
      </c>
      <c r="AG24" s="369">
        <v>0</v>
      </c>
      <c r="AH24" s="369">
        <v>0</v>
      </c>
      <c r="AI24" s="369">
        <v>0</v>
      </c>
      <c r="AJ24" s="369">
        <v>0</v>
      </c>
      <c r="AK24" s="369">
        <v>0</v>
      </c>
      <c r="AL24" s="369">
        <v>40.76</v>
      </c>
      <c r="AM24" s="369">
        <v>37.549999999999997</v>
      </c>
      <c r="AN24" s="369">
        <v>0</v>
      </c>
      <c r="AO24" s="369">
        <v>0</v>
      </c>
      <c r="AP24" s="369">
        <v>435.93</v>
      </c>
      <c r="AQ24" s="369">
        <v>149.03</v>
      </c>
      <c r="AR24" s="369">
        <v>0</v>
      </c>
      <c r="AS24" s="369">
        <v>0</v>
      </c>
      <c r="AT24" s="369">
        <v>16.329999999999998</v>
      </c>
      <c r="AU24" s="369">
        <v>0.55000000000000004</v>
      </c>
      <c r="AV24" s="369">
        <v>4.0999999999999996</v>
      </c>
      <c r="AW24" s="369">
        <v>5.15</v>
      </c>
      <c r="AX24" s="369">
        <v>2.2599999999999998</v>
      </c>
      <c r="AY24" s="369">
        <v>0</v>
      </c>
      <c r="AZ24" s="369">
        <v>0</v>
      </c>
      <c r="BA24" s="369">
        <v>0</v>
      </c>
      <c r="BB24" s="369">
        <v>291.42</v>
      </c>
      <c r="BC24" s="369">
        <v>28.27</v>
      </c>
      <c r="BD24" s="369">
        <v>91.52</v>
      </c>
      <c r="BE24" s="369">
        <v>11.21</v>
      </c>
      <c r="BF24" s="369">
        <v>383.44</v>
      </c>
      <c r="BG24" s="369">
        <v>115.5</v>
      </c>
      <c r="BH24" s="369">
        <v>17.93</v>
      </c>
      <c r="BI24" s="369">
        <v>62.95</v>
      </c>
      <c r="BJ24" s="369">
        <v>0.28000000000000003</v>
      </c>
      <c r="BK24" s="369">
        <v>0.91</v>
      </c>
      <c r="BL24" s="369">
        <v>18.38</v>
      </c>
      <c r="BM24" s="369">
        <v>1.86</v>
      </c>
      <c r="BN24" s="370">
        <v>123.83</v>
      </c>
      <c r="BO24" s="373">
        <v>9138.01</v>
      </c>
      <c r="BP24" s="374"/>
      <c r="BQ24" s="370">
        <v>2062.4899999999998</v>
      </c>
      <c r="BR24" s="370">
        <v>20112.349999999999</v>
      </c>
      <c r="BS24" s="370">
        <v>0</v>
      </c>
      <c r="BT24" s="370">
        <v>0</v>
      </c>
      <c r="BU24" s="370">
        <v>-1.26</v>
      </c>
      <c r="BV24" s="370">
        <v>-54.75</v>
      </c>
    </row>
    <row r="25" spans="1:74">
      <c r="A25" s="365" t="s">
        <v>1252</v>
      </c>
      <c r="B25" s="366" t="s">
        <v>1253</v>
      </c>
      <c r="C25" s="373">
        <v>15848.94</v>
      </c>
      <c r="D25" s="368">
        <v>0</v>
      </c>
      <c r="E25" s="369">
        <v>0</v>
      </c>
      <c r="F25" s="369">
        <v>0</v>
      </c>
      <c r="G25" s="369">
        <v>0</v>
      </c>
      <c r="H25" s="369">
        <v>0</v>
      </c>
      <c r="I25" s="369">
        <v>0</v>
      </c>
      <c r="J25" s="369">
        <v>0</v>
      </c>
      <c r="K25" s="369">
        <v>0</v>
      </c>
      <c r="L25" s="369">
        <v>4224.99</v>
      </c>
      <c r="M25" s="369">
        <v>0</v>
      </c>
      <c r="N25" s="369">
        <v>0</v>
      </c>
      <c r="O25" s="369">
        <v>0</v>
      </c>
      <c r="P25" s="369">
        <v>0</v>
      </c>
      <c r="Q25" s="369">
        <v>0</v>
      </c>
      <c r="R25" s="369">
        <v>0</v>
      </c>
      <c r="S25" s="369">
        <v>0</v>
      </c>
      <c r="T25" s="369">
        <v>0</v>
      </c>
      <c r="U25" s="369">
        <v>0</v>
      </c>
      <c r="V25" s="369">
        <v>0</v>
      </c>
      <c r="W25" s="369">
        <v>0</v>
      </c>
      <c r="X25" s="369">
        <v>0</v>
      </c>
      <c r="Y25" s="369">
        <v>0</v>
      </c>
      <c r="Z25" s="369">
        <v>0</v>
      </c>
      <c r="AA25" s="369">
        <v>0</v>
      </c>
      <c r="AB25" s="369">
        <v>0</v>
      </c>
      <c r="AC25" s="369">
        <v>0</v>
      </c>
      <c r="AD25" s="369">
        <v>0</v>
      </c>
      <c r="AE25" s="369">
        <v>0</v>
      </c>
      <c r="AF25" s="369">
        <v>0</v>
      </c>
      <c r="AG25" s="369">
        <v>0</v>
      </c>
      <c r="AH25" s="369">
        <v>0</v>
      </c>
      <c r="AI25" s="369">
        <v>0</v>
      </c>
      <c r="AJ25" s="369">
        <v>0</v>
      </c>
      <c r="AK25" s="369">
        <v>0</v>
      </c>
      <c r="AL25" s="369">
        <v>24.53</v>
      </c>
      <c r="AM25" s="369">
        <v>0</v>
      </c>
      <c r="AN25" s="369">
        <v>0</v>
      </c>
      <c r="AO25" s="369">
        <v>0</v>
      </c>
      <c r="AP25" s="369">
        <v>0</v>
      </c>
      <c r="AQ25" s="369">
        <v>0</v>
      </c>
      <c r="AR25" s="369">
        <v>0</v>
      </c>
      <c r="AS25" s="369">
        <v>465.9</v>
      </c>
      <c r="AT25" s="369">
        <v>68.39</v>
      </c>
      <c r="AU25" s="369">
        <v>2.31</v>
      </c>
      <c r="AV25" s="369">
        <v>17.170000000000002</v>
      </c>
      <c r="AW25" s="369">
        <v>21.58</v>
      </c>
      <c r="AX25" s="369">
        <v>2.0299999999999998</v>
      </c>
      <c r="AY25" s="369">
        <v>0</v>
      </c>
      <c r="AZ25" s="369">
        <v>0</v>
      </c>
      <c r="BA25" s="369">
        <v>0</v>
      </c>
      <c r="BB25" s="369">
        <v>0</v>
      </c>
      <c r="BC25" s="369">
        <v>0</v>
      </c>
      <c r="BD25" s="369">
        <v>0</v>
      </c>
      <c r="BE25" s="369">
        <v>0</v>
      </c>
      <c r="BF25" s="369">
        <v>0</v>
      </c>
      <c r="BG25" s="369">
        <v>0</v>
      </c>
      <c r="BH25" s="369">
        <v>21.03</v>
      </c>
      <c r="BI25" s="369">
        <v>73.849999999999994</v>
      </c>
      <c r="BJ25" s="369">
        <v>0.33</v>
      </c>
      <c r="BK25" s="369">
        <v>1.06</v>
      </c>
      <c r="BL25" s="369">
        <v>21.56</v>
      </c>
      <c r="BM25" s="369">
        <v>2.1800000000000002</v>
      </c>
      <c r="BN25" s="370">
        <v>317.14999999999998</v>
      </c>
      <c r="BO25" s="373">
        <v>5264.07</v>
      </c>
      <c r="BP25" s="374"/>
      <c r="BQ25" s="370">
        <v>465.76</v>
      </c>
      <c r="BR25" s="370">
        <v>10140.67</v>
      </c>
      <c r="BS25" s="370">
        <v>0</v>
      </c>
      <c r="BT25" s="370">
        <v>0</v>
      </c>
      <c r="BU25" s="370">
        <v>0.67</v>
      </c>
      <c r="BV25" s="370">
        <v>-22.22</v>
      </c>
    </row>
    <row r="26" spans="1:74">
      <c r="A26" s="365" t="s">
        <v>1254</v>
      </c>
      <c r="B26" s="366" t="s">
        <v>1255</v>
      </c>
      <c r="C26" s="373">
        <v>2409.6799999999998</v>
      </c>
      <c r="D26" s="368">
        <v>0</v>
      </c>
      <c r="E26" s="369">
        <v>0</v>
      </c>
      <c r="F26" s="369">
        <v>0</v>
      </c>
      <c r="G26" s="369">
        <v>0</v>
      </c>
      <c r="H26" s="369">
        <v>0</v>
      </c>
      <c r="I26" s="369">
        <v>0</v>
      </c>
      <c r="J26" s="369">
        <v>0</v>
      </c>
      <c r="K26" s="369">
        <v>0</v>
      </c>
      <c r="L26" s="369">
        <v>436.64</v>
      </c>
      <c r="M26" s="369">
        <v>0</v>
      </c>
      <c r="N26" s="369">
        <v>0</v>
      </c>
      <c r="O26" s="369">
        <v>0</v>
      </c>
      <c r="P26" s="369">
        <v>0</v>
      </c>
      <c r="Q26" s="369">
        <v>0</v>
      </c>
      <c r="R26" s="369">
        <v>0</v>
      </c>
      <c r="S26" s="369">
        <v>0</v>
      </c>
      <c r="T26" s="369">
        <v>0</v>
      </c>
      <c r="U26" s="369">
        <v>0</v>
      </c>
      <c r="V26" s="369">
        <v>0</v>
      </c>
      <c r="W26" s="369">
        <v>0</v>
      </c>
      <c r="X26" s="369">
        <v>0</v>
      </c>
      <c r="Y26" s="369">
        <v>0</v>
      </c>
      <c r="Z26" s="369">
        <v>0</v>
      </c>
      <c r="AA26" s="369">
        <v>0</v>
      </c>
      <c r="AB26" s="369">
        <v>0</v>
      </c>
      <c r="AC26" s="369">
        <v>0</v>
      </c>
      <c r="AD26" s="369">
        <v>0</v>
      </c>
      <c r="AE26" s="369">
        <v>0</v>
      </c>
      <c r="AF26" s="369">
        <v>0</v>
      </c>
      <c r="AG26" s="369">
        <v>0</v>
      </c>
      <c r="AH26" s="369">
        <v>0</v>
      </c>
      <c r="AI26" s="369">
        <v>0</v>
      </c>
      <c r="AJ26" s="369">
        <v>0</v>
      </c>
      <c r="AK26" s="369">
        <v>0</v>
      </c>
      <c r="AL26" s="369">
        <v>6.47</v>
      </c>
      <c r="AM26" s="369">
        <v>0</v>
      </c>
      <c r="AN26" s="369">
        <v>0</v>
      </c>
      <c r="AO26" s="369">
        <v>0</v>
      </c>
      <c r="AP26" s="369">
        <v>0</v>
      </c>
      <c r="AQ26" s="369">
        <v>0</v>
      </c>
      <c r="AR26" s="369">
        <v>0</v>
      </c>
      <c r="AS26" s="369">
        <v>0</v>
      </c>
      <c r="AT26" s="369">
        <v>0</v>
      </c>
      <c r="AU26" s="369">
        <v>0</v>
      </c>
      <c r="AV26" s="369">
        <v>0</v>
      </c>
      <c r="AW26" s="369">
        <v>0</v>
      </c>
      <c r="AX26" s="369">
        <v>13.07</v>
      </c>
      <c r="AY26" s="369">
        <v>0</v>
      </c>
      <c r="AZ26" s="369">
        <v>0</v>
      </c>
      <c r="BA26" s="369">
        <v>0</v>
      </c>
      <c r="BB26" s="369">
        <v>0</v>
      </c>
      <c r="BC26" s="369">
        <v>0</v>
      </c>
      <c r="BD26" s="369">
        <v>0</v>
      </c>
      <c r="BE26" s="369">
        <v>0</v>
      </c>
      <c r="BF26" s="369">
        <v>0</v>
      </c>
      <c r="BG26" s="369">
        <v>0</v>
      </c>
      <c r="BH26" s="369">
        <v>0</v>
      </c>
      <c r="BI26" s="369">
        <v>0</v>
      </c>
      <c r="BJ26" s="369">
        <v>0</v>
      </c>
      <c r="BK26" s="369">
        <v>0</v>
      </c>
      <c r="BL26" s="369">
        <v>0</v>
      </c>
      <c r="BM26" s="369">
        <v>0</v>
      </c>
      <c r="BN26" s="370">
        <v>16.54</v>
      </c>
      <c r="BO26" s="373">
        <v>472.72</v>
      </c>
      <c r="BP26" s="374"/>
      <c r="BQ26" s="370">
        <v>315.83</v>
      </c>
      <c r="BR26" s="370">
        <v>1627.82</v>
      </c>
      <c r="BS26" s="370">
        <v>0</v>
      </c>
      <c r="BT26" s="370">
        <v>0</v>
      </c>
      <c r="BU26" s="370">
        <v>0</v>
      </c>
      <c r="BV26" s="370">
        <v>-6.69</v>
      </c>
    </row>
    <row r="27" spans="1:74">
      <c r="A27" s="365" t="s">
        <v>1256</v>
      </c>
      <c r="B27" s="366" t="s">
        <v>1257</v>
      </c>
      <c r="C27" s="373">
        <v>51534.05</v>
      </c>
      <c r="D27" s="368">
        <v>0</v>
      </c>
      <c r="E27" s="369">
        <v>0</v>
      </c>
      <c r="F27" s="369">
        <v>0</v>
      </c>
      <c r="G27" s="369">
        <v>0</v>
      </c>
      <c r="H27" s="369">
        <v>0</v>
      </c>
      <c r="I27" s="369">
        <v>0</v>
      </c>
      <c r="J27" s="369">
        <v>0</v>
      </c>
      <c r="K27" s="369">
        <v>0</v>
      </c>
      <c r="L27" s="369">
        <v>10745.22</v>
      </c>
      <c r="M27" s="369">
        <v>861.35</v>
      </c>
      <c r="N27" s="369">
        <v>0</v>
      </c>
      <c r="O27" s="369">
        <v>0</v>
      </c>
      <c r="P27" s="369">
        <v>0.16</v>
      </c>
      <c r="Q27" s="369">
        <v>0</v>
      </c>
      <c r="R27" s="369">
        <v>0</v>
      </c>
      <c r="S27" s="369">
        <v>0</v>
      </c>
      <c r="T27" s="369">
        <v>0</v>
      </c>
      <c r="U27" s="369">
        <v>0</v>
      </c>
      <c r="V27" s="369">
        <v>39.130000000000003</v>
      </c>
      <c r="W27" s="369">
        <v>0</v>
      </c>
      <c r="X27" s="369">
        <v>0</v>
      </c>
      <c r="Y27" s="369">
        <v>0</v>
      </c>
      <c r="Z27" s="369">
        <v>0</v>
      </c>
      <c r="AA27" s="369">
        <v>0</v>
      </c>
      <c r="AB27" s="369">
        <v>0</v>
      </c>
      <c r="AC27" s="369">
        <v>0</v>
      </c>
      <c r="AD27" s="369">
        <v>0</v>
      </c>
      <c r="AE27" s="369">
        <v>0</v>
      </c>
      <c r="AF27" s="369">
        <v>0</v>
      </c>
      <c r="AG27" s="369">
        <v>0</v>
      </c>
      <c r="AH27" s="369">
        <v>0</v>
      </c>
      <c r="AI27" s="369">
        <v>0</v>
      </c>
      <c r="AJ27" s="369">
        <v>0</v>
      </c>
      <c r="AK27" s="369">
        <v>0</v>
      </c>
      <c r="AL27" s="369">
        <v>123.4</v>
      </c>
      <c r="AM27" s="369">
        <v>14.68</v>
      </c>
      <c r="AN27" s="369">
        <v>0</v>
      </c>
      <c r="AO27" s="369">
        <v>0</v>
      </c>
      <c r="AP27" s="369">
        <v>1107.69</v>
      </c>
      <c r="AQ27" s="369">
        <v>378.68</v>
      </c>
      <c r="AR27" s="369">
        <v>0</v>
      </c>
      <c r="AS27" s="369">
        <v>436.73</v>
      </c>
      <c r="AT27" s="369">
        <v>29.85</v>
      </c>
      <c r="AU27" s="369">
        <v>1.01</v>
      </c>
      <c r="AV27" s="369">
        <v>7.5</v>
      </c>
      <c r="AW27" s="369">
        <v>9.42</v>
      </c>
      <c r="AX27" s="369">
        <v>5.6</v>
      </c>
      <c r="AY27" s="369">
        <v>0</v>
      </c>
      <c r="AZ27" s="369">
        <v>0</v>
      </c>
      <c r="BA27" s="369">
        <v>0</v>
      </c>
      <c r="BB27" s="369">
        <v>614.66</v>
      </c>
      <c r="BC27" s="369">
        <v>59.63</v>
      </c>
      <c r="BD27" s="369">
        <v>193.03</v>
      </c>
      <c r="BE27" s="369">
        <v>23.65</v>
      </c>
      <c r="BF27" s="369">
        <v>808.75</v>
      </c>
      <c r="BG27" s="369">
        <v>251.08</v>
      </c>
      <c r="BH27" s="369">
        <v>84.38</v>
      </c>
      <c r="BI27" s="369">
        <v>296.32</v>
      </c>
      <c r="BJ27" s="369">
        <v>1.33</v>
      </c>
      <c r="BK27" s="369">
        <v>4.2699999999999996</v>
      </c>
      <c r="BL27" s="369">
        <v>86.51</v>
      </c>
      <c r="BM27" s="369">
        <v>8.75</v>
      </c>
      <c r="BN27" s="370">
        <v>609.95000000000005</v>
      </c>
      <c r="BO27" s="373">
        <v>16802.75</v>
      </c>
      <c r="BP27" s="374"/>
      <c r="BQ27" s="370">
        <v>6872.7</v>
      </c>
      <c r="BR27" s="370">
        <v>28051.99</v>
      </c>
      <c r="BS27" s="370">
        <v>0</v>
      </c>
      <c r="BT27" s="370">
        <v>0</v>
      </c>
      <c r="BU27" s="370">
        <v>-0.14000000000000001</v>
      </c>
      <c r="BV27" s="370">
        <v>-193.25</v>
      </c>
    </row>
    <row r="28" spans="1:74">
      <c r="A28" s="365" t="s">
        <v>1258</v>
      </c>
      <c r="B28" s="366" t="s">
        <v>1259</v>
      </c>
      <c r="C28" s="367" t="s">
        <v>1215</v>
      </c>
      <c r="D28" s="368">
        <v>0</v>
      </c>
      <c r="E28" s="369">
        <v>0</v>
      </c>
      <c r="F28" s="369">
        <v>0</v>
      </c>
      <c r="G28" s="369">
        <v>0</v>
      </c>
      <c r="H28" s="369">
        <v>8.77</v>
      </c>
      <c r="I28" s="369">
        <v>0.98</v>
      </c>
      <c r="J28" s="369">
        <v>2.61</v>
      </c>
      <c r="K28" s="369">
        <v>3.81</v>
      </c>
      <c r="L28" s="369">
        <v>431.01</v>
      </c>
      <c r="M28" s="369">
        <v>19429.88</v>
      </c>
      <c r="N28" s="369">
        <v>0</v>
      </c>
      <c r="O28" s="369">
        <v>0</v>
      </c>
      <c r="P28" s="369">
        <v>0</v>
      </c>
      <c r="Q28" s="369">
        <v>0</v>
      </c>
      <c r="R28" s="369">
        <v>0</v>
      </c>
      <c r="S28" s="369">
        <v>0</v>
      </c>
      <c r="T28" s="369">
        <v>0</v>
      </c>
      <c r="U28" s="369">
        <v>0</v>
      </c>
      <c r="V28" s="369">
        <v>0</v>
      </c>
      <c r="W28" s="369">
        <v>0</v>
      </c>
      <c r="X28" s="369">
        <v>0</v>
      </c>
      <c r="Y28" s="369">
        <v>0</v>
      </c>
      <c r="Z28" s="369">
        <v>0</v>
      </c>
      <c r="AA28" s="369">
        <v>0</v>
      </c>
      <c r="AB28" s="369">
        <v>0</v>
      </c>
      <c r="AC28" s="369">
        <v>0</v>
      </c>
      <c r="AD28" s="369">
        <v>0</v>
      </c>
      <c r="AE28" s="369">
        <v>0</v>
      </c>
      <c r="AF28" s="369">
        <v>0</v>
      </c>
      <c r="AG28" s="369">
        <v>0</v>
      </c>
      <c r="AH28" s="369">
        <v>0</v>
      </c>
      <c r="AI28" s="369">
        <v>0</v>
      </c>
      <c r="AJ28" s="369">
        <v>0</v>
      </c>
      <c r="AK28" s="369">
        <v>0</v>
      </c>
      <c r="AL28" s="369">
        <v>0.7</v>
      </c>
      <c r="AM28" s="369">
        <v>0</v>
      </c>
      <c r="AN28" s="369">
        <v>0</v>
      </c>
      <c r="AO28" s="369">
        <v>0</v>
      </c>
      <c r="AP28" s="369">
        <v>0</v>
      </c>
      <c r="AQ28" s="369">
        <v>0</v>
      </c>
      <c r="AR28" s="369">
        <v>0</v>
      </c>
      <c r="AS28" s="369">
        <v>914.27</v>
      </c>
      <c r="AT28" s="369">
        <v>135.91999999999999</v>
      </c>
      <c r="AU28" s="369">
        <v>4.59</v>
      </c>
      <c r="AV28" s="369">
        <v>34.130000000000003</v>
      </c>
      <c r="AW28" s="369">
        <v>42.88</v>
      </c>
      <c r="AX28" s="369">
        <v>2.93</v>
      </c>
      <c r="AY28" s="369">
        <v>0</v>
      </c>
      <c r="AZ28" s="369">
        <v>0</v>
      </c>
      <c r="BA28" s="369">
        <v>0</v>
      </c>
      <c r="BB28" s="369">
        <v>0</v>
      </c>
      <c r="BC28" s="369">
        <v>0</v>
      </c>
      <c r="BD28" s="369">
        <v>0</v>
      </c>
      <c r="BE28" s="369">
        <v>0</v>
      </c>
      <c r="BF28" s="369">
        <v>0</v>
      </c>
      <c r="BG28" s="369">
        <v>111.24</v>
      </c>
      <c r="BH28" s="369">
        <v>3.61</v>
      </c>
      <c r="BI28" s="369">
        <v>12.67</v>
      </c>
      <c r="BJ28" s="369">
        <v>0.06</v>
      </c>
      <c r="BK28" s="369">
        <v>0.18</v>
      </c>
      <c r="BL28" s="369">
        <v>3.7</v>
      </c>
      <c r="BM28" s="369">
        <v>0.37</v>
      </c>
      <c r="BN28" s="370">
        <v>473.07</v>
      </c>
      <c r="BO28" s="373">
        <v>21617.38</v>
      </c>
      <c r="BP28" s="374"/>
      <c r="BQ28" s="370">
        <v>17799.68</v>
      </c>
      <c r="BR28" s="370">
        <v>91118.5</v>
      </c>
      <c r="BS28" s="370">
        <v>0</v>
      </c>
      <c r="BT28" s="370">
        <v>0</v>
      </c>
      <c r="BU28" s="370">
        <v>196.06</v>
      </c>
      <c r="BV28" s="370">
        <v>-488.85</v>
      </c>
    </row>
    <row r="29" spans="1:74">
      <c r="A29" s="365" t="s">
        <v>1260</v>
      </c>
      <c r="B29" s="366" t="s">
        <v>1261</v>
      </c>
      <c r="C29" s="373">
        <v>56903.81</v>
      </c>
      <c r="D29" s="368">
        <v>0</v>
      </c>
      <c r="E29" s="369">
        <v>0</v>
      </c>
      <c r="F29" s="369">
        <v>0</v>
      </c>
      <c r="G29" s="369">
        <v>0</v>
      </c>
      <c r="H29" s="369">
        <v>361.36</v>
      </c>
      <c r="I29" s="369">
        <v>20.18</v>
      </c>
      <c r="J29" s="369">
        <v>107.49</v>
      </c>
      <c r="K29" s="369">
        <v>156.83000000000001</v>
      </c>
      <c r="L29" s="369">
        <v>0</v>
      </c>
      <c r="M29" s="369">
        <v>0</v>
      </c>
      <c r="N29" s="369">
        <v>0</v>
      </c>
      <c r="O29" s="369">
        <v>0</v>
      </c>
      <c r="P29" s="369">
        <v>0</v>
      </c>
      <c r="Q29" s="369">
        <v>0</v>
      </c>
      <c r="R29" s="369">
        <v>0</v>
      </c>
      <c r="S29" s="369">
        <v>0</v>
      </c>
      <c r="T29" s="369">
        <v>0</v>
      </c>
      <c r="U29" s="369">
        <v>0</v>
      </c>
      <c r="V29" s="369">
        <v>0</v>
      </c>
      <c r="W29" s="369">
        <v>0</v>
      </c>
      <c r="X29" s="369">
        <v>0</v>
      </c>
      <c r="Y29" s="369">
        <v>0</v>
      </c>
      <c r="Z29" s="369">
        <v>0</v>
      </c>
      <c r="AA29" s="369">
        <v>0</v>
      </c>
      <c r="AB29" s="369">
        <v>0</v>
      </c>
      <c r="AC29" s="369">
        <v>0</v>
      </c>
      <c r="AD29" s="369">
        <v>0</v>
      </c>
      <c r="AE29" s="369">
        <v>0</v>
      </c>
      <c r="AF29" s="369">
        <v>0</v>
      </c>
      <c r="AG29" s="369">
        <v>0</v>
      </c>
      <c r="AH29" s="369">
        <v>0</v>
      </c>
      <c r="AI29" s="369">
        <v>0</v>
      </c>
      <c r="AJ29" s="369">
        <v>0</v>
      </c>
      <c r="AK29" s="369">
        <v>0</v>
      </c>
      <c r="AL29" s="369">
        <v>0</v>
      </c>
      <c r="AM29" s="369">
        <v>0</v>
      </c>
      <c r="AN29" s="369">
        <v>0</v>
      </c>
      <c r="AO29" s="369">
        <v>0</v>
      </c>
      <c r="AP29" s="369">
        <v>0</v>
      </c>
      <c r="AQ29" s="369">
        <v>0</v>
      </c>
      <c r="AR29" s="369">
        <v>0</v>
      </c>
      <c r="AS29" s="369">
        <v>13388.21</v>
      </c>
      <c r="AT29" s="369">
        <v>2519.02</v>
      </c>
      <c r="AU29" s="369">
        <v>85</v>
      </c>
      <c r="AV29" s="369">
        <v>632.54999999999995</v>
      </c>
      <c r="AW29" s="369">
        <v>794.74</v>
      </c>
      <c r="AX29" s="369">
        <v>104.15</v>
      </c>
      <c r="AY29" s="369">
        <v>0</v>
      </c>
      <c r="AZ29" s="369">
        <v>0</v>
      </c>
      <c r="BA29" s="369">
        <v>0</v>
      </c>
      <c r="BB29" s="369">
        <v>0</v>
      </c>
      <c r="BC29" s="369">
        <v>0</v>
      </c>
      <c r="BD29" s="369">
        <v>0</v>
      </c>
      <c r="BE29" s="369">
        <v>0</v>
      </c>
      <c r="BF29" s="369">
        <v>0</v>
      </c>
      <c r="BG29" s="369">
        <v>2061.56</v>
      </c>
      <c r="BH29" s="369">
        <v>66.849999999999994</v>
      </c>
      <c r="BI29" s="369">
        <v>234.79</v>
      </c>
      <c r="BJ29" s="369">
        <v>1.06</v>
      </c>
      <c r="BK29" s="369">
        <v>3.38</v>
      </c>
      <c r="BL29" s="369">
        <v>68.55</v>
      </c>
      <c r="BM29" s="369">
        <v>6.93</v>
      </c>
      <c r="BN29" s="370">
        <v>6882.66</v>
      </c>
      <c r="BO29" s="373">
        <v>27495.3</v>
      </c>
      <c r="BP29" s="374"/>
      <c r="BQ29" s="370">
        <v>6682.46</v>
      </c>
      <c r="BR29" s="370">
        <v>22954.22</v>
      </c>
      <c r="BS29" s="370">
        <v>0</v>
      </c>
      <c r="BT29" s="370">
        <v>0</v>
      </c>
      <c r="BU29" s="370">
        <v>-0.41</v>
      </c>
      <c r="BV29" s="370">
        <v>-227.75</v>
      </c>
    </row>
    <row r="30" spans="1:74">
      <c r="A30" s="365" t="s">
        <v>1262</v>
      </c>
      <c r="B30" s="366" t="s">
        <v>1263</v>
      </c>
      <c r="C30" s="373">
        <v>77549.850000000006</v>
      </c>
      <c r="D30" s="368">
        <v>0</v>
      </c>
      <c r="E30" s="369">
        <v>0</v>
      </c>
      <c r="F30" s="369">
        <v>0</v>
      </c>
      <c r="G30" s="369">
        <v>0</v>
      </c>
      <c r="H30" s="369">
        <v>570.99</v>
      </c>
      <c r="I30" s="369">
        <v>31.88</v>
      </c>
      <c r="J30" s="369">
        <v>169.84</v>
      </c>
      <c r="K30" s="369">
        <v>247.8</v>
      </c>
      <c r="L30" s="369">
        <v>0</v>
      </c>
      <c r="M30" s="369">
        <v>0</v>
      </c>
      <c r="N30" s="369">
        <v>0</v>
      </c>
      <c r="O30" s="369">
        <v>0</v>
      </c>
      <c r="P30" s="369">
        <v>0</v>
      </c>
      <c r="Q30" s="369">
        <v>0</v>
      </c>
      <c r="R30" s="369">
        <v>0</v>
      </c>
      <c r="S30" s="369">
        <v>0</v>
      </c>
      <c r="T30" s="369">
        <v>0</v>
      </c>
      <c r="U30" s="369">
        <v>0</v>
      </c>
      <c r="V30" s="369">
        <v>0</v>
      </c>
      <c r="W30" s="369">
        <v>0</v>
      </c>
      <c r="X30" s="369">
        <v>0</v>
      </c>
      <c r="Y30" s="369">
        <v>0</v>
      </c>
      <c r="Z30" s="369">
        <v>0</v>
      </c>
      <c r="AA30" s="369">
        <v>0</v>
      </c>
      <c r="AB30" s="369">
        <v>0</v>
      </c>
      <c r="AC30" s="369">
        <v>0</v>
      </c>
      <c r="AD30" s="369">
        <v>0</v>
      </c>
      <c r="AE30" s="369">
        <v>0</v>
      </c>
      <c r="AF30" s="369">
        <v>0</v>
      </c>
      <c r="AG30" s="369">
        <v>0</v>
      </c>
      <c r="AH30" s="369">
        <v>0</v>
      </c>
      <c r="AI30" s="369">
        <v>0</v>
      </c>
      <c r="AJ30" s="369">
        <v>0</v>
      </c>
      <c r="AK30" s="369">
        <v>0</v>
      </c>
      <c r="AL30" s="369">
        <v>0</v>
      </c>
      <c r="AM30" s="369">
        <v>0</v>
      </c>
      <c r="AN30" s="369">
        <v>0</v>
      </c>
      <c r="AO30" s="369">
        <v>0</v>
      </c>
      <c r="AP30" s="369">
        <v>0</v>
      </c>
      <c r="AQ30" s="369">
        <v>0</v>
      </c>
      <c r="AR30" s="369">
        <v>0</v>
      </c>
      <c r="AS30" s="369">
        <v>13221.69</v>
      </c>
      <c r="AT30" s="369">
        <v>2211.2800000000002</v>
      </c>
      <c r="AU30" s="369">
        <v>74.61</v>
      </c>
      <c r="AV30" s="369">
        <v>555.27</v>
      </c>
      <c r="AW30" s="369">
        <v>697.65</v>
      </c>
      <c r="AX30" s="369">
        <v>60.5</v>
      </c>
      <c r="AY30" s="369">
        <v>0</v>
      </c>
      <c r="AZ30" s="369">
        <v>0</v>
      </c>
      <c r="BA30" s="369">
        <v>0</v>
      </c>
      <c r="BB30" s="369">
        <v>0</v>
      </c>
      <c r="BC30" s="369">
        <v>0</v>
      </c>
      <c r="BD30" s="369">
        <v>0</v>
      </c>
      <c r="BE30" s="369">
        <v>0</v>
      </c>
      <c r="BF30" s="369">
        <v>0</v>
      </c>
      <c r="BG30" s="369">
        <v>1809.71</v>
      </c>
      <c r="BH30" s="369">
        <v>58.69</v>
      </c>
      <c r="BI30" s="369">
        <v>206.1</v>
      </c>
      <c r="BJ30" s="369">
        <v>0.93</v>
      </c>
      <c r="BK30" s="369">
        <v>2.97</v>
      </c>
      <c r="BL30" s="369">
        <v>60.17</v>
      </c>
      <c r="BM30" s="369">
        <v>6.09</v>
      </c>
      <c r="BN30" s="370">
        <v>6752.47</v>
      </c>
      <c r="BO30" s="373">
        <v>26738.65</v>
      </c>
      <c r="BP30" s="374"/>
      <c r="BQ30" s="370">
        <v>6699.82</v>
      </c>
      <c r="BR30" s="370">
        <v>44376.26</v>
      </c>
      <c r="BS30" s="370">
        <v>0</v>
      </c>
      <c r="BT30" s="370">
        <v>0</v>
      </c>
      <c r="BU30" s="370">
        <v>-0.06</v>
      </c>
      <c r="BV30" s="370">
        <v>-264.83</v>
      </c>
    </row>
    <row r="31" spans="1:74">
      <c r="A31" s="365" t="s">
        <v>1264</v>
      </c>
      <c r="B31" s="366" t="s">
        <v>1265</v>
      </c>
      <c r="C31" s="373">
        <v>34746.69</v>
      </c>
      <c r="D31" s="368">
        <v>0</v>
      </c>
      <c r="E31" s="369">
        <v>0</v>
      </c>
      <c r="F31" s="369">
        <v>0</v>
      </c>
      <c r="G31" s="369">
        <v>0</v>
      </c>
      <c r="H31" s="369">
        <v>0</v>
      </c>
      <c r="I31" s="369">
        <v>0</v>
      </c>
      <c r="J31" s="369">
        <v>0</v>
      </c>
      <c r="K31" s="369">
        <v>0</v>
      </c>
      <c r="L31" s="369">
        <v>0</v>
      </c>
      <c r="M31" s="369">
        <v>505.54</v>
      </c>
      <c r="N31" s="369">
        <v>10445.31</v>
      </c>
      <c r="O31" s="369">
        <v>12665.26</v>
      </c>
      <c r="P31" s="369">
        <v>25.44</v>
      </c>
      <c r="Q31" s="369">
        <v>384.8</v>
      </c>
      <c r="R31" s="369">
        <v>105.37</v>
      </c>
      <c r="S31" s="369">
        <v>55.17</v>
      </c>
      <c r="T31" s="369">
        <v>951.7</v>
      </c>
      <c r="U31" s="369">
        <v>39.17</v>
      </c>
      <c r="V31" s="369">
        <v>0</v>
      </c>
      <c r="W31" s="369">
        <v>92.07</v>
      </c>
      <c r="X31" s="369">
        <v>1256.3</v>
      </c>
      <c r="Y31" s="369">
        <v>4.66</v>
      </c>
      <c r="Z31" s="369">
        <v>0</v>
      </c>
      <c r="AA31" s="369">
        <v>1.99</v>
      </c>
      <c r="AB31" s="369">
        <v>0</v>
      </c>
      <c r="AC31" s="369">
        <v>0</v>
      </c>
      <c r="AD31" s="369">
        <v>28.51</v>
      </c>
      <c r="AE31" s="369">
        <v>61.9</v>
      </c>
      <c r="AF31" s="369">
        <v>13.19</v>
      </c>
      <c r="AG31" s="369">
        <v>0</v>
      </c>
      <c r="AH31" s="369">
        <v>0</v>
      </c>
      <c r="AI31" s="369">
        <v>1389.67</v>
      </c>
      <c r="AJ31" s="369">
        <v>16.07</v>
      </c>
      <c r="AK31" s="369">
        <v>855.31</v>
      </c>
      <c r="AL31" s="369">
        <v>407.56</v>
      </c>
      <c r="AM31" s="369">
        <v>0</v>
      </c>
      <c r="AN31" s="369">
        <v>0</v>
      </c>
      <c r="AO31" s="369">
        <v>0</v>
      </c>
      <c r="AP31" s="369">
        <v>0</v>
      </c>
      <c r="AQ31" s="369">
        <v>0</v>
      </c>
      <c r="AR31" s="369">
        <v>0</v>
      </c>
      <c r="AS31" s="369">
        <v>0</v>
      </c>
      <c r="AT31" s="369">
        <v>3.43</v>
      </c>
      <c r="AU31" s="369">
        <v>0.12</v>
      </c>
      <c r="AV31" s="369">
        <v>0.86</v>
      </c>
      <c r="AW31" s="369">
        <v>1.08</v>
      </c>
      <c r="AX31" s="369">
        <v>7.0000000000000007E-2</v>
      </c>
      <c r="AY31" s="369">
        <v>3.82</v>
      </c>
      <c r="AZ31" s="369">
        <v>0.39</v>
      </c>
      <c r="BA31" s="369">
        <v>0.19</v>
      </c>
      <c r="BB31" s="369">
        <v>0</v>
      </c>
      <c r="BC31" s="369">
        <v>0</v>
      </c>
      <c r="BD31" s="369">
        <v>0</v>
      </c>
      <c r="BE31" s="369">
        <v>0</v>
      </c>
      <c r="BF31" s="369">
        <v>0</v>
      </c>
      <c r="BG31" s="369">
        <v>35.51</v>
      </c>
      <c r="BH31" s="369">
        <v>33.43</v>
      </c>
      <c r="BI31" s="369">
        <v>117.4</v>
      </c>
      <c r="BJ31" s="369">
        <v>0.53</v>
      </c>
      <c r="BK31" s="369">
        <v>1.69</v>
      </c>
      <c r="BL31" s="369">
        <v>34.270000000000003</v>
      </c>
      <c r="BM31" s="369">
        <v>3.47</v>
      </c>
      <c r="BN31" s="370">
        <v>1023.85</v>
      </c>
      <c r="BO31" s="373">
        <v>30565.09</v>
      </c>
      <c r="BP31" s="374"/>
      <c r="BQ31" s="370">
        <v>2548.46</v>
      </c>
      <c r="BR31" s="370">
        <v>1770.11</v>
      </c>
      <c r="BS31" s="370">
        <v>0</v>
      </c>
      <c r="BT31" s="370">
        <v>0</v>
      </c>
      <c r="BU31" s="370">
        <v>0.31</v>
      </c>
      <c r="BV31" s="370">
        <v>-137.29</v>
      </c>
    </row>
    <row r="32" spans="1:74">
      <c r="A32" s="365" t="s">
        <v>1266</v>
      </c>
      <c r="B32" s="366" t="s">
        <v>1267</v>
      </c>
      <c r="C32" s="373">
        <v>22659.32</v>
      </c>
      <c r="D32" s="368">
        <v>0</v>
      </c>
      <c r="E32" s="369">
        <v>3154.31</v>
      </c>
      <c r="F32" s="369">
        <v>325.24</v>
      </c>
      <c r="G32" s="369">
        <v>39.130000000000003</v>
      </c>
      <c r="H32" s="369">
        <v>63.28</v>
      </c>
      <c r="I32" s="369">
        <v>39.92</v>
      </c>
      <c r="J32" s="369">
        <v>322.38</v>
      </c>
      <c r="K32" s="369">
        <v>104.95</v>
      </c>
      <c r="L32" s="369">
        <v>0</v>
      </c>
      <c r="M32" s="369">
        <v>0</v>
      </c>
      <c r="N32" s="369">
        <v>0</v>
      </c>
      <c r="O32" s="369">
        <v>0</v>
      </c>
      <c r="P32" s="369">
        <v>0</v>
      </c>
      <c r="Q32" s="369">
        <v>0</v>
      </c>
      <c r="R32" s="369">
        <v>0</v>
      </c>
      <c r="S32" s="369">
        <v>0</v>
      </c>
      <c r="T32" s="369">
        <v>0</v>
      </c>
      <c r="U32" s="369">
        <v>0</v>
      </c>
      <c r="V32" s="369">
        <v>0</v>
      </c>
      <c r="W32" s="369">
        <v>0</v>
      </c>
      <c r="X32" s="369">
        <v>0</v>
      </c>
      <c r="Y32" s="369">
        <v>0</v>
      </c>
      <c r="Z32" s="369">
        <v>0</v>
      </c>
      <c r="AA32" s="369">
        <v>0</v>
      </c>
      <c r="AB32" s="369">
        <v>0</v>
      </c>
      <c r="AC32" s="369">
        <v>0</v>
      </c>
      <c r="AD32" s="369">
        <v>0</v>
      </c>
      <c r="AE32" s="369">
        <v>0</v>
      </c>
      <c r="AF32" s="369">
        <v>0.74</v>
      </c>
      <c r="AG32" s="369">
        <v>0</v>
      </c>
      <c r="AH32" s="369">
        <v>57.78</v>
      </c>
      <c r="AI32" s="369">
        <v>0</v>
      </c>
      <c r="AJ32" s="369">
        <v>0</v>
      </c>
      <c r="AK32" s="369">
        <v>0</v>
      </c>
      <c r="AL32" s="369">
        <v>0</v>
      </c>
      <c r="AM32" s="369">
        <v>0</v>
      </c>
      <c r="AN32" s="369">
        <v>0</v>
      </c>
      <c r="AO32" s="369">
        <v>0</v>
      </c>
      <c r="AP32" s="369">
        <v>0</v>
      </c>
      <c r="AQ32" s="369">
        <v>0</v>
      </c>
      <c r="AR32" s="369">
        <v>0</v>
      </c>
      <c r="AS32" s="369">
        <v>111.63</v>
      </c>
      <c r="AT32" s="369">
        <v>696.92</v>
      </c>
      <c r="AU32" s="369">
        <v>23.52</v>
      </c>
      <c r="AV32" s="369">
        <v>175</v>
      </c>
      <c r="AW32" s="369">
        <v>219.88</v>
      </c>
      <c r="AX32" s="369">
        <v>15.02</v>
      </c>
      <c r="AY32" s="369">
        <v>7.2</v>
      </c>
      <c r="AZ32" s="369">
        <v>0.73</v>
      </c>
      <c r="BA32" s="369">
        <v>0.36</v>
      </c>
      <c r="BB32" s="369">
        <v>0</v>
      </c>
      <c r="BC32" s="369">
        <v>0</v>
      </c>
      <c r="BD32" s="369">
        <v>0</v>
      </c>
      <c r="BE32" s="369">
        <v>0</v>
      </c>
      <c r="BF32" s="369">
        <v>0</v>
      </c>
      <c r="BG32" s="369">
        <v>812</v>
      </c>
      <c r="BH32" s="369">
        <v>89.77</v>
      </c>
      <c r="BI32" s="369">
        <v>315.26</v>
      </c>
      <c r="BJ32" s="369">
        <v>1.42</v>
      </c>
      <c r="BK32" s="369">
        <v>4.54</v>
      </c>
      <c r="BL32" s="369">
        <v>92.04</v>
      </c>
      <c r="BM32" s="369">
        <v>9.31</v>
      </c>
      <c r="BN32" s="370">
        <v>235.39</v>
      </c>
      <c r="BO32" s="373">
        <v>6917.72</v>
      </c>
      <c r="BP32" s="374"/>
      <c r="BQ32" s="370">
        <v>1491.14</v>
      </c>
      <c r="BR32" s="370">
        <v>14221.64</v>
      </c>
      <c r="BS32" s="370">
        <v>0</v>
      </c>
      <c r="BT32" s="370">
        <v>31.19</v>
      </c>
      <c r="BU32" s="370">
        <v>2.2000000000000002</v>
      </c>
      <c r="BV32" s="370">
        <v>-4.58</v>
      </c>
    </row>
    <row r="33" spans="1:74">
      <c r="A33" s="365" t="s">
        <v>1268</v>
      </c>
      <c r="B33" s="366" t="s">
        <v>1269</v>
      </c>
      <c r="C33" s="373">
        <v>5244.63</v>
      </c>
      <c r="D33" s="368">
        <v>0</v>
      </c>
      <c r="E33" s="369">
        <v>0</v>
      </c>
      <c r="F33" s="369">
        <v>0</v>
      </c>
      <c r="G33" s="369">
        <v>0</v>
      </c>
      <c r="H33" s="369">
        <v>39.36</v>
      </c>
      <c r="I33" s="369">
        <v>25.81</v>
      </c>
      <c r="J33" s="369">
        <v>252.68</v>
      </c>
      <c r="K33" s="369">
        <v>64.67</v>
      </c>
      <c r="L33" s="369">
        <v>0</v>
      </c>
      <c r="M33" s="369">
        <v>0</v>
      </c>
      <c r="N33" s="369">
        <v>183.82</v>
      </c>
      <c r="O33" s="369">
        <v>0</v>
      </c>
      <c r="P33" s="369">
        <v>0</v>
      </c>
      <c r="Q33" s="369">
        <v>0</v>
      </c>
      <c r="R33" s="369">
        <v>0</v>
      </c>
      <c r="S33" s="369">
        <v>0</v>
      </c>
      <c r="T33" s="369">
        <v>0</v>
      </c>
      <c r="U33" s="369">
        <v>0</v>
      </c>
      <c r="V33" s="369">
        <v>0</v>
      </c>
      <c r="W33" s="369">
        <v>0</v>
      </c>
      <c r="X33" s="369">
        <v>0</v>
      </c>
      <c r="Y33" s="369">
        <v>0</v>
      </c>
      <c r="Z33" s="369">
        <v>0</v>
      </c>
      <c r="AA33" s="369">
        <v>0</v>
      </c>
      <c r="AB33" s="369">
        <v>0</v>
      </c>
      <c r="AC33" s="369">
        <v>0</v>
      </c>
      <c r="AD33" s="369">
        <v>0</v>
      </c>
      <c r="AE33" s="369">
        <v>0</v>
      </c>
      <c r="AF33" s="369">
        <v>0</v>
      </c>
      <c r="AG33" s="369">
        <v>0</v>
      </c>
      <c r="AH33" s="369">
        <v>0</v>
      </c>
      <c r="AI33" s="369">
        <v>1098.22</v>
      </c>
      <c r="AJ33" s="369">
        <v>1.51</v>
      </c>
      <c r="AK33" s="369">
        <v>0</v>
      </c>
      <c r="AL33" s="369">
        <v>7.89</v>
      </c>
      <c r="AM33" s="369">
        <v>0</v>
      </c>
      <c r="AN33" s="369">
        <v>0</v>
      </c>
      <c r="AO33" s="369">
        <v>135.53</v>
      </c>
      <c r="AP33" s="369">
        <v>0</v>
      </c>
      <c r="AQ33" s="369">
        <v>0</v>
      </c>
      <c r="AR33" s="369">
        <v>0</v>
      </c>
      <c r="AS33" s="369">
        <v>0</v>
      </c>
      <c r="AT33" s="369">
        <v>35.340000000000003</v>
      </c>
      <c r="AU33" s="369">
        <v>1.19</v>
      </c>
      <c r="AV33" s="369">
        <v>8.8800000000000008</v>
      </c>
      <c r="AW33" s="369">
        <v>11.15</v>
      </c>
      <c r="AX33" s="369">
        <v>0.76</v>
      </c>
      <c r="AY33" s="369">
        <v>0</v>
      </c>
      <c r="AZ33" s="369">
        <v>0</v>
      </c>
      <c r="BA33" s="369">
        <v>0</v>
      </c>
      <c r="BB33" s="369">
        <v>0</v>
      </c>
      <c r="BC33" s="369">
        <v>0</v>
      </c>
      <c r="BD33" s="369">
        <v>0</v>
      </c>
      <c r="BE33" s="369">
        <v>0</v>
      </c>
      <c r="BF33" s="369">
        <v>0</v>
      </c>
      <c r="BG33" s="369">
        <v>0</v>
      </c>
      <c r="BH33" s="369">
        <v>0</v>
      </c>
      <c r="BI33" s="369">
        <v>0</v>
      </c>
      <c r="BJ33" s="369">
        <v>0</v>
      </c>
      <c r="BK33" s="369">
        <v>0</v>
      </c>
      <c r="BL33" s="369">
        <v>0</v>
      </c>
      <c r="BM33" s="369">
        <v>0</v>
      </c>
      <c r="BN33" s="370">
        <v>45.38</v>
      </c>
      <c r="BO33" s="373">
        <v>1912.19</v>
      </c>
      <c r="BP33" s="374"/>
      <c r="BQ33" s="370">
        <v>1698.1</v>
      </c>
      <c r="BR33" s="370">
        <v>1644.75</v>
      </c>
      <c r="BS33" s="370">
        <v>0</v>
      </c>
      <c r="BT33" s="370">
        <v>0</v>
      </c>
      <c r="BU33" s="370">
        <v>0.02</v>
      </c>
      <c r="BV33" s="370">
        <v>-10.43</v>
      </c>
    </row>
    <row r="34" spans="1:74">
      <c r="A34" s="365" t="s">
        <v>1270</v>
      </c>
      <c r="B34" s="366" t="s">
        <v>1271</v>
      </c>
      <c r="C34" s="373">
        <v>12273.53</v>
      </c>
      <c r="D34" s="368">
        <v>0</v>
      </c>
      <c r="E34" s="369">
        <v>16.47</v>
      </c>
      <c r="F34" s="369">
        <v>0</v>
      </c>
      <c r="G34" s="369">
        <v>0</v>
      </c>
      <c r="H34" s="369">
        <v>2.83</v>
      </c>
      <c r="I34" s="369">
        <v>3.25</v>
      </c>
      <c r="J34" s="369">
        <v>11.55</v>
      </c>
      <c r="K34" s="369">
        <v>7.2</v>
      </c>
      <c r="L34" s="369">
        <v>0</v>
      </c>
      <c r="M34" s="369">
        <v>0</v>
      </c>
      <c r="N34" s="369">
        <v>330.19</v>
      </c>
      <c r="O34" s="369">
        <v>1557.46</v>
      </c>
      <c r="P34" s="369">
        <v>6.3</v>
      </c>
      <c r="Q34" s="369">
        <v>113.94</v>
      </c>
      <c r="R34" s="369">
        <v>0</v>
      </c>
      <c r="S34" s="369">
        <v>1008.98</v>
      </c>
      <c r="T34" s="369">
        <v>0</v>
      </c>
      <c r="U34" s="369">
        <v>0</v>
      </c>
      <c r="V34" s="369">
        <v>0</v>
      </c>
      <c r="W34" s="369">
        <v>1002.55</v>
      </c>
      <c r="X34" s="369">
        <v>0</v>
      </c>
      <c r="Y34" s="369">
        <v>0</v>
      </c>
      <c r="Z34" s="369">
        <v>0</v>
      </c>
      <c r="AA34" s="369">
        <v>0</v>
      </c>
      <c r="AB34" s="369">
        <v>0</v>
      </c>
      <c r="AC34" s="369">
        <v>0</v>
      </c>
      <c r="AD34" s="369">
        <v>0.55000000000000004</v>
      </c>
      <c r="AE34" s="369">
        <v>129.81</v>
      </c>
      <c r="AF34" s="369">
        <v>47.7</v>
      </c>
      <c r="AG34" s="369">
        <v>95.37</v>
      </c>
      <c r="AH34" s="369">
        <v>0</v>
      </c>
      <c r="AI34" s="369">
        <v>388.98</v>
      </c>
      <c r="AJ34" s="369">
        <v>15.57</v>
      </c>
      <c r="AK34" s="369">
        <v>62.44</v>
      </c>
      <c r="AL34" s="369">
        <v>109.39</v>
      </c>
      <c r="AM34" s="369">
        <v>0</v>
      </c>
      <c r="AN34" s="369">
        <v>0</v>
      </c>
      <c r="AO34" s="369">
        <v>3094.83</v>
      </c>
      <c r="AP34" s="369">
        <v>0</v>
      </c>
      <c r="AQ34" s="369">
        <v>0</v>
      </c>
      <c r="AR34" s="369">
        <v>0</v>
      </c>
      <c r="AS34" s="369">
        <v>0</v>
      </c>
      <c r="AT34" s="369">
        <v>17.7</v>
      </c>
      <c r="AU34" s="369">
        <v>0.6</v>
      </c>
      <c r="AV34" s="369">
        <v>4.4400000000000004</v>
      </c>
      <c r="AW34" s="369">
        <v>5.58</v>
      </c>
      <c r="AX34" s="369">
        <v>0.38</v>
      </c>
      <c r="AY34" s="369">
        <v>0</v>
      </c>
      <c r="AZ34" s="369">
        <v>0</v>
      </c>
      <c r="BA34" s="369">
        <v>0</v>
      </c>
      <c r="BB34" s="369">
        <v>0</v>
      </c>
      <c r="BC34" s="369">
        <v>0</v>
      </c>
      <c r="BD34" s="369">
        <v>0</v>
      </c>
      <c r="BE34" s="369">
        <v>0</v>
      </c>
      <c r="BF34" s="369">
        <v>0</v>
      </c>
      <c r="BG34" s="369">
        <v>47.17</v>
      </c>
      <c r="BH34" s="369">
        <v>0</v>
      </c>
      <c r="BI34" s="369">
        <v>0</v>
      </c>
      <c r="BJ34" s="369">
        <v>0</v>
      </c>
      <c r="BK34" s="369">
        <v>0</v>
      </c>
      <c r="BL34" s="369">
        <v>0</v>
      </c>
      <c r="BM34" s="369">
        <v>0</v>
      </c>
      <c r="BN34" s="370">
        <v>1521.8</v>
      </c>
      <c r="BO34" s="373">
        <v>9603.0400000000009</v>
      </c>
      <c r="BP34" s="374"/>
      <c r="BQ34" s="370">
        <v>860.68</v>
      </c>
      <c r="BR34" s="370">
        <v>1839.54</v>
      </c>
      <c r="BS34" s="370">
        <v>0</v>
      </c>
      <c r="BT34" s="370">
        <v>0</v>
      </c>
      <c r="BU34" s="370">
        <v>-0.14000000000000001</v>
      </c>
      <c r="BV34" s="370">
        <v>-29.6</v>
      </c>
    </row>
    <row r="35" spans="1:74">
      <c r="A35" s="365" t="s">
        <v>1272</v>
      </c>
      <c r="B35" s="366" t="s">
        <v>1273</v>
      </c>
      <c r="C35" s="373">
        <v>6504.53</v>
      </c>
      <c r="D35" s="368">
        <v>0</v>
      </c>
      <c r="E35" s="369">
        <v>0</v>
      </c>
      <c r="F35" s="369">
        <v>0</v>
      </c>
      <c r="G35" s="369">
        <v>0</v>
      </c>
      <c r="H35" s="369">
        <v>0</v>
      </c>
      <c r="I35" s="369">
        <v>0</v>
      </c>
      <c r="J35" s="369">
        <v>0</v>
      </c>
      <c r="K35" s="369">
        <v>0</v>
      </c>
      <c r="L35" s="369">
        <v>0</v>
      </c>
      <c r="M35" s="369">
        <v>0</v>
      </c>
      <c r="N35" s="369">
        <v>45.88</v>
      </c>
      <c r="O35" s="369">
        <v>1294.24</v>
      </c>
      <c r="P35" s="369">
        <v>0</v>
      </c>
      <c r="Q35" s="369">
        <v>0</v>
      </c>
      <c r="R35" s="369">
        <v>0</v>
      </c>
      <c r="S35" s="369">
        <v>0</v>
      </c>
      <c r="T35" s="369">
        <v>0</v>
      </c>
      <c r="U35" s="369">
        <v>0</v>
      </c>
      <c r="V35" s="369">
        <v>0</v>
      </c>
      <c r="W35" s="369">
        <v>0</v>
      </c>
      <c r="X35" s="369">
        <v>0</v>
      </c>
      <c r="Y35" s="369">
        <v>0</v>
      </c>
      <c r="Z35" s="369">
        <v>0</v>
      </c>
      <c r="AA35" s="369">
        <v>0</v>
      </c>
      <c r="AB35" s="369">
        <v>0</v>
      </c>
      <c r="AC35" s="369">
        <v>0</v>
      </c>
      <c r="AD35" s="369">
        <v>0</v>
      </c>
      <c r="AE35" s="369">
        <v>0</v>
      </c>
      <c r="AF35" s="369">
        <v>0</v>
      </c>
      <c r="AG35" s="369">
        <v>0</v>
      </c>
      <c r="AH35" s="369">
        <v>0</v>
      </c>
      <c r="AI35" s="369">
        <v>0</v>
      </c>
      <c r="AJ35" s="369">
        <v>0</v>
      </c>
      <c r="AK35" s="369">
        <v>0</v>
      </c>
      <c r="AL35" s="369">
        <v>45.87</v>
      </c>
      <c r="AM35" s="369">
        <v>0</v>
      </c>
      <c r="AN35" s="369">
        <v>0</v>
      </c>
      <c r="AO35" s="369">
        <v>0</v>
      </c>
      <c r="AP35" s="369">
        <v>0</v>
      </c>
      <c r="AQ35" s="369">
        <v>0</v>
      </c>
      <c r="AR35" s="369">
        <v>0</v>
      </c>
      <c r="AS35" s="369">
        <v>0</v>
      </c>
      <c r="AT35" s="369">
        <v>0</v>
      </c>
      <c r="AU35" s="369">
        <v>0</v>
      </c>
      <c r="AV35" s="369">
        <v>0</v>
      </c>
      <c r="AW35" s="369">
        <v>0</v>
      </c>
      <c r="AX35" s="369">
        <v>0</v>
      </c>
      <c r="AY35" s="369">
        <v>0</v>
      </c>
      <c r="AZ35" s="369">
        <v>0</v>
      </c>
      <c r="BA35" s="369">
        <v>0</v>
      </c>
      <c r="BB35" s="369">
        <v>0</v>
      </c>
      <c r="BC35" s="369">
        <v>0</v>
      </c>
      <c r="BD35" s="369">
        <v>0</v>
      </c>
      <c r="BE35" s="369">
        <v>0</v>
      </c>
      <c r="BF35" s="369">
        <v>0</v>
      </c>
      <c r="BG35" s="369">
        <v>15.07</v>
      </c>
      <c r="BH35" s="369">
        <v>113.72</v>
      </c>
      <c r="BI35" s="369">
        <v>399.39</v>
      </c>
      <c r="BJ35" s="369">
        <v>1.8</v>
      </c>
      <c r="BK35" s="369">
        <v>5.75</v>
      </c>
      <c r="BL35" s="369">
        <v>116.6</v>
      </c>
      <c r="BM35" s="369">
        <v>11.8</v>
      </c>
      <c r="BN35" s="370">
        <v>224.21</v>
      </c>
      <c r="BO35" s="373">
        <v>2274.33</v>
      </c>
      <c r="BP35" s="374"/>
      <c r="BQ35" s="370">
        <v>3351.8</v>
      </c>
      <c r="BR35" s="370">
        <v>892.61</v>
      </c>
      <c r="BS35" s="370">
        <v>0</v>
      </c>
      <c r="BT35" s="370">
        <v>0</v>
      </c>
      <c r="BU35" s="370">
        <v>-0.1</v>
      </c>
      <c r="BV35" s="370">
        <v>-14.12</v>
      </c>
    </row>
    <row r="36" spans="1:74">
      <c r="A36" s="365" t="s">
        <v>1274</v>
      </c>
      <c r="B36" s="366" t="s">
        <v>1275</v>
      </c>
      <c r="C36" s="373">
        <v>78504.27</v>
      </c>
      <c r="D36" s="368">
        <v>0</v>
      </c>
      <c r="E36" s="369">
        <v>0</v>
      </c>
      <c r="F36" s="369">
        <v>0</v>
      </c>
      <c r="G36" s="369">
        <v>0</v>
      </c>
      <c r="H36" s="369">
        <v>337.64</v>
      </c>
      <c r="I36" s="369">
        <v>139.9</v>
      </c>
      <c r="J36" s="369">
        <v>1130.83</v>
      </c>
      <c r="K36" s="369">
        <v>370.76</v>
      </c>
      <c r="L36" s="369">
        <v>0</v>
      </c>
      <c r="M36" s="369">
        <v>0</v>
      </c>
      <c r="N36" s="369">
        <v>0</v>
      </c>
      <c r="O36" s="369">
        <v>12.61</v>
      </c>
      <c r="P36" s="369">
        <v>0</v>
      </c>
      <c r="Q36" s="369">
        <v>0</v>
      </c>
      <c r="R36" s="369">
        <v>0</v>
      </c>
      <c r="S36" s="369">
        <v>0</v>
      </c>
      <c r="T36" s="369">
        <v>0</v>
      </c>
      <c r="U36" s="369">
        <v>0</v>
      </c>
      <c r="V36" s="369">
        <v>0</v>
      </c>
      <c r="W36" s="369">
        <v>0</v>
      </c>
      <c r="X36" s="369">
        <v>0</v>
      </c>
      <c r="Y36" s="369">
        <v>0</v>
      </c>
      <c r="Z36" s="369">
        <v>0</v>
      </c>
      <c r="AA36" s="369">
        <v>0</v>
      </c>
      <c r="AB36" s="369">
        <v>0</v>
      </c>
      <c r="AC36" s="369">
        <v>0</v>
      </c>
      <c r="AD36" s="369">
        <v>0</v>
      </c>
      <c r="AE36" s="369">
        <v>0</v>
      </c>
      <c r="AF36" s="369">
        <v>0</v>
      </c>
      <c r="AG36" s="369">
        <v>0</v>
      </c>
      <c r="AH36" s="369">
        <v>0</v>
      </c>
      <c r="AI36" s="369">
        <v>0</v>
      </c>
      <c r="AJ36" s="369">
        <v>0</v>
      </c>
      <c r="AK36" s="369">
        <v>0</v>
      </c>
      <c r="AL36" s="369">
        <v>0.41</v>
      </c>
      <c r="AM36" s="369">
        <v>150.94</v>
      </c>
      <c r="AN36" s="369">
        <v>0</v>
      </c>
      <c r="AO36" s="369">
        <v>0</v>
      </c>
      <c r="AP36" s="369">
        <v>3586.22</v>
      </c>
      <c r="AQ36" s="369">
        <v>1226</v>
      </c>
      <c r="AR36" s="369">
        <v>0</v>
      </c>
      <c r="AS36" s="369">
        <v>52.93</v>
      </c>
      <c r="AT36" s="369">
        <v>337.9</v>
      </c>
      <c r="AU36" s="369">
        <v>11.4</v>
      </c>
      <c r="AV36" s="369">
        <v>84.85</v>
      </c>
      <c r="AW36" s="369">
        <v>106.6</v>
      </c>
      <c r="AX36" s="369">
        <v>7.28</v>
      </c>
      <c r="AY36" s="369">
        <v>6.14</v>
      </c>
      <c r="AZ36" s="369">
        <v>0.62</v>
      </c>
      <c r="BA36" s="369">
        <v>0.31</v>
      </c>
      <c r="BB36" s="369">
        <v>185.26</v>
      </c>
      <c r="BC36" s="369">
        <v>17.97</v>
      </c>
      <c r="BD36" s="369">
        <v>58.18</v>
      </c>
      <c r="BE36" s="369">
        <v>7.13</v>
      </c>
      <c r="BF36" s="369">
        <v>243.76</v>
      </c>
      <c r="BG36" s="369">
        <v>1741.26</v>
      </c>
      <c r="BH36" s="369">
        <v>66.52</v>
      </c>
      <c r="BI36" s="369">
        <v>233.63</v>
      </c>
      <c r="BJ36" s="369">
        <v>1.05</v>
      </c>
      <c r="BK36" s="369">
        <v>3.37</v>
      </c>
      <c r="BL36" s="369">
        <v>68.209999999999994</v>
      </c>
      <c r="BM36" s="369">
        <v>6.9</v>
      </c>
      <c r="BN36" s="370">
        <v>137.86000000000001</v>
      </c>
      <c r="BO36" s="373">
        <v>10334.43</v>
      </c>
      <c r="BP36" s="374"/>
      <c r="BQ36" s="370">
        <v>2564.81</v>
      </c>
      <c r="BR36" s="370">
        <v>65873.42</v>
      </c>
      <c r="BS36" s="370">
        <v>0</v>
      </c>
      <c r="BT36" s="370">
        <v>0</v>
      </c>
      <c r="BU36" s="370">
        <v>7.04</v>
      </c>
      <c r="BV36" s="370">
        <v>-275.44</v>
      </c>
    </row>
    <row r="37" spans="1:74">
      <c r="A37" s="365" t="s">
        <v>1276</v>
      </c>
      <c r="B37" s="366" t="s">
        <v>1277</v>
      </c>
      <c r="C37" s="373">
        <v>24222.04</v>
      </c>
      <c r="D37" s="368">
        <v>0</v>
      </c>
      <c r="E37" s="369">
        <v>0</v>
      </c>
      <c r="F37" s="369">
        <v>0</v>
      </c>
      <c r="G37" s="369">
        <v>0</v>
      </c>
      <c r="H37" s="369">
        <v>101.32</v>
      </c>
      <c r="I37" s="369">
        <v>20.100000000000001</v>
      </c>
      <c r="J37" s="369">
        <v>179.41</v>
      </c>
      <c r="K37" s="369">
        <v>40.06</v>
      </c>
      <c r="L37" s="369">
        <v>0</v>
      </c>
      <c r="M37" s="369">
        <v>0</v>
      </c>
      <c r="N37" s="369">
        <v>77.72</v>
      </c>
      <c r="O37" s="369">
        <v>0</v>
      </c>
      <c r="P37" s="369">
        <v>430.98</v>
      </c>
      <c r="Q37" s="369">
        <v>2273.52</v>
      </c>
      <c r="R37" s="369">
        <v>0</v>
      </c>
      <c r="S37" s="369">
        <v>83.22</v>
      </c>
      <c r="T37" s="369">
        <v>3.56</v>
      </c>
      <c r="U37" s="369">
        <v>0</v>
      </c>
      <c r="V37" s="369">
        <v>0</v>
      </c>
      <c r="W37" s="369">
        <v>0</v>
      </c>
      <c r="X37" s="369">
        <v>0</v>
      </c>
      <c r="Y37" s="369">
        <v>0</v>
      </c>
      <c r="Z37" s="369">
        <v>0</v>
      </c>
      <c r="AA37" s="369">
        <v>0</v>
      </c>
      <c r="AB37" s="369">
        <v>0</v>
      </c>
      <c r="AC37" s="369">
        <v>0</v>
      </c>
      <c r="AD37" s="369">
        <v>0</v>
      </c>
      <c r="AE37" s="369">
        <v>0</v>
      </c>
      <c r="AF37" s="369">
        <v>0</v>
      </c>
      <c r="AG37" s="369">
        <v>0</v>
      </c>
      <c r="AH37" s="369">
        <v>0</v>
      </c>
      <c r="AI37" s="369">
        <v>5996.07</v>
      </c>
      <c r="AJ37" s="369">
        <v>0</v>
      </c>
      <c r="AK37" s="369">
        <v>742.58</v>
      </c>
      <c r="AL37" s="369">
        <v>36.520000000000003</v>
      </c>
      <c r="AM37" s="369">
        <v>0</v>
      </c>
      <c r="AN37" s="369">
        <v>0</v>
      </c>
      <c r="AO37" s="369">
        <v>0</v>
      </c>
      <c r="AP37" s="369">
        <v>0</v>
      </c>
      <c r="AQ37" s="369">
        <v>0</v>
      </c>
      <c r="AR37" s="369">
        <v>0</v>
      </c>
      <c r="AS37" s="369">
        <v>0</v>
      </c>
      <c r="AT37" s="369">
        <v>0</v>
      </c>
      <c r="AU37" s="369">
        <v>0</v>
      </c>
      <c r="AV37" s="369">
        <v>0</v>
      </c>
      <c r="AW37" s="369">
        <v>0</v>
      </c>
      <c r="AX37" s="369">
        <v>0</v>
      </c>
      <c r="AY37" s="369">
        <v>0</v>
      </c>
      <c r="AZ37" s="369">
        <v>0</v>
      </c>
      <c r="BA37" s="369">
        <v>0</v>
      </c>
      <c r="BB37" s="369">
        <v>0</v>
      </c>
      <c r="BC37" s="369">
        <v>0</v>
      </c>
      <c r="BD37" s="369">
        <v>0</v>
      </c>
      <c r="BE37" s="369">
        <v>0</v>
      </c>
      <c r="BF37" s="369">
        <v>0</v>
      </c>
      <c r="BG37" s="369">
        <v>144.87</v>
      </c>
      <c r="BH37" s="369">
        <v>70.91</v>
      </c>
      <c r="BI37" s="369">
        <v>249.03</v>
      </c>
      <c r="BJ37" s="369">
        <v>1.1200000000000001</v>
      </c>
      <c r="BK37" s="369">
        <v>3.59</v>
      </c>
      <c r="BL37" s="369">
        <v>72.7</v>
      </c>
      <c r="BM37" s="369">
        <v>7.35</v>
      </c>
      <c r="BN37" s="370">
        <v>131.72</v>
      </c>
      <c r="BO37" s="373">
        <v>10666.38</v>
      </c>
      <c r="BP37" s="374"/>
      <c r="BQ37" s="370">
        <v>8295.93</v>
      </c>
      <c r="BR37" s="370">
        <v>5347.28</v>
      </c>
      <c r="BS37" s="370">
        <v>0</v>
      </c>
      <c r="BT37" s="370">
        <v>0.04</v>
      </c>
      <c r="BU37" s="370">
        <v>-0.88</v>
      </c>
      <c r="BV37" s="370">
        <v>-86.71</v>
      </c>
    </row>
    <row r="38" spans="1:74" ht="15.75">
      <c r="A38" s="365" t="s">
        <v>1278</v>
      </c>
      <c r="B38" s="366" t="s">
        <v>1096</v>
      </c>
      <c r="C38" s="373">
        <v>32158.35</v>
      </c>
      <c r="D38" s="368">
        <v>0</v>
      </c>
      <c r="E38" s="369">
        <v>0</v>
      </c>
      <c r="F38" s="369">
        <v>0</v>
      </c>
      <c r="G38" s="369">
        <v>0</v>
      </c>
      <c r="H38" s="369">
        <v>101.52</v>
      </c>
      <c r="I38" s="369">
        <v>172.17</v>
      </c>
      <c r="J38" s="369">
        <v>1383.85</v>
      </c>
      <c r="K38" s="369">
        <v>358.81</v>
      </c>
      <c r="L38" s="369">
        <v>0</v>
      </c>
      <c r="M38" s="369">
        <v>0</v>
      </c>
      <c r="N38" s="369">
        <v>0</v>
      </c>
      <c r="O38" s="369">
        <v>5.79</v>
      </c>
      <c r="P38" s="369">
        <v>8.26</v>
      </c>
      <c r="Q38" s="369">
        <v>1722.96</v>
      </c>
      <c r="R38" s="369">
        <v>0</v>
      </c>
      <c r="S38" s="369">
        <v>0</v>
      </c>
      <c r="T38" s="369">
        <v>0</v>
      </c>
      <c r="U38" s="369">
        <v>0</v>
      </c>
      <c r="V38" s="369">
        <v>0</v>
      </c>
      <c r="W38" s="369">
        <v>0</v>
      </c>
      <c r="X38" s="369">
        <v>0</v>
      </c>
      <c r="Y38" s="369">
        <v>0</v>
      </c>
      <c r="Z38" s="369">
        <v>0</v>
      </c>
      <c r="AA38" s="369">
        <v>0</v>
      </c>
      <c r="AB38" s="369">
        <v>0</v>
      </c>
      <c r="AC38" s="369">
        <v>0</v>
      </c>
      <c r="AD38" s="369">
        <v>0</v>
      </c>
      <c r="AE38" s="369">
        <v>0</v>
      </c>
      <c r="AF38" s="369">
        <v>0</v>
      </c>
      <c r="AG38" s="369">
        <v>0</v>
      </c>
      <c r="AH38" s="369">
        <v>0</v>
      </c>
      <c r="AI38" s="369">
        <v>0</v>
      </c>
      <c r="AJ38" s="369">
        <v>0</v>
      </c>
      <c r="AK38" s="369">
        <v>0</v>
      </c>
      <c r="AL38" s="369">
        <v>0.49</v>
      </c>
      <c r="AM38" s="369">
        <v>0</v>
      </c>
      <c r="AN38" s="369">
        <v>40.020000000000003</v>
      </c>
      <c r="AO38" s="369">
        <v>1296.79</v>
      </c>
      <c r="AP38" s="369">
        <v>387.61</v>
      </c>
      <c r="AQ38" s="369">
        <v>132.51</v>
      </c>
      <c r="AR38" s="369">
        <v>0</v>
      </c>
      <c r="AS38" s="369">
        <v>0</v>
      </c>
      <c r="AT38" s="369">
        <v>0</v>
      </c>
      <c r="AU38" s="369">
        <v>0</v>
      </c>
      <c r="AV38" s="369">
        <v>0</v>
      </c>
      <c r="AW38" s="369">
        <v>0</v>
      </c>
      <c r="AX38" s="369">
        <v>0</v>
      </c>
      <c r="AY38" s="369">
        <v>0</v>
      </c>
      <c r="AZ38" s="369">
        <v>0</v>
      </c>
      <c r="BA38" s="369">
        <v>0</v>
      </c>
      <c r="BB38" s="369">
        <v>0</v>
      </c>
      <c r="BC38" s="369">
        <v>0</v>
      </c>
      <c r="BD38" s="369">
        <v>0</v>
      </c>
      <c r="BE38" s="369">
        <v>0</v>
      </c>
      <c r="BF38" s="369">
        <v>0</v>
      </c>
      <c r="BG38" s="369">
        <v>909.04</v>
      </c>
      <c r="BH38" s="369">
        <v>263.81</v>
      </c>
      <c r="BI38" s="369">
        <v>926.46</v>
      </c>
      <c r="BJ38" s="369">
        <v>4.17</v>
      </c>
      <c r="BK38" s="369">
        <v>13.35</v>
      </c>
      <c r="BL38" s="369">
        <v>270.48</v>
      </c>
      <c r="BM38" s="369">
        <v>27.36</v>
      </c>
      <c r="BN38" s="370">
        <v>444.49</v>
      </c>
      <c r="BO38" s="373">
        <v>8469.93</v>
      </c>
      <c r="BP38" s="374"/>
      <c r="BQ38" s="370">
        <v>2121.5300000000002</v>
      </c>
      <c r="BR38" s="370">
        <v>21254.38</v>
      </c>
      <c r="BS38" s="370">
        <v>0</v>
      </c>
      <c r="BT38" s="370">
        <v>0</v>
      </c>
      <c r="BU38" s="370">
        <v>424.98</v>
      </c>
      <c r="BV38" s="370">
        <v>-112.48</v>
      </c>
    </row>
    <row r="39" spans="1:74" ht="15.75">
      <c r="A39" s="365" t="s">
        <v>1279</v>
      </c>
      <c r="B39" s="366" t="s">
        <v>1280</v>
      </c>
      <c r="C39" s="373">
        <v>75917.5</v>
      </c>
      <c r="D39" s="368">
        <v>0</v>
      </c>
      <c r="E39" s="369">
        <v>1275.08</v>
      </c>
      <c r="F39" s="369">
        <v>92.19</v>
      </c>
      <c r="G39" s="369">
        <v>5.31</v>
      </c>
      <c r="H39" s="369">
        <v>142.56</v>
      </c>
      <c r="I39" s="369">
        <v>135.33000000000001</v>
      </c>
      <c r="J39" s="369">
        <v>1148.9000000000001</v>
      </c>
      <c r="K39" s="369">
        <v>1274.23</v>
      </c>
      <c r="L39" s="369">
        <v>5345.11</v>
      </c>
      <c r="M39" s="369">
        <v>3265.7</v>
      </c>
      <c r="N39" s="369">
        <v>236.82</v>
      </c>
      <c r="O39" s="369">
        <v>105.42</v>
      </c>
      <c r="P39" s="369">
        <v>7.72</v>
      </c>
      <c r="Q39" s="369">
        <v>62.44</v>
      </c>
      <c r="R39" s="369">
        <v>12482.3</v>
      </c>
      <c r="S39" s="369">
        <v>2188.2600000000002</v>
      </c>
      <c r="T39" s="369">
        <v>149.38999999999999</v>
      </c>
      <c r="U39" s="369">
        <v>1116.95</v>
      </c>
      <c r="V39" s="369">
        <v>498.04</v>
      </c>
      <c r="W39" s="369">
        <v>3130.93</v>
      </c>
      <c r="X39" s="369">
        <v>17.649999999999999</v>
      </c>
      <c r="Y39" s="369">
        <v>105.26</v>
      </c>
      <c r="Z39" s="369">
        <v>83.81</v>
      </c>
      <c r="AA39" s="369">
        <v>775.06</v>
      </c>
      <c r="AB39" s="369">
        <v>501.17</v>
      </c>
      <c r="AC39" s="369">
        <v>65.540000000000006</v>
      </c>
      <c r="AD39" s="369">
        <v>702.69</v>
      </c>
      <c r="AE39" s="369">
        <v>316.36</v>
      </c>
      <c r="AF39" s="369">
        <v>91.64</v>
      </c>
      <c r="AG39" s="369">
        <v>206.22</v>
      </c>
      <c r="AH39" s="369">
        <v>13.94</v>
      </c>
      <c r="AI39" s="369">
        <v>1329.61</v>
      </c>
      <c r="AJ39" s="369">
        <v>205.19</v>
      </c>
      <c r="AK39" s="369">
        <v>6078.17</v>
      </c>
      <c r="AL39" s="369">
        <v>207.82</v>
      </c>
      <c r="AM39" s="369">
        <v>462.75</v>
      </c>
      <c r="AN39" s="369">
        <v>73.23</v>
      </c>
      <c r="AO39" s="369">
        <v>6223.04</v>
      </c>
      <c r="AP39" s="369">
        <v>2342.77</v>
      </c>
      <c r="AQ39" s="369">
        <v>1436.52</v>
      </c>
      <c r="AR39" s="369">
        <v>62.27</v>
      </c>
      <c r="AS39" s="369">
        <v>99.88</v>
      </c>
      <c r="AT39" s="369">
        <v>1464.22</v>
      </c>
      <c r="AU39" s="369">
        <v>28.82</v>
      </c>
      <c r="AV39" s="369">
        <v>216.68</v>
      </c>
      <c r="AW39" s="369">
        <v>449.48</v>
      </c>
      <c r="AX39" s="369">
        <v>51.16</v>
      </c>
      <c r="AY39" s="369">
        <v>0</v>
      </c>
      <c r="AZ39" s="369">
        <v>0</v>
      </c>
      <c r="BA39" s="369">
        <v>0</v>
      </c>
      <c r="BB39" s="369">
        <v>1075.94</v>
      </c>
      <c r="BC39" s="369">
        <v>2.48</v>
      </c>
      <c r="BD39" s="369">
        <v>0.92</v>
      </c>
      <c r="BE39" s="369">
        <v>1.07</v>
      </c>
      <c r="BF39" s="369">
        <v>211.17</v>
      </c>
      <c r="BG39" s="369">
        <v>1370.56</v>
      </c>
      <c r="BH39" s="369">
        <v>449.36</v>
      </c>
      <c r="BI39" s="369">
        <v>1249.83</v>
      </c>
      <c r="BJ39" s="369">
        <v>7.27</v>
      </c>
      <c r="BK39" s="369">
        <v>17.829999999999998</v>
      </c>
      <c r="BL39" s="369">
        <v>343</v>
      </c>
      <c r="BM39" s="369">
        <v>39.090000000000003</v>
      </c>
      <c r="BN39" s="370">
        <v>2600.52</v>
      </c>
      <c r="BO39" s="373">
        <v>63642.66</v>
      </c>
      <c r="BP39" s="374"/>
      <c r="BQ39" s="370">
        <v>9799.7099999999991</v>
      </c>
      <c r="BR39" s="370">
        <v>2466.5300000000002</v>
      </c>
      <c r="BS39" s="370">
        <v>0</v>
      </c>
      <c r="BT39" s="370">
        <v>0</v>
      </c>
      <c r="BU39" s="370">
        <v>348.69</v>
      </c>
      <c r="BV39" s="370">
        <v>-340.09</v>
      </c>
    </row>
    <row r="40" spans="1:74" ht="15.75">
      <c r="A40" s="365" t="s">
        <v>1281</v>
      </c>
      <c r="B40" s="366" t="s">
        <v>1282</v>
      </c>
      <c r="C40" s="367" t="s">
        <v>1215</v>
      </c>
      <c r="D40" s="368">
        <v>0</v>
      </c>
      <c r="E40" s="369">
        <v>79.03</v>
      </c>
      <c r="F40" s="369">
        <v>34.42</v>
      </c>
      <c r="G40" s="369">
        <v>8.92</v>
      </c>
      <c r="H40" s="369">
        <v>41.64</v>
      </c>
      <c r="I40" s="369">
        <v>30.09</v>
      </c>
      <c r="J40" s="369">
        <v>280.81</v>
      </c>
      <c r="K40" s="369">
        <v>105.01</v>
      </c>
      <c r="L40" s="369">
        <v>4677.29</v>
      </c>
      <c r="M40" s="369">
        <v>2902.72</v>
      </c>
      <c r="N40" s="369">
        <v>298.12</v>
      </c>
      <c r="O40" s="369">
        <v>179.33</v>
      </c>
      <c r="P40" s="369">
        <v>16.28</v>
      </c>
      <c r="Q40" s="369">
        <v>107.39</v>
      </c>
      <c r="R40" s="369">
        <v>546.13</v>
      </c>
      <c r="S40" s="369">
        <v>26886.99</v>
      </c>
      <c r="T40" s="369">
        <v>13695.3</v>
      </c>
      <c r="U40" s="369">
        <v>196.32</v>
      </c>
      <c r="V40" s="369">
        <v>307.24</v>
      </c>
      <c r="W40" s="369">
        <v>4314.6499999999996</v>
      </c>
      <c r="X40" s="369">
        <v>20.6</v>
      </c>
      <c r="Y40" s="369">
        <v>308.45</v>
      </c>
      <c r="Z40" s="369">
        <v>46.94</v>
      </c>
      <c r="AA40" s="369">
        <v>517.66999999999996</v>
      </c>
      <c r="AB40" s="369">
        <v>142.58000000000001</v>
      </c>
      <c r="AC40" s="369">
        <v>44.68</v>
      </c>
      <c r="AD40" s="369">
        <v>145.28</v>
      </c>
      <c r="AE40" s="369">
        <v>299.13</v>
      </c>
      <c r="AF40" s="369">
        <v>164.52</v>
      </c>
      <c r="AG40" s="369">
        <v>80.099999999999994</v>
      </c>
      <c r="AH40" s="369">
        <v>56.35</v>
      </c>
      <c r="AI40" s="369">
        <v>1063.8</v>
      </c>
      <c r="AJ40" s="369">
        <v>6.38</v>
      </c>
      <c r="AK40" s="369">
        <v>197.88</v>
      </c>
      <c r="AL40" s="369">
        <v>805.92</v>
      </c>
      <c r="AM40" s="369">
        <v>151.63999999999999</v>
      </c>
      <c r="AN40" s="369">
        <v>13.62</v>
      </c>
      <c r="AO40" s="369">
        <v>731.11</v>
      </c>
      <c r="AP40" s="369">
        <v>18050.259999999998</v>
      </c>
      <c r="AQ40" s="369">
        <v>6707.37</v>
      </c>
      <c r="AR40" s="369">
        <v>275.66000000000003</v>
      </c>
      <c r="AS40" s="369">
        <v>70.62</v>
      </c>
      <c r="AT40" s="369">
        <v>1582.36</v>
      </c>
      <c r="AU40" s="369">
        <v>40.630000000000003</v>
      </c>
      <c r="AV40" s="369">
        <v>320.25</v>
      </c>
      <c r="AW40" s="369">
        <v>493.65</v>
      </c>
      <c r="AX40" s="369">
        <v>86.98</v>
      </c>
      <c r="AY40" s="369">
        <v>278.43</v>
      </c>
      <c r="AZ40" s="369">
        <v>28.08</v>
      </c>
      <c r="BA40" s="369">
        <v>13.92</v>
      </c>
      <c r="BB40" s="369">
        <v>5653.03</v>
      </c>
      <c r="BC40" s="369">
        <v>483.92</v>
      </c>
      <c r="BD40" s="369">
        <v>1542.33</v>
      </c>
      <c r="BE40" s="369">
        <v>195.49</v>
      </c>
      <c r="BF40" s="369">
        <v>7062.55</v>
      </c>
      <c r="BG40" s="369">
        <v>1885.93</v>
      </c>
      <c r="BH40" s="369">
        <v>807.19</v>
      </c>
      <c r="BI40" s="369">
        <v>2586.73</v>
      </c>
      <c r="BJ40" s="369">
        <v>11.48</v>
      </c>
      <c r="BK40" s="369">
        <v>43.07</v>
      </c>
      <c r="BL40" s="369">
        <v>713.55</v>
      </c>
      <c r="BM40" s="369">
        <v>76.58</v>
      </c>
      <c r="BN40" s="370">
        <v>1354.49</v>
      </c>
      <c r="BO40" s="367" t="s">
        <v>1215</v>
      </c>
      <c r="BP40" s="374"/>
      <c r="BQ40" s="370">
        <v>16445.04</v>
      </c>
      <c r="BR40" s="370">
        <v>10949.85</v>
      </c>
      <c r="BS40" s="370">
        <v>0</v>
      </c>
      <c r="BT40" s="370">
        <v>0</v>
      </c>
      <c r="BU40" s="370">
        <v>20.21</v>
      </c>
      <c r="BV40" s="370">
        <v>-470.89</v>
      </c>
    </row>
    <row r="41" spans="1:74" ht="15.75">
      <c r="A41" s="365" t="s">
        <v>1283</v>
      </c>
      <c r="B41" s="366" t="s">
        <v>1284</v>
      </c>
      <c r="C41" s="373">
        <v>86609.36</v>
      </c>
      <c r="D41" s="368">
        <v>0</v>
      </c>
      <c r="E41" s="369">
        <v>19.989999999999998</v>
      </c>
      <c r="F41" s="369">
        <v>8.6999999999999993</v>
      </c>
      <c r="G41" s="369">
        <v>3.51</v>
      </c>
      <c r="H41" s="369">
        <v>7.68</v>
      </c>
      <c r="I41" s="369">
        <v>5.26</v>
      </c>
      <c r="J41" s="369">
        <v>41.88</v>
      </c>
      <c r="K41" s="369">
        <v>10.02</v>
      </c>
      <c r="L41" s="369">
        <v>133.87</v>
      </c>
      <c r="M41" s="369">
        <v>10.77</v>
      </c>
      <c r="N41" s="369">
        <v>38.4</v>
      </c>
      <c r="O41" s="369">
        <v>13.05</v>
      </c>
      <c r="P41" s="369">
        <v>1.1399999999999999</v>
      </c>
      <c r="Q41" s="369">
        <v>6.25</v>
      </c>
      <c r="R41" s="369">
        <v>20.7</v>
      </c>
      <c r="S41" s="369">
        <v>305.27999999999997</v>
      </c>
      <c r="T41" s="369">
        <v>4128.79</v>
      </c>
      <c r="U41" s="369">
        <v>17.46</v>
      </c>
      <c r="V41" s="369">
        <v>15.37</v>
      </c>
      <c r="W41" s="369">
        <v>188.54</v>
      </c>
      <c r="X41" s="369">
        <v>7.14</v>
      </c>
      <c r="Y41" s="369">
        <v>46.23</v>
      </c>
      <c r="Z41" s="369">
        <v>2.74</v>
      </c>
      <c r="AA41" s="369">
        <v>12.88</v>
      </c>
      <c r="AB41" s="369">
        <v>22.95</v>
      </c>
      <c r="AC41" s="369">
        <v>6.97</v>
      </c>
      <c r="AD41" s="369">
        <v>30.72</v>
      </c>
      <c r="AE41" s="369">
        <v>56.5</v>
      </c>
      <c r="AF41" s="369">
        <v>24.76</v>
      </c>
      <c r="AG41" s="369">
        <v>8.1300000000000008</v>
      </c>
      <c r="AH41" s="369">
        <v>7.43</v>
      </c>
      <c r="AI41" s="369">
        <v>52.15</v>
      </c>
      <c r="AJ41" s="369">
        <v>3.18</v>
      </c>
      <c r="AK41" s="369">
        <v>10.79</v>
      </c>
      <c r="AL41" s="369">
        <v>9.64</v>
      </c>
      <c r="AM41" s="369">
        <v>136.35</v>
      </c>
      <c r="AN41" s="369">
        <v>10.72</v>
      </c>
      <c r="AO41" s="369">
        <v>174.16</v>
      </c>
      <c r="AP41" s="369">
        <v>21481.58</v>
      </c>
      <c r="AQ41" s="369">
        <v>7671.56</v>
      </c>
      <c r="AR41" s="369">
        <v>184.87</v>
      </c>
      <c r="AS41" s="369">
        <v>210.65</v>
      </c>
      <c r="AT41" s="369">
        <v>431.73</v>
      </c>
      <c r="AU41" s="369">
        <v>12.32</v>
      </c>
      <c r="AV41" s="369">
        <v>102</v>
      </c>
      <c r="AW41" s="369">
        <v>158.84</v>
      </c>
      <c r="AX41" s="369">
        <v>134.76</v>
      </c>
      <c r="AY41" s="369">
        <v>927.65</v>
      </c>
      <c r="AZ41" s="369">
        <v>93.56</v>
      </c>
      <c r="BA41" s="369">
        <v>46.38</v>
      </c>
      <c r="BB41" s="369">
        <v>9398.9699999999993</v>
      </c>
      <c r="BC41" s="369">
        <v>912.87</v>
      </c>
      <c r="BD41" s="369">
        <v>2939.46</v>
      </c>
      <c r="BE41" s="369">
        <v>387.87</v>
      </c>
      <c r="BF41" s="369">
        <v>12964.23</v>
      </c>
      <c r="BG41" s="369">
        <v>3451.13</v>
      </c>
      <c r="BH41" s="369">
        <v>1538.89</v>
      </c>
      <c r="BI41" s="369">
        <v>4878.7</v>
      </c>
      <c r="BJ41" s="369">
        <v>17.62</v>
      </c>
      <c r="BK41" s="369">
        <v>108.66</v>
      </c>
      <c r="BL41" s="369">
        <v>1169.1199999999999</v>
      </c>
      <c r="BM41" s="369">
        <v>134.04</v>
      </c>
      <c r="BN41" s="370">
        <v>1701.19</v>
      </c>
      <c r="BO41" s="373">
        <v>76658.759999999995</v>
      </c>
      <c r="BP41" s="374"/>
      <c r="BQ41" s="370">
        <v>1165.72</v>
      </c>
      <c r="BR41" s="370">
        <v>8531.91</v>
      </c>
      <c r="BS41" s="370">
        <v>0</v>
      </c>
      <c r="BT41" s="370">
        <v>1.62</v>
      </c>
      <c r="BU41" s="370">
        <v>577.6</v>
      </c>
      <c r="BV41" s="370">
        <v>-326.26</v>
      </c>
    </row>
    <row r="42" spans="1:74" ht="15.75">
      <c r="A42" s="375" t="s">
        <v>1285</v>
      </c>
      <c r="B42" s="376" t="s">
        <v>1286</v>
      </c>
      <c r="C42" s="377" t="s">
        <v>1215</v>
      </c>
      <c r="D42" s="378">
        <v>0</v>
      </c>
      <c r="E42" s="379">
        <v>23718.16</v>
      </c>
      <c r="F42" s="379">
        <v>2433.62</v>
      </c>
      <c r="G42" s="379">
        <v>299.39999999999998</v>
      </c>
      <c r="H42" s="379">
        <v>2062.4499999999998</v>
      </c>
      <c r="I42" s="379">
        <v>1485.28</v>
      </c>
      <c r="J42" s="379">
        <v>11990.81</v>
      </c>
      <c r="K42" s="379">
        <v>2680.8</v>
      </c>
      <c r="L42" s="379">
        <v>68.31</v>
      </c>
      <c r="M42" s="379">
        <v>0</v>
      </c>
      <c r="N42" s="379">
        <v>0</v>
      </c>
      <c r="O42" s="379">
        <v>0</v>
      </c>
      <c r="P42" s="379">
        <v>0</v>
      </c>
      <c r="Q42" s="379">
        <v>0</v>
      </c>
      <c r="R42" s="379">
        <v>58.02</v>
      </c>
      <c r="S42" s="379">
        <v>778.83</v>
      </c>
      <c r="T42" s="379">
        <v>115.81</v>
      </c>
      <c r="U42" s="379">
        <v>1485.24</v>
      </c>
      <c r="V42" s="379">
        <v>8098.23</v>
      </c>
      <c r="W42" s="379">
        <v>2912.78</v>
      </c>
      <c r="X42" s="379">
        <v>457.58</v>
      </c>
      <c r="Y42" s="379">
        <v>105.01</v>
      </c>
      <c r="Z42" s="379">
        <v>0</v>
      </c>
      <c r="AA42" s="379">
        <v>81.73</v>
      </c>
      <c r="AB42" s="379">
        <v>24254.03</v>
      </c>
      <c r="AC42" s="379">
        <v>1417.33</v>
      </c>
      <c r="AD42" s="379">
        <v>7.96</v>
      </c>
      <c r="AE42" s="379">
        <v>74.67</v>
      </c>
      <c r="AF42" s="379">
        <v>2339.4299999999998</v>
      </c>
      <c r="AG42" s="379">
        <v>0</v>
      </c>
      <c r="AH42" s="379">
        <v>0</v>
      </c>
      <c r="AI42" s="379">
        <v>44.64</v>
      </c>
      <c r="AJ42" s="379">
        <v>0</v>
      </c>
      <c r="AK42" s="379">
        <v>0</v>
      </c>
      <c r="AL42" s="379">
        <v>74.400000000000006</v>
      </c>
      <c r="AM42" s="379">
        <v>6413.48</v>
      </c>
      <c r="AN42" s="379">
        <v>380.26</v>
      </c>
      <c r="AO42" s="379">
        <v>23833.49</v>
      </c>
      <c r="AP42" s="379">
        <v>20187.48</v>
      </c>
      <c r="AQ42" s="379">
        <v>6901.38</v>
      </c>
      <c r="AR42" s="379">
        <v>0</v>
      </c>
      <c r="AS42" s="379">
        <v>361.78</v>
      </c>
      <c r="AT42" s="379">
        <v>44169.46</v>
      </c>
      <c r="AU42" s="379">
        <v>1490.38</v>
      </c>
      <c r="AV42" s="379">
        <v>11091.36</v>
      </c>
      <c r="AW42" s="379">
        <v>13935.23</v>
      </c>
      <c r="AX42" s="379">
        <v>2304.73</v>
      </c>
      <c r="AY42" s="379">
        <v>1030.51</v>
      </c>
      <c r="AZ42" s="379">
        <v>103.93</v>
      </c>
      <c r="BA42" s="379">
        <v>51.52</v>
      </c>
      <c r="BB42" s="379">
        <v>13391.3</v>
      </c>
      <c r="BC42" s="379">
        <v>1299.18</v>
      </c>
      <c r="BD42" s="379">
        <v>4205.54</v>
      </c>
      <c r="BE42" s="379">
        <v>515.27</v>
      </c>
      <c r="BF42" s="379">
        <v>17619.830000000002</v>
      </c>
      <c r="BG42" s="379">
        <v>11785.26</v>
      </c>
      <c r="BH42" s="379">
        <v>885.72</v>
      </c>
      <c r="BI42" s="379">
        <v>3110.58</v>
      </c>
      <c r="BJ42" s="379">
        <v>14</v>
      </c>
      <c r="BK42" s="379">
        <v>44.81</v>
      </c>
      <c r="BL42" s="379">
        <v>908.14</v>
      </c>
      <c r="BM42" s="379">
        <v>91.86</v>
      </c>
      <c r="BN42" s="380">
        <v>11938.02</v>
      </c>
      <c r="BO42" s="377" t="s">
        <v>1215</v>
      </c>
      <c r="BP42" s="382"/>
      <c r="BQ42" s="380">
        <v>41775.67</v>
      </c>
      <c r="BR42" s="380">
        <v>90281.02</v>
      </c>
      <c r="BS42" s="380">
        <v>0</v>
      </c>
      <c r="BT42" s="380">
        <v>747.31</v>
      </c>
      <c r="BU42" s="380">
        <v>1022.65</v>
      </c>
      <c r="BV42" s="380">
        <v>-951.66</v>
      </c>
    </row>
    <row r="43" spans="1:74" ht="15.75">
      <c r="A43" s="365" t="s">
        <v>1287</v>
      </c>
      <c r="B43" s="366" t="s">
        <v>1288</v>
      </c>
      <c r="C43" s="367" t="s">
        <v>1215</v>
      </c>
      <c r="D43" s="368">
        <v>0</v>
      </c>
      <c r="E43" s="369">
        <v>0</v>
      </c>
      <c r="F43" s="369">
        <v>0</v>
      </c>
      <c r="G43" s="369">
        <v>0</v>
      </c>
      <c r="H43" s="369">
        <v>166.36</v>
      </c>
      <c r="I43" s="369">
        <v>241.73</v>
      </c>
      <c r="J43" s="369">
        <v>1949.46</v>
      </c>
      <c r="K43" s="369">
        <v>705.86</v>
      </c>
      <c r="L43" s="369">
        <v>3085.6</v>
      </c>
      <c r="M43" s="369">
        <v>2507.88</v>
      </c>
      <c r="N43" s="369">
        <v>3102.52</v>
      </c>
      <c r="O43" s="369">
        <v>578.66</v>
      </c>
      <c r="P43" s="369">
        <v>302.75</v>
      </c>
      <c r="Q43" s="369">
        <v>685.87</v>
      </c>
      <c r="R43" s="369">
        <v>585.27</v>
      </c>
      <c r="S43" s="369">
        <v>5742.52</v>
      </c>
      <c r="T43" s="369">
        <v>381.56</v>
      </c>
      <c r="U43" s="369">
        <v>3221.48</v>
      </c>
      <c r="V43" s="369">
        <v>54545.5</v>
      </c>
      <c r="W43" s="369">
        <v>25860.5</v>
      </c>
      <c r="X43" s="369">
        <v>5929.51</v>
      </c>
      <c r="Y43" s="369">
        <v>14358.29</v>
      </c>
      <c r="Z43" s="369">
        <v>115.8</v>
      </c>
      <c r="AA43" s="369">
        <v>434.14</v>
      </c>
      <c r="AB43" s="369">
        <v>2400.36</v>
      </c>
      <c r="AC43" s="369">
        <v>8581.74</v>
      </c>
      <c r="AD43" s="369">
        <v>323.23</v>
      </c>
      <c r="AE43" s="369">
        <v>1548.08</v>
      </c>
      <c r="AF43" s="369">
        <v>1514.81</v>
      </c>
      <c r="AG43" s="369">
        <v>279.13</v>
      </c>
      <c r="AH43" s="369">
        <v>228.3</v>
      </c>
      <c r="AI43" s="369">
        <v>1880.6</v>
      </c>
      <c r="AJ43" s="369">
        <v>18.41</v>
      </c>
      <c r="AK43" s="369">
        <v>810.9</v>
      </c>
      <c r="AL43" s="369">
        <v>1465.31</v>
      </c>
      <c r="AM43" s="369">
        <v>217.7</v>
      </c>
      <c r="AN43" s="369">
        <v>373.98</v>
      </c>
      <c r="AO43" s="369">
        <v>0</v>
      </c>
      <c r="AP43" s="369">
        <v>0</v>
      </c>
      <c r="AQ43" s="369">
        <v>0</v>
      </c>
      <c r="AR43" s="369">
        <v>0</v>
      </c>
      <c r="AS43" s="369">
        <v>0</v>
      </c>
      <c r="AT43" s="369">
        <v>132.11000000000001</v>
      </c>
      <c r="AU43" s="369">
        <v>4.46</v>
      </c>
      <c r="AV43" s="369">
        <v>33.17</v>
      </c>
      <c r="AW43" s="369">
        <v>41.68</v>
      </c>
      <c r="AX43" s="369">
        <v>2.85</v>
      </c>
      <c r="AY43" s="369">
        <v>2.1</v>
      </c>
      <c r="AZ43" s="369">
        <v>0.21</v>
      </c>
      <c r="BA43" s="369">
        <v>0.11</v>
      </c>
      <c r="BB43" s="369">
        <v>15.43</v>
      </c>
      <c r="BC43" s="369">
        <v>1.5</v>
      </c>
      <c r="BD43" s="369">
        <v>4.8499999999999996</v>
      </c>
      <c r="BE43" s="369">
        <v>0.59</v>
      </c>
      <c r="BF43" s="369">
        <v>20.3</v>
      </c>
      <c r="BG43" s="369">
        <v>409.61</v>
      </c>
      <c r="BH43" s="369">
        <v>514.77</v>
      </c>
      <c r="BI43" s="369">
        <v>1807.82</v>
      </c>
      <c r="BJ43" s="369">
        <v>8.14</v>
      </c>
      <c r="BK43" s="369">
        <v>26.04</v>
      </c>
      <c r="BL43" s="369">
        <v>527.79</v>
      </c>
      <c r="BM43" s="369">
        <v>53.39</v>
      </c>
      <c r="BN43" s="370">
        <v>921.61</v>
      </c>
      <c r="BO43" s="367" t="s">
        <v>1215</v>
      </c>
      <c r="BP43" s="374"/>
      <c r="BQ43" s="370">
        <v>50470.45</v>
      </c>
      <c r="BR43" s="370">
        <v>1152.1300000000001</v>
      </c>
      <c r="BS43" s="370">
        <v>0</v>
      </c>
      <c r="BT43" s="370">
        <v>0</v>
      </c>
      <c r="BU43" s="370">
        <v>-2.2400000000000002</v>
      </c>
      <c r="BV43" s="370">
        <v>-791.31</v>
      </c>
    </row>
    <row r="44" spans="1:74" ht="15.75">
      <c r="A44" s="365" t="s">
        <v>1289</v>
      </c>
      <c r="B44" s="366" t="s">
        <v>1290</v>
      </c>
      <c r="C44" s="373">
        <v>44410.85</v>
      </c>
      <c r="D44" s="368">
        <v>0</v>
      </c>
      <c r="E44" s="369">
        <v>19666.53</v>
      </c>
      <c r="F44" s="369">
        <v>2020.3</v>
      </c>
      <c r="G44" s="369">
        <v>240.02</v>
      </c>
      <c r="H44" s="369">
        <v>124.75</v>
      </c>
      <c r="I44" s="369">
        <v>153.56</v>
      </c>
      <c r="J44" s="369">
        <v>1228.74</v>
      </c>
      <c r="K44" s="369">
        <v>288.45</v>
      </c>
      <c r="L44" s="369">
        <v>0.24</v>
      </c>
      <c r="M44" s="369">
        <v>0</v>
      </c>
      <c r="N44" s="369">
        <v>0</v>
      </c>
      <c r="O44" s="369">
        <v>0</v>
      </c>
      <c r="P44" s="369">
        <v>0</v>
      </c>
      <c r="Q44" s="369">
        <v>0</v>
      </c>
      <c r="R44" s="369">
        <v>0</v>
      </c>
      <c r="S44" s="369">
        <v>0</v>
      </c>
      <c r="T44" s="369">
        <v>0</v>
      </c>
      <c r="U44" s="369">
        <v>0</v>
      </c>
      <c r="V44" s="369">
        <v>2117.0100000000002</v>
      </c>
      <c r="W44" s="369">
        <v>4080.67</v>
      </c>
      <c r="X44" s="369">
        <v>0</v>
      </c>
      <c r="Y44" s="369">
        <v>0</v>
      </c>
      <c r="Z44" s="369">
        <v>0</v>
      </c>
      <c r="AA44" s="369">
        <v>0</v>
      </c>
      <c r="AB44" s="369">
        <v>0</v>
      </c>
      <c r="AC44" s="369">
        <v>0</v>
      </c>
      <c r="AD44" s="369">
        <v>0</v>
      </c>
      <c r="AE44" s="369">
        <v>0.48</v>
      </c>
      <c r="AF44" s="369">
        <v>0</v>
      </c>
      <c r="AG44" s="369">
        <v>0</v>
      </c>
      <c r="AH44" s="369">
        <v>0</v>
      </c>
      <c r="AI44" s="369">
        <v>0</v>
      </c>
      <c r="AJ44" s="369">
        <v>0</v>
      </c>
      <c r="AK44" s="369">
        <v>0</v>
      </c>
      <c r="AL44" s="369">
        <v>0</v>
      </c>
      <c r="AM44" s="369">
        <v>63.96</v>
      </c>
      <c r="AN44" s="369">
        <v>295.69</v>
      </c>
      <c r="AO44" s="369">
        <v>0</v>
      </c>
      <c r="AP44" s="369">
        <v>225.35</v>
      </c>
      <c r="AQ44" s="369">
        <v>77.040000000000006</v>
      </c>
      <c r="AR44" s="369">
        <v>0</v>
      </c>
      <c r="AS44" s="369">
        <v>264.64</v>
      </c>
      <c r="AT44" s="369">
        <v>11.25</v>
      </c>
      <c r="AU44" s="369">
        <v>0.38</v>
      </c>
      <c r="AV44" s="369">
        <v>2.82</v>
      </c>
      <c r="AW44" s="369">
        <v>3.55</v>
      </c>
      <c r="AX44" s="369">
        <v>0.24</v>
      </c>
      <c r="AY44" s="369">
        <v>0</v>
      </c>
      <c r="AZ44" s="369">
        <v>0</v>
      </c>
      <c r="BA44" s="369">
        <v>0</v>
      </c>
      <c r="BB44" s="369">
        <v>152.79</v>
      </c>
      <c r="BC44" s="369">
        <v>14.82</v>
      </c>
      <c r="BD44" s="369">
        <v>47.98</v>
      </c>
      <c r="BE44" s="369">
        <v>5.88</v>
      </c>
      <c r="BF44" s="369">
        <v>201.04</v>
      </c>
      <c r="BG44" s="369">
        <v>149.6</v>
      </c>
      <c r="BH44" s="369">
        <v>165.46</v>
      </c>
      <c r="BI44" s="369">
        <v>581.09</v>
      </c>
      <c r="BJ44" s="369">
        <v>2.62</v>
      </c>
      <c r="BK44" s="369">
        <v>8.3699999999999992</v>
      </c>
      <c r="BL44" s="369">
        <v>169.65</v>
      </c>
      <c r="BM44" s="369">
        <v>17.16</v>
      </c>
      <c r="BN44" s="370">
        <v>283.02999999999997</v>
      </c>
      <c r="BO44" s="373">
        <v>32665.16</v>
      </c>
      <c r="BP44" s="374"/>
      <c r="BQ44" s="370">
        <v>7341.34</v>
      </c>
      <c r="BR44" s="370">
        <v>4592.66</v>
      </c>
      <c r="BS44" s="370">
        <v>0</v>
      </c>
      <c r="BT44" s="370">
        <v>0</v>
      </c>
      <c r="BU44" s="370">
        <v>1.47</v>
      </c>
      <c r="BV44" s="370">
        <v>-189.78</v>
      </c>
    </row>
    <row r="45" spans="1:74" ht="15.75">
      <c r="A45" s="365" t="s">
        <v>1291</v>
      </c>
      <c r="B45" s="366" t="s">
        <v>1292</v>
      </c>
      <c r="C45" s="373">
        <v>46306.03</v>
      </c>
      <c r="D45" s="368">
        <v>0</v>
      </c>
      <c r="E45" s="369">
        <v>495.64</v>
      </c>
      <c r="F45" s="369">
        <v>52.19</v>
      </c>
      <c r="G45" s="369">
        <v>5.74</v>
      </c>
      <c r="H45" s="369">
        <v>97.95</v>
      </c>
      <c r="I45" s="369">
        <v>131.19999999999999</v>
      </c>
      <c r="J45" s="369">
        <v>1045.22</v>
      </c>
      <c r="K45" s="369">
        <v>268.43</v>
      </c>
      <c r="L45" s="369">
        <v>0.01</v>
      </c>
      <c r="M45" s="369">
        <v>0</v>
      </c>
      <c r="N45" s="369">
        <v>264.88</v>
      </c>
      <c r="O45" s="369">
        <v>49.65</v>
      </c>
      <c r="P45" s="369">
        <v>0.62</v>
      </c>
      <c r="Q45" s="369">
        <v>1.88</v>
      </c>
      <c r="R45" s="369">
        <v>370.72</v>
      </c>
      <c r="S45" s="369">
        <v>1992.64</v>
      </c>
      <c r="T45" s="369">
        <v>3260.55</v>
      </c>
      <c r="U45" s="369">
        <v>0.85</v>
      </c>
      <c r="V45" s="369">
        <v>16.440000000000001</v>
      </c>
      <c r="W45" s="369">
        <v>778.04</v>
      </c>
      <c r="X45" s="369">
        <v>437.42</v>
      </c>
      <c r="Y45" s="369">
        <v>320</v>
      </c>
      <c r="Z45" s="369">
        <v>7.06</v>
      </c>
      <c r="AA45" s="369">
        <v>456.25</v>
      </c>
      <c r="AB45" s="369">
        <v>589.74</v>
      </c>
      <c r="AC45" s="369">
        <v>17.579999999999998</v>
      </c>
      <c r="AD45" s="369">
        <v>899.57</v>
      </c>
      <c r="AE45" s="369">
        <v>236.51</v>
      </c>
      <c r="AF45" s="369">
        <v>103.49</v>
      </c>
      <c r="AG45" s="369">
        <v>3.29</v>
      </c>
      <c r="AH45" s="369">
        <v>0</v>
      </c>
      <c r="AI45" s="369">
        <v>2032.06</v>
      </c>
      <c r="AJ45" s="369">
        <v>5.32</v>
      </c>
      <c r="AK45" s="369">
        <v>246.44</v>
      </c>
      <c r="AL45" s="369">
        <v>32.1</v>
      </c>
      <c r="AM45" s="369">
        <v>549.59</v>
      </c>
      <c r="AN45" s="369">
        <v>93.42</v>
      </c>
      <c r="AO45" s="369">
        <v>7560.51</v>
      </c>
      <c r="AP45" s="369">
        <v>902.92</v>
      </c>
      <c r="AQ45" s="369">
        <v>308.68</v>
      </c>
      <c r="AR45" s="369">
        <v>0</v>
      </c>
      <c r="AS45" s="369">
        <v>368.84</v>
      </c>
      <c r="AT45" s="369">
        <v>1627.38</v>
      </c>
      <c r="AU45" s="369">
        <v>54.91</v>
      </c>
      <c r="AV45" s="369">
        <v>408.65</v>
      </c>
      <c r="AW45" s="369">
        <v>513.42999999999995</v>
      </c>
      <c r="AX45" s="369">
        <v>35.06</v>
      </c>
      <c r="AY45" s="369">
        <v>106.98</v>
      </c>
      <c r="AZ45" s="369">
        <v>10.79</v>
      </c>
      <c r="BA45" s="369">
        <v>5.35</v>
      </c>
      <c r="BB45" s="369">
        <v>1484.04</v>
      </c>
      <c r="BC45" s="369">
        <v>143.97999999999999</v>
      </c>
      <c r="BD45" s="369">
        <v>466.06</v>
      </c>
      <c r="BE45" s="369">
        <v>57.1</v>
      </c>
      <c r="BF45" s="369">
        <v>1952.65</v>
      </c>
      <c r="BG45" s="369">
        <v>2232.86</v>
      </c>
      <c r="BH45" s="369">
        <v>923.73</v>
      </c>
      <c r="BI45" s="369">
        <v>3244.06</v>
      </c>
      <c r="BJ45" s="369">
        <v>14.6</v>
      </c>
      <c r="BK45" s="369">
        <v>46.73</v>
      </c>
      <c r="BL45" s="369">
        <v>947.1</v>
      </c>
      <c r="BM45" s="369">
        <v>95.81</v>
      </c>
      <c r="BN45" s="370">
        <v>4078.87</v>
      </c>
      <c r="BO45" s="373">
        <v>42453.59</v>
      </c>
      <c r="BP45" s="374"/>
      <c r="BQ45" s="370">
        <v>2434.54</v>
      </c>
      <c r="BR45" s="370">
        <v>1591.53</v>
      </c>
      <c r="BS45" s="370">
        <v>0</v>
      </c>
      <c r="BT45" s="370">
        <v>0</v>
      </c>
      <c r="BU45" s="370">
        <v>1.1399999999999999</v>
      </c>
      <c r="BV45" s="370">
        <v>-174.78</v>
      </c>
    </row>
    <row r="46" spans="1:74" ht="15.75">
      <c r="A46" s="365" t="s">
        <v>1293</v>
      </c>
      <c r="B46" s="366" t="s">
        <v>1294</v>
      </c>
      <c r="C46" s="373">
        <v>80582.36</v>
      </c>
      <c r="D46" s="368">
        <v>0</v>
      </c>
      <c r="E46" s="369">
        <v>5052.8999999999996</v>
      </c>
      <c r="F46" s="369">
        <v>517.66</v>
      </c>
      <c r="G46" s="369">
        <v>64.510000000000005</v>
      </c>
      <c r="H46" s="369">
        <v>16.010000000000002</v>
      </c>
      <c r="I46" s="369">
        <v>21.66</v>
      </c>
      <c r="J46" s="369">
        <v>186.7</v>
      </c>
      <c r="K46" s="369">
        <v>64.56</v>
      </c>
      <c r="L46" s="369">
        <v>45.76</v>
      </c>
      <c r="M46" s="369">
        <v>84.57</v>
      </c>
      <c r="N46" s="369">
        <v>0</v>
      </c>
      <c r="O46" s="369">
        <v>49.31</v>
      </c>
      <c r="P46" s="369">
        <v>0</v>
      </c>
      <c r="Q46" s="369">
        <v>0</v>
      </c>
      <c r="R46" s="369">
        <v>0</v>
      </c>
      <c r="S46" s="369">
        <v>0</v>
      </c>
      <c r="T46" s="369">
        <v>0</v>
      </c>
      <c r="U46" s="369">
        <v>0</v>
      </c>
      <c r="V46" s="369">
        <v>97.32</v>
      </c>
      <c r="W46" s="369">
        <v>11506.23</v>
      </c>
      <c r="X46" s="369">
        <v>0</v>
      </c>
      <c r="Y46" s="369">
        <v>0</v>
      </c>
      <c r="Z46" s="369">
        <v>0</v>
      </c>
      <c r="AA46" s="369">
        <v>0</v>
      </c>
      <c r="AB46" s="369">
        <v>0</v>
      </c>
      <c r="AC46" s="369">
        <v>0</v>
      </c>
      <c r="AD46" s="369">
        <v>0</v>
      </c>
      <c r="AE46" s="369">
        <v>0</v>
      </c>
      <c r="AF46" s="369">
        <v>0</v>
      </c>
      <c r="AG46" s="369">
        <v>0</v>
      </c>
      <c r="AH46" s="369">
        <v>0.44</v>
      </c>
      <c r="AI46" s="369">
        <v>0</v>
      </c>
      <c r="AJ46" s="369">
        <v>0</v>
      </c>
      <c r="AK46" s="369">
        <v>0</v>
      </c>
      <c r="AL46" s="369">
        <v>2.2200000000000002</v>
      </c>
      <c r="AM46" s="369">
        <v>37.99</v>
      </c>
      <c r="AN46" s="369">
        <v>0</v>
      </c>
      <c r="AO46" s="369">
        <v>0</v>
      </c>
      <c r="AP46" s="369">
        <v>0</v>
      </c>
      <c r="AQ46" s="369">
        <v>0</v>
      </c>
      <c r="AR46" s="369">
        <v>0</v>
      </c>
      <c r="AS46" s="369">
        <v>0</v>
      </c>
      <c r="AT46" s="369">
        <v>3.89</v>
      </c>
      <c r="AU46" s="369">
        <v>0.13</v>
      </c>
      <c r="AV46" s="369">
        <v>0.98</v>
      </c>
      <c r="AW46" s="369">
        <v>1.23</v>
      </c>
      <c r="AX46" s="369">
        <v>0.08</v>
      </c>
      <c r="AY46" s="369">
        <v>0</v>
      </c>
      <c r="AZ46" s="369">
        <v>0</v>
      </c>
      <c r="BA46" s="369">
        <v>0</v>
      </c>
      <c r="BB46" s="369">
        <v>571.98</v>
      </c>
      <c r="BC46" s="369">
        <v>55.49</v>
      </c>
      <c r="BD46" s="369">
        <v>179.63</v>
      </c>
      <c r="BE46" s="369">
        <v>22.01</v>
      </c>
      <c r="BF46" s="369">
        <v>752.6</v>
      </c>
      <c r="BG46" s="369">
        <v>14802.71</v>
      </c>
      <c r="BH46" s="369">
        <v>0</v>
      </c>
      <c r="BI46" s="369">
        <v>0</v>
      </c>
      <c r="BJ46" s="369">
        <v>0</v>
      </c>
      <c r="BK46" s="369">
        <v>0</v>
      </c>
      <c r="BL46" s="369">
        <v>0</v>
      </c>
      <c r="BM46" s="369">
        <v>0</v>
      </c>
      <c r="BN46" s="370">
        <v>12.1</v>
      </c>
      <c r="BO46" s="373">
        <v>34150.65</v>
      </c>
      <c r="BP46" s="374"/>
      <c r="BQ46" s="370">
        <v>7216.58</v>
      </c>
      <c r="BR46" s="370">
        <v>40056.75</v>
      </c>
      <c r="BS46" s="370">
        <v>0</v>
      </c>
      <c r="BT46" s="370">
        <v>0</v>
      </c>
      <c r="BU46" s="370">
        <v>-500.51</v>
      </c>
      <c r="BV46" s="370">
        <v>-341.1</v>
      </c>
    </row>
    <row r="47" spans="1:74" ht="15.75">
      <c r="A47" s="365" t="s">
        <v>1295</v>
      </c>
      <c r="B47" s="366" t="s">
        <v>1296</v>
      </c>
      <c r="C47" s="373">
        <v>72207.09</v>
      </c>
      <c r="D47" s="368">
        <v>0</v>
      </c>
      <c r="E47" s="369">
        <v>18.79</v>
      </c>
      <c r="F47" s="369">
        <v>2.1800000000000002</v>
      </c>
      <c r="G47" s="369">
        <v>0</v>
      </c>
      <c r="H47" s="369">
        <v>39.36</v>
      </c>
      <c r="I47" s="369">
        <v>32.4</v>
      </c>
      <c r="J47" s="369">
        <v>264.99</v>
      </c>
      <c r="K47" s="369">
        <v>67.23</v>
      </c>
      <c r="L47" s="369">
        <v>0</v>
      </c>
      <c r="M47" s="369">
        <v>1.1000000000000001</v>
      </c>
      <c r="N47" s="369">
        <v>3.03</v>
      </c>
      <c r="O47" s="369">
        <v>105.6</v>
      </c>
      <c r="P47" s="369">
        <v>44.69</v>
      </c>
      <c r="Q47" s="369">
        <v>4.6500000000000004</v>
      </c>
      <c r="R47" s="369">
        <v>77.8</v>
      </c>
      <c r="S47" s="369">
        <v>369.74</v>
      </c>
      <c r="T47" s="369">
        <v>156.86000000000001</v>
      </c>
      <c r="U47" s="369">
        <v>0</v>
      </c>
      <c r="V47" s="369">
        <v>0.99</v>
      </c>
      <c r="W47" s="369">
        <v>1444.9</v>
      </c>
      <c r="X47" s="369">
        <v>0.31</v>
      </c>
      <c r="Y47" s="369">
        <v>35.450000000000003</v>
      </c>
      <c r="Z47" s="369">
        <v>0</v>
      </c>
      <c r="AA47" s="369">
        <v>0</v>
      </c>
      <c r="AB47" s="369">
        <v>37.770000000000003</v>
      </c>
      <c r="AC47" s="369">
        <v>0</v>
      </c>
      <c r="AD47" s="369">
        <v>138.37</v>
      </c>
      <c r="AE47" s="369">
        <v>19.53</v>
      </c>
      <c r="AF47" s="369">
        <v>20.87</v>
      </c>
      <c r="AG47" s="369">
        <v>1.1200000000000001</v>
      </c>
      <c r="AH47" s="369">
        <v>0</v>
      </c>
      <c r="AI47" s="369">
        <v>179.74</v>
      </c>
      <c r="AJ47" s="369">
        <v>1.1599999999999999</v>
      </c>
      <c r="AK47" s="369">
        <v>26.46</v>
      </c>
      <c r="AL47" s="369">
        <v>7.35</v>
      </c>
      <c r="AM47" s="369">
        <v>0</v>
      </c>
      <c r="AN47" s="369">
        <v>0</v>
      </c>
      <c r="AO47" s="369">
        <v>0</v>
      </c>
      <c r="AP47" s="369">
        <v>1111.77</v>
      </c>
      <c r="AQ47" s="369">
        <v>380.07</v>
      </c>
      <c r="AR47" s="369">
        <v>0</v>
      </c>
      <c r="AS47" s="369">
        <v>39.46</v>
      </c>
      <c r="AT47" s="369">
        <v>160.27000000000001</v>
      </c>
      <c r="AU47" s="369">
        <v>5.41</v>
      </c>
      <c r="AV47" s="369">
        <v>40.25</v>
      </c>
      <c r="AW47" s="369">
        <v>50.56</v>
      </c>
      <c r="AX47" s="369">
        <v>3.45</v>
      </c>
      <c r="AY47" s="369">
        <v>44.28</v>
      </c>
      <c r="AZ47" s="369">
        <v>4.47</v>
      </c>
      <c r="BA47" s="369">
        <v>2.21</v>
      </c>
      <c r="BB47" s="369">
        <v>161.33000000000001</v>
      </c>
      <c r="BC47" s="369">
        <v>15.65</v>
      </c>
      <c r="BD47" s="369">
        <v>50.67</v>
      </c>
      <c r="BE47" s="369">
        <v>6.21</v>
      </c>
      <c r="BF47" s="369">
        <v>212.27</v>
      </c>
      <c r="BG47" s="369">
        <v>255.39</v>
      </c>
      <c r="BH47" s="369">
        <v>209.76</v>
      </c>
      <c r="BI47" s="369">
        <v>736.66</v>
      </c>
      <c r="BJ47" s="369">
        <v>3.32</v>
      </c>
      <c r="BK47" s="369">
        <v>10.61</v>
      </c>
      <c r="BL47" s="369">
        <v>215.07</v>
      </c>
      <c r="BM47" s="369">
        <v>21.76</v>
      </c>
      <c r="BN47" s="370">
        <v>274.17</v>
      </c>
      <c r="BO47" s="373">
        <v>7117.5</v>
      </c>
      <c r="BP47" s="374"/>
      <c r="BQ47" s="370">
        <v>5643.67</v>
      </c>
      <c r="BR47" s="370">
        <v>59764.72</v>
      </c>
      <c r="BS47" s="370">
        <v>0</v>
      </c>
      <c r="BT47" s="370">
        <v>0</v>
      </c>
      <c r="BU47" s="370">
        <v>3.71</v>
      </c>
      <c r="BV47" s="370">
        <v>-322.5</v>
      </c>
    </row>
    <row r="48" spans="1:74" ht="15.75">
      <c r="A48" s="365" t="s">
        <v>1297</v>
      </c>
      <c r="B48" s="366" t="s">
        <v>1298</v>
      </c>
      <c r="C48" s="373">
        <v>49329.39</v>
      </c>
      <c r="D48" s="368">
        <v>0</v>
      </c>
      <c r="E48" s="369">
        <v>70.569999999999993</v>
      </c>
      <c r="F48" s="369">
        <v>7.09</v>
      </c>
      <c r="G48" s="369">
        <v>0</v>
      </c>
      <c r="H48" s="369">
        <v>1968.62</v>
      </c>
      <c r="I48" s="369">
        <v>1267.98</v>
      </c>
      <c r="J48" s="369">
        <v>10242.469999999999</v>
      </c>
      <c r="K48" s="369">
        <v>2770.77</v>
      </c>
      <c r="L48" s="369">
        <v>862.12</v>
      </c>
      <c r="M48" s="369">
        <v>325.97000000000003</v>
      </c>
      <c r="N48" s="369">
        <v>566.5</v>
      </c>
      <c r="O48" s="369">
        <v>177.93</v>
      </c>
      <c r="P48" s="369">
        <v>6.67</v>
      </c>
      <c r="Q48" s="369">
        <v>43.99</v>
      </c>
      <c r="R48" s="369">
        <v>477.56</v>
      </c>
      <c r="S48" s="369">
        <v>1108.76</v>
      </c>
      <c r="T48" s="369">
        <v>146.44</v>
      </c>
      <c r="U48" s="369">
        <v>97.22</v>
      </c>
      <c r="V48" s="369">
        <v>625.07000000000005</v>
      </c>
      <c r="W48" s="369">
        <v>3230.75</v>
      </c>
      <c r="X48" s="369">
        <v>894.71</v>
      </c>
      <c r="Y48" s="369">
        <v>570.88</v>
      </c>
      <c r="Z48" s="369">
        <v>34.869999999999997</v>
      </c>
      <c r="AA48" s="369">
        <v>442.72</v>
      </c>
      <c r="AB48" s="369">
        <v>668.56</v>
      </c>
      <c r="AC48" s="369">
        <v>80.94</v>
      </c>
      <c r="AD48" s="369">
        <v>175.23</v>
      </c>
      <c r="AE48" s="369">
        <v>186.99</v>
      </c>
      <c r="AF48" s="369">
        <v>309.98</v>
      </c>
      <c r="AG48" s="369">
        <v>5.43</v>
      </c>
      <c r="AH48" s="369">
        <v>26.47</v>
      </c>
      <c r="AI48" s="369">
        <v>199.5</v>
      </c>
      <c r="AJ48" s="369">
        <v>39.97</v>
      </c>
      <c r="AK48" s="369">
        <v>199.87</v>
      </c>
      <c r="AL48" s="369">
        <v>98.49</v>
      </c>
      <c r="AM48" s="369">
        <v>34.26</v>
      </c>
      <c r="AN48" s="369">
        <v>536.39</v>
      </c>
      <c r="AO48" s="369">
        <v>63.5</v>
      </c>
      <c r="AP48" s="369">
        <v>814.05</v>
      </c>
      <c r="AQ48" s="369">
        <v>278.29000000000002</v>
      </c>
      <c r="AR48" s="369">
        <v>0</v>
      </c>
      <c r="AS48" s="369">
        <v>80.69</v>
      </c>
      <c r="AT48" s="369">
        <v>364.21</v>
      </c>
      <c r="AU48" s="369">
        <v>12.29</v>
      </c>
      <c r="AV48" s="369">
        <v>91.46</v>
      </c>
      <c r="AW48" s="369">
        <v>114.91</v>
      </c>
      <c r="AX48" s="369">
        <v>7.85</v>
      </c>
      <c r="AY48" s="369">
        <v>98.33</v>
      </c>
      <c r="AZ48" s="369">
        <v>9.92</v>
      </c>
      <c r="BA48" s="369">
        <v>4.92</v>
      </c>
      <c r="BB48" s="369">
        <v>644.29</v>
      </c>
      <c r="BC48" s="369">
        <v>62.51</v>
      </c>
      <c r="BD48" s="369">
        <v>202.34</v>
      </c>
      <c r="BE48" s="369">
        <v>24.79</v>
      </c>
      <c r="BF48" s="369">
        <v>847.74</v>
      </c>
      <c r="BG48" s="369">
        <v>1192.99</v>
      </c>
      <c r="BH48" s="369">
        <v>192.47</v>
      </c>
      <c r="BI48" s="369">
        <v>675.95</v>
      </c>
      <c r="BJ48" s="369">
        <v>3.04</v>
      </c>
      <c r="BK48" s="369">
        <v>9.74</v>
      </c>
      <c r="BL48" s="369">
        <v>197.34</v>
      </c>
      <c r="BM48" s="369">
        <v>19.96</v>
      </c>
      <c r="BN48" s="370">
        <v>417.6</v>
      </c>
      <c r="BO48" s="373">
        <v>34932.92</v>
      </c>
      <c r="BP48" s="374"/>
      <c r="BQ48" s="370">
        <v>14055.01</v>
      </c>
      <c r="BR48" s="370">
        <v>444.64</v>
      </c>
      <c r="BS48" s="370">
        <v>0</v>
      </c>
      <c r="BT48" s="370">
        <v>0</v>
      </c>
      <c r="BU48" s="370">
        <v>22.9</v>
      </c>
      <c r="BV48" s="370">
        <v>-126.08</v>
      </c>
    </row>
    <row r="49" spans="1:74" ht="15.75">
      <c r="A49" s="365" t="s">
        <v>1299</v>
      </c>
      <c r="B49" s="366" t="s">
        <v>1300</v>
      </c>
      <c r="C49" s="373">
        <v>33089.599999999999</v>
      </c>
      <c r="D49" s="368">
        <v>0</v>
      </c>
      <c r="E49" s="369">
        <v>284.07</v>
      </c>
      <c r="F49" s="369">
        <v>25.16</v>
      </c>
      <c r="G49" s="369">
        <v>5.07</v>
      </c>
      <c r="H49" s="369">
        <v>420.52</v>
      </c>
      <c r="I49" s="369">
        <v>432.54</v>
      </c>
      <c r="J49" s="369">
        <v>3471.39</v>
      </c>
      <c r="K49" s="369">
        <v>740.9</v>
      </c>
      <c r="L49" s="369">
        <v>0</v>
      </c>
      <c r="M49" s="369">
        <v>0</v>
      </c>
      <c r="N49" s="369">
        <v>0</v>
      </c>
      <c r="O49" s="369">
        <v>0</v>
      </c>
      <c r="P49" s="369">
        <v>0</v>
      </c>
      <c r="Q49" s="369">
        <v>0</v>
      </c>
      <c r="R49" s="369">
        <v>0</v>
      </c>
      <c r="S49" s="369">
        <v>0</v>
      </c>
      <c r="T49" s="369">
        <v>0</v>
      </c>
      <c r="U49" s="369">
        <v>0</v>
      </c>
      <c r="V49" s="369">
        <v>0</v>
      </c>
      <c r="W49" s="369">
        <v>0</v>
      </c>
      <c r="X49" s="369">
        <v>901.84</v>
      </c>
      <c r="Y49" s="369">
        <v>0</v>
      </c>
      <c r="Z49" s="369">
        <v>0</v>
      </c>
      <c r="AA49" s="369">
        <v>0</v>
      </c>
      <c r="AB49" s="369">
        <v>0</v>
      </c>
      <c r="AC49" s="369">
        <v>0</v>
      </c>
      <c r="AD49" s="369">
        <v>0</v>
      </c>
      <c r="AE49" s="369">
        <v>6.65</v>
      </c>
      <c r="AF49" s="369">
        <v>0</v>
      </c>
      <c r="AG49" s="369">
        <v>0</v>
      </c>
      <c r="AH49" s="369">
        <v>0</v>
      </c>
      <c r="AI49" s="369">
        <v>29.2</v>
      </c>
      <c r="AJ49" s="369">
        <v>0</v>
      </c>
      <c r="AK49" s="369">
        <v>0</v>
      </c>
      <c r="AL49" s="369">
        <v>0</v>
      </c>
      <c r="AM49" s="369">
        <v>0</v>
      </c>
      <c r="AN49" s="369">
        <v>72.09</v>
      </c>
      <c r="AO49" s="369">
        <v>0</v>
      </c>
      <c r="AP49" s="369">
        <v>179.99</v>
      </c>
      <c r="AQ49" s="369">
        <v>61.53</v>
      </c>
      <c r="AR49" s="369">
        <v>0</v>
      </c>
      <c r="AS49" s="369">
        <v>0</v>
      </c>
      <c r="AT49" s="369">
        <v>5795.86</v>
      </c>
      <c r="AU49" s="369">
        <v>195.57</v>
      </c>
      <c r="AV49" s="369">
        <v>1455.39</v>
      </c>
      <c r="AW49" s="369">
        <v>1828.56</v>
      </c>
      <c r="AX49" s="369">
        <v>124.88</v>
      </c>
      <c r="AY49" s="369">
        <v>107.18</v>
      </c>
      <c r="AZ49" s="369">
        <v>10.81</v>
      </c>
      <c r="BA49" s="369">
        <v>5.36</v>
      </c>
      <c r="BB49" s="369">
        <v>325.58</v>
      </c>
      <c r="BC49" s="369">
        <v>31.59</v>
      </c>
      <c r="BD49" s="369">
        <v>102.25</v>
      </c>
      <c r="BE49" s="369">
        <v>12.53</v>
      </c>
      <c r="BF49" s="369">
        <v>428.39</v>
      </c>
      <c r="BG49" s="369">
        <v>1117.6600000000001</v>
      </c>
      <c r="BH49" s="369">
        <v>4.51</v>
      </c>
      <c r="BI49" s="369">
        <v>15.82</v>
      </c>
      <c r="BJ49" s="369">
        <v>7.0000000000000007E-2</v>
      </c>
      <c r="BK49" s="369">
        <v>0.23</v>
      </c>
      <c r="BL49" s="369">
        <v>4.62</v>
      </c>
      <c r="BM49" s="369">
        <v>0.47</v>
      </c>
      <c r="BN49" s="370">
        <v>839.86</v>
      </c>
      <c r="BO49" s="373">
        <v>19038.14</v>
      </c>
      <c r="BP49" s="374"/>
      <c r="BQ49" s="370">
        <v>3413.73</v>
      </c>
      <c r="BR49" s="370">
        <v>10737.05</v>
      </c>
      <c r="BS49" s="370">
        <v>0</v>
      </c>
      <c r="BT49" s="370">
        <v>5.44</v>
      </c>
      <c r="BU49" s="370">
        <v>8.1999999999999993</v>
      </c>
      <c r="BV49" s="370">
        <v>-112.97</v>
      </c>
    </row>
    <row r="50" spans="1:74" ht="15.75">
      <c r="A50" s="365" t="s">
        <v>1301</v>
      </c>
      <c r="B50" s="366" t="s">
        <v>1302</v>
      </c>
      <c r="C50" s="373">
        <v>13413.45</v>
      </c>
      <c r="D50" s="368">
        <v>0</v>
      </c>
      <c r="E50" s="369">
        <v>419.05</v>
      </c>
      <c r="F50" s="369">
        <v>44.39</v>
      </c>
      <c r="G50" s="369">
        <v>5.97</v>
      </c>
      <c r="H50" s="369">
        <v>747.32</v>
      </c>
      <c r="I50" s="369">
        <v>159.88</v>
      </c>
      <c r="J50" s="369">
        <v>1270.19</v>
      </c>
      <c r="K50" s="369">
        <v>363.27</v>
      </c>
      <c r="L50" s="369">
        <v>0</v>
      </c>
      <c r="M50" s="369">
        <v>0</v>
      </c>
      <c r="N50" s="369">
        <v>21.61</v>
      </c>
      <c r="O50" s="369">
        <v>61.22</v>
      </c>
      <c r="P50" s="369">
        <v>1.19</v>
      </c>
      <c r="Q50" s="369">
        <v>454.72</v>
      </c>
      <c r="R50" s="369">
        <v>156.37</v>
      </c>
      <c r="S50" s="369">
        <v>1.8</v>
      </c>
      <c r="T50" s="369">
        <v>55.34</v>
      </c>
      <c r="U50" s="369">
        <v>0</v>
      </c>
      <c r="V50" s="369">
        <v>58.66</v>
      </c>
      <c r="W50" s="369">
        <v>0</v>
      </c>
      <c r="X50" s="369">
        <v>247</v>
      </c>
      <c r="Y50" s="369">
        <v>174.88</v>
      </c>
      <c r="Z50" s="369">
        <v>0</v>
      </c>
      <c r="AA50" s="369">
        <v>1.89</v>
      </c>
      <c r="AB50" s="369">
        <v>0</v>
      </c>
      <c r="AC50" s="369">
        <v>0</v>
      </c>
      <c r="AD50" s="369">
        <v>32.97</v>
      </c>
      <c r="AE50" s="369">
        <v>580.96</v>
      </c>
      <c r="AF50" s="369">
        <v>8.3000000000000007</v>
      </c>
      <c r="AG50" s="369">
        <v>98.35</v>
      </c>
      <c r="AH50" s="369">
        <v>12.69</v>
      </c>
      <c r="AI50" s="369">
        <v>3036.89</v>
      </c>
      <c r="AJ50" s="369">
        <v>68.5</v>
      </c>
      <c r="AK50" s="369">
        <v>87.67</v>
      </c>
      <c r="AL50" s="369">
        <v>1066.1400000000001</v>
      </c>
      <c r="AM50" s="369">
        <v>14.47</v>
      </c>
      <c r="AN50" s="369">
        <v>38.869999999999997</v>
      </c>
      <c r="AO50" s="369">
        <v>0</v>
      </c>
      <c r="AP50" s="369">
        <v>0</v>
      </c>
      <c r="AQ50" s="369">
        <v>0</v>
      </c>
      <c r="AR50" s="369">
        <v>0</v>
      </c>
      <c r="AS50" s="369">
        <v>0</v>
      </c>
      <c r="AT50" s="369">
        <v>556.24</v>
      </c>
      <c r="AU50" s="369">
        <v>18.77</v>
      </c>
      <c r="AV50" s="369">
        <v>139.68</v>
      </c>
      <c r="AW50" s="369">
        <v>175.49</v>
      </c>
      <c r="AX50" s="369">
        <v>11.98</v>
      </c>
      <c r="AY50" s="369">
        <v>0</v>
      </c>
      <c r="AZ50" s="369">
        <v>0</v>
      </c>
      <c r="BA50" s="369">
        <v>0</v>
      </c>
      <c r="BB50" s="369">
        <v>0</v>
      </c>
      <c r="BC50" s="369">
        <v>0</v>
      </c>
      <c r="BD50" s="369">
        <v>0</v>
      </c>
      <c r="BE50" s="369">
        <v>0</v>
      </c>
      <c r="BF50" s="369">
        <v>0</v>
      </c>
      <c r="BG50" s="369">
        <v>92.18</v>
      </c>
      <c r="BH50" s="369">
        <v>59.81</v>
      </c>
      <c r="BI50" s="369">
        <v>210.04</v>
      </c>
      <c r="BJ50" s="369">
        <v>0.95</v>
      </c>
      <c r="BK50" s="369">
        <v>3.03</v>
      </c>
      <c r="BL50" s="369">
        <v>61.32</v>
      </c>
      <c r="BM50" s="369">
        <v>6.2</v>
      </c>
      <c r="BN50" s="370">
        <v>188.14</v>
      </c>
      <c r="BO50" s="373">
        <v>10814.39</v>
      </c>
      <c r="BP50" s="374"/>
      <c r="BQ50" s="370">
        <v>2256.12</v>
      </c>
      <c r="BR50" s="370">
        <v>387.01</v>
      </c>
      <c r="BS50" s="370">
        <v>0</v>
      </c>
      <c r="BT50" s="370">
        <v>0</v>
      </c>
      <c r="BU50" s="370">
        <v>1.65</v>
      </c>
      <c r="BV50" s="370">
        <v>-45.72</v>
      </c>
    </row>
    <row r="51" spans="1:74" ht="15.75">
      <c r="A51" s="365" t="s">
        <v>1303</v>
      </c>
      <c r="B51" s="366" t="s">
        <v>1304</v>
      </c>
      <c r="C51" s="373">
        <v>94144.72</v>
      </c>
      <c r="D51" s="368">
        <v>0</v>
      </c>
      <c r="E51" s="369">
        <v>639.65</v>
      </c>
      <c r="F51" s="369">
        <v>66.03</v>
      </c>
      <c r="G51" s="369">
        <v>9.99</v>
      </c>
      <c r="H51" s="369">
        <v>295.77999999999997</v>
      </c>
      <c r="I51" s="369">
        <v>130.04</v>
      </c>
      <c r="J51" s="369">
        <v>1398.26</v>
      </c>
      <c r="K51" s="369">
        <v>423.83</v>
      </c>
      <c r="L51" s="369">
        <v>10997.65</v>
      </c>
      <c r="M51" s="369">
        <v>4516.9799999999996</v>
      </c>
      <c r="N51" s="369">
        <v>636.66</v>
      </c>
      <c r="O51" s="369">
        <v>451.84</v>
      </c>
      <c r="P51" s="369">
        <v>47.93</v>
      </c>
      <c r="Q51" s="369">
        <v>107.76</v>
      </c>
      <c r="R51" s="369">
        <v>963.9</v>
      </c>
      <c r="S51" s="369">
        <v>406.63</v>
      </c>
      <c r="T51" s="369">
        <v>659.2</v>
      </c>
      <c r="U51" s="369">
        <v>327.18</v>
      </c>
      <c r="V51" s="369">
        <v>641.16999999999996</v>
      </c>
      <c r="W51" s="369">
        <v>7221.04</v>
      </c>
      <c r="X51" s="369">
        <v>296.70999999999998</v>
      </c>
      <c r="Y51" s="369">
        <v>2426.39</v>
      </c>
      <c r="Z51" s="369">
        <v>141.69999999999999</v>
      </c>
      <c r="AA51" s="369">
        <v>318.44</v>
      </c>
      <c r="AB51" s="369">
        <v>285.89</v>
      </c>
      <c r="AC51" s="369">
        <v>69.77</v>
      </c>
      <c r="AD51" s="369">
        <v>186.6</v>
      </c>
      <c r="AE51" s="369">
        <v>934.65</v>
      </c>
      <c r="AF51" s="369">
        <v>1955.33</v>
      </c>
      <c r="AG51" s="369">
        <v>271.70999999999998</v>
      </c>
      <c r="AH51" s="369">
        <v>405.65</v>
      </c>
      <c r="AI51" s="369">
        <v>4777.45</v>
      </c>
      <c r="AJ51" s="369">
        <v>6.62</v>
      </c>
      <c r="AK51" s="369">
        <v>757.29</v>
      </c>
      <c r="AL51" s="369">
        <v>1208.24</v>
      </c>
      <c r="AM51" s="369">
        <v>20.32</v>
      </c>
      <c r="AN51" s="369">
        <v>18.16</v>
      </c>
      <c r="AO51" s="369">
        <v>15340.25</v>
      </c>
      <c r="AP51" s="369">
        <v>11779.01</v>
      </c>
      <c r="AQ51" s="369">
        <v>4723.9799999999996</v>
      </c>
      <c r="AR51" s="369">
        <v>68.3</v>
      </c>
      <c r="AS51" s="369">
        <v>0</v>
      </c>
      <c r="AT51" s="369">
        <v>593.41</v>
      </c>
      <c r="AU51" s="369">
        <v>5.51</v>
      </c>
      <c r="AV51" s="369">
        <v>42.54</v>
      </c>
      <c r="AW51" s="369">
        <v>178.42</v>
      </c>
      <c r="AX51" s="369">
        <v>28.56</v>
      </c>
      <c r="AY51" s="369">
        <v>0</v>
      </c>
      <c r="AZ51" s="369">
        <v>0</v>
      </c>
      <c r="BA51" s="369">
        <v>0</v>
      </c>
      <c r="BB51" s="369">
        <v>1180.1400000000001</v>
      </c>
      <c r="BC51" s="369">
        <v>2.72</v>
      </c>
      <c r="BD51" s="369">
        <v>1</v>
      </c>
      <c r="BE51" s="369">
        <v>1.17</v>
      </c>
      <c r="BF51" s="369">
        <v>231.62</v>
      </c>
      <c r="BG51" s="369">
        <v>107.55</v>
      </c>
      <c r="BH51" s="369">
        <v>100.03</v>
      </c>
      <c r="BI51" s="369">
        <v>119.8</v>
      </c>
      <c r="BJ51" s="369">
        <v>1.7</v>
      </c>
      <c r="BK51" s="369">
        <v>1.61</v>
      </c>
      <c r="BL51" s="369">
        <v>19.54</v>
      </c>
      <c r="BM51" s="369">
        <v>5.08</v>
      </c>
      <c r="BN51" s="370">
        <v>5129.22</v>
      </c>
      <c r="BO51" s="373">
        <v>83683.570000000007</v>
      </c>
      <c r="BP51" s="374"/>
      <c r="BQ51" s="370">
        <v>3950.48</v>
      </c>
      <c r="BR51" s="370">
        <v>6875.78</v>
      </c>
      <c r="BS51" s="370">
        <v>0</v>
      </c>
      <c r="BT51" s="370">
        <v>13.52</v>
      </c>
      <c r="BU51" s="370">
        <v>4.12</v>
      </c>
      <c r="BV51" s="370">
        <v>-382.75</v>
      </c>
    </row>
    <row r="52" spans="1:74" ht="15.75">
      <c r="A52" s="365" t="s">
        <v>1305</v>
      </c>
      <c r="B52" s="366" t="s">
        <v>1306</v>
      </c>
      <c r="C52" s="373">
        <v>24464.66</v>
      </c>
      <c r="D52" s="368">
        <v>0</v>
      </c>
      <c r="E52" s="369">
        <v>46.77</v>
      </c>
      <c r="F52" s="369">
        <v>5.09</v>
      </c>
      <c r="G52" s="369">
        <v>0</v>
      </c>
      <c r="H52" s="369">
        <v>35.32</v>
      </c>
      <c r="I52" s="369">
        <v>13.85</v>
      </c>
      <c r="J52" s="369">
        <v>133.91999999999999</v>
      </c>
      <c r="K52" s="369">
        <v>34.880000000000003</v>
      </c>
      <c r="L52" s="369">
        <v>418.19</v>
      </c>
      <c r="M52" s="369">
        <v>3853.28</v>
      </c>
      <c r="N52" s="369">
        <v>1.32</v>
      </c>
      <c r="O52" s="369">
        <v>0</v>
      </c>
      <c r="P52" s="369">
        <v>0.01</v>
      </c>
      <c r="Q52" s="369">
        <v>0</v>
      </c>
      <c r="R52" s="369">
        <v>166.5</v>
      </c>
      <c r="S52" s="369">
        <v>0</v>
      </c>
      <c r="T52" s="369">
        <v>43.05</v>
      </c>
      <c r="U52" s="369">
        <v>6.8</v>
      </c>
      <c r="V52" s="369">
        <v>11.84</v>
      </c>
      <c r="W52" s="369">
        <v>1705.83</v>
      </c>
      <c r="X52" s="369">
        <v>0</v>
      </c>
      <c r="Y52" s="369">
        <v>7.4</v>
      </c>
      <c r="Z52" s="369">
        <v>2936.1</v>
      </c>
      <c r="AA52" s="369">
        <v>28.65</v>
      </c>
      <c r="AB52" s="369">
        <v>0.9</v>
      </c>
      <c r="AC52" s="369">
        <v>1.0900000000000001</v>
      </c>
      <c r="AD52" s="369">
        <v>2.57</v>
      </c>
      <c r="AE52" s="369">
        <v>201.37</v>
      </c>
      <c r="AF52" s="369">
        <v>105.31</v>
      </c>
      <c r="AG52" s="369">
        <v>1.77</v>
      </c>
      <c r="AH52" s="369">
        <v>338.24</v>
      </c>
      <c r="AI52" s="369">
        <v>1200.3599999999999</v>
      </c>
      <c r="AJ52" s="369">
        <v>122.31</v>
      </c>
      <c r="AK52" s="369">
        <v>262.04000000000002</v>
      </c>
      <c r="AL52" s="369">
        <v>14.39</v>
      </c>
      <c r="AM52" s="369">
        <v>205.75</v>
      </c>
      <c r="AN52" s="369">
        <v>44.82</v>
      </c>
      <c r="AO52" s="369">
        <v>1979.37</v>
      </c>
      <c r="AP52" s="369">
        <v>55.63</v>
      </c>
      <c r="AQ52" s="369">
        <v>19.02</v>
      </c>
      <c r="AR52" s="369">
        <v>0</v>
      </c>
      <c r="AS52" s="369">
        <v>72.77</v>
      </c>
      <c r="AT52" s="369">
        <v>73.400000000000006</v>
      </c>
      <c r="AU52" s="369">
        <v>2.48</v>
      </c>
      <c r="AV52" s="369">
        <v>18.43</v>
      </c>
      <c r="AW52" s="369">
        <v>23.16</v>
      </c>
      <c r="AX52" s="369">
        <v>1.58</v>
      </c>
      <c r="AY52" s="369">
        <v>0</v>
      </c>
      <c r="AZ52" s="369">
        <v>0</v>
      </c>
      <c r="BA52" s="369">
        <v>0</v>
      </c>
      <c r="BB52" s="369">
        <v>42.69</v>
      </c>
      <c r="BC52" s="369">
        <v>4.1399999999999997</v>
      </c>
      <c r="BD52" s="369">
        <v>13.41</v>
      </c>
      <c r="BE52" s="369">
        <v>1.64</v>
      </c>
      <c r="BF52" s="369">
        <v>56.17</v>
      </c>
      <c r="BG52" s="369">
        <v>570.38</v>
      </c>
      <c r="BH52" s="369">
        <v>113.03</v>
      </c>
      <c r="BI52" s="369">
        <v>396.96</v>
      </c>
      <c r="BJ52" s="369">
        <v>1.79</v>
      </c>
      <c r="BK52" s="369">
        <v>5.72</v>
      </c>
      <c r="BL52" s="369">
        <v>115.89</v>
      </c>
      <c r="BM52" s="369">
        <v>11.72</v>
      </c>
      <c r="BN52" s="370">
        <v>661.15</v>
      </c>
      <c r="BO52" s="373">
        <v>16190.25</v>
      </c>
      <c r="BP52" s="374"/>
      <c r="BQ52" s="370">
        <v>2173.29</v>
      </c>
      <c r="BR52" s="370">
        <v>6170.72</v>
      </c>
      <c r="BS52" s="370">
        <v>0</v>
      </c>
      <c r="BT52" s="370">
        <v>0.13</v>
      </c>
      <c r="BU52" s="370">
        <v>-0.78</v>
      </c>
      <c r="BV52" s="370">
        <v>-68.95</v>
      </c>
    </row>
    <row r="53" spans="1:74" ht="15.75">
      <c r="A53" s="365" t="s">
        <v>1307</v>
      </c>
      <c r="B53" s="366" t="s">
        <v>1308</v>
      </c>
      <c r="C53" s="373">
        <v>8671.85</v>
      </c>
      <c r="D53" s="368">
        <v>0</v>
      </c>
      <c r="E53" s="369">
        <v>153.13999999999999</v>
      </c>
      <c r="F53" s="369">
        <v>16.91</v>
      </c>
      <c r="G53" s="369">
        <v>2.27</v>
      </c>
      <c r="H53" s="369">
        <v>105.56</v>
      </c>
      <c r="I53" s="369">
        <v>34.07</v>
      </c>
      <c r="J53" s="369">
        <v>284.5</v>
      </c>
      <c r="K53" s="369">
        <v>91.77</v>
      </c>
      <c r="L53" s="369">
        <v>0</v>
      </c>
      <c r="M53" s="369">
        <v>0</v>
      </c>
      <c r="N53" s="369">
        <v>0</v>
      </c>
      <c r="O53" s="369">
        <v>0</v>
      </c>
      <c r="P53" s="369">
        <v>0</v>
      </c>
      <c r="Q53" s="369">
        <v>0</v>
      </c>
      <c r="R53" s="369">
        <v>0</v>
      </c>
      <c r="S53" s="369">
        <v>0</v>
      </c>
      <c r="T53" s="369">
        <v>0</v>
      </c>
      <c r="U53" s="369">
        <v>0</v>
      </c>
      <c r="V53" s="369">
        <v>0</v>
      </c>
      <c r="W53" s="369">
        <v>0</v>
      </c>
      <c r="X53" s="369">
        <v>0</v>
      </c>
      <c r="Y53" s="369">
        <v>0</v>
      </c>
      <c r="Z53" s="369">
        <v>0</v>
      </c>
      <c r="AA53" s="369">
        <v>0</v>
      </c>
      <c r="AB53" s="369">
        <v>0</v>
      </c>
      <c r="AC53" s="369">
        <v>0</v>
      </c>
      <c r="AD53" s="369">
        <v>0</v>
      </c>
      <c r="AE53" s="369">
        <v>0</v>
      </c>
      <c r="AF53" s="369">
        <v>0</v>
      </c>
      <c r="AG53" s="369">
        <v>0</v>
      </c>
      <c r="AH53" s="369">
        <v>0</v>
      </c>
      <c r="AI53" s="369">
        <v>0</v>
      </c>
      <c r="AJ53" s="369">
        <v>0</v>
      </c>
      <c r="AK53" s="369">
        <v>0</v>
      </c>
      <c r="AL53" s="369">
        <v>0</v>
      </c>
      <c r="AM53" s="369">
        <v>0</v>
      </c>
      <c r="AN53" s="369">
        <v>22.6</v>
      </c>
      <c r="AO53" s="369">
        <v>1659.1</v>
      </c>
      <c r="AP53" s="369">
        <v>1006.24</v>
      </c>
      <c r="AQ53" s="369">
        <v>344.19</v>
      </c>
      <c r="AR53" s="369">
        <v>0</v>
      </c>
      <c r="AS53" s="369">
        <v>107.09</v>
      </c>
      <c r="AT53" s="369">
        <v>49.54</v>
      </c>
      <c r="AU53" s="369">
        <v>1.67</v>
      </c>
      <c r="AV53" s="369">
        <v>12.44</v>
      </c>
      <c r="AW53" s="369">
        <v>15.63</v>
      </c>
      <c r="AX53" s="369">
        <v>1.07</v>
      </c>
      <c r="AY53" s="369">
        <v>0</v>
      </c>
      <c r="AZ53" s="369">
        <v>0</v>
      </c>
      <c r="BA53" s="369">
        <v>0</v>
      </c>
      <c r="BB53" s="369">
        <v>331.5</v>
      </c>
      <c r="BC53" s="369">
        <v>32.159999999999997</v>
      </c>
      <c r="BD53" s="369">
        <v>104.11</v>
      </c>
      <c r="BE53" s="369">
        <v>12.76</v>
      </c>
      <c r="BF53" s="369">
        <v>436.18</v>
      </c>
      <c r="BG53" s="369">
        <v>57.45</v>
      </c>
      <c r="BH53" s="369">
        <v>67.42</v>
      </c>
      <c r="BI53" s="369">
        <v>236.76</v>
      </c>
      <c r="BJ53" s="369">
        <v>1.07</v>
      </c>
      <c r="BK53" s="369">
        <v>3.41</v>
      </c>
      <c r="BL53" s="369">
        <v>69.12</v>
      </c>
      <c r="BM53" s="369">
        <v>6.99</v>
      </c>
      <c r="BN53" s="370">
        <v>369.32</v>
      </c>
      <c r="BO53" s="373">
        <v>5636.04</v>
      </c>
      <c r="BP53" s="374"/>
      <c r="BQ53" s="370">
        <v>719.41</v>
      </c>
      <c r="BR53" s="370">
        <v>2309.35</v>
      </c>
      <c r="BS53" s="370">
        <v>0</v>
      </c>
      <c r="BT53" s="370">
        <v>28.21</v>
      </c>
      <c r="BU53" s="370">
        <v>3.41</v>
      </c>
      <c r="BV53" s="370">
        <v>-24.57</v>
      </c>
    </row>
    <row r="54" spans="1:74" ht="15.75">
      <c r="A54" s="365" t="s">
        <v>1309</v>
      </c>
      <c r="B54" s="366" t="s">
        <v>1310</v>
      </c>
      <c r="C54" s="373">
        <v>24038.65</v>
      </c>
      <c r="D54" s="368">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0</v>
      </c>
      <c r="V54" s="369">
        <v>0</v>
      </c>
      <c r="W54" s="369">
        <v>0</v>
      </c>
      <c r="X54" s="369">
        <v>0</v>
      </c>
      <c r="Y54" s="369">
        <v>0</v>
      </c>
      <c r="Z54" s="369">
        <v>0</v>
      </c>
      <c r="AA54" s="369">
        <v>1394.87</v>
      </c>
      <c r="AB54" s="369">
        <v>0</v>
      </c>
      <c r="AC54" s="369">
        <v>19.940000000000001</v>
      </c>
      <c r="AD54" s="369">
        <v>0</v>
      </c>
      <c r="AE54" s="369">
        <v>0</v>
      </c>
      <c r="AF54" s="369">
        <v>4.6100000000000003</v>
      </c>
      <c r="AG54" s="369">
        <v>0</v>
      </c>
      <c r="AH54" s="369">
        <v>0</v>
      </c>
      <c r="AI54" s="369">
        <v>7.0000000000000007E-2</v>
      </c>
      <c r="AJ54" s="369">
        <v>0</v>
      </c>
      <c r="AK54" s="369">
        <v>0</v>
      </c>
      <c r="AL54" s="369">
        <v>0</v>
      </c>
      <c r="AM54" s="369">
        <v>0</v>
      </c>
      <c r="AN54" s="369">
        <v>0</v>
      </c>
      <c r="AO54" s="369">
        <v>21619.5</v>
      </c>
      <c r="AP54" s="369">
        <v>0</v>
      </c>
      <c r="AQ54" s="369">
        <v>0</v>
      </c>
      <c r="AR54" s="369">
        <v>0</v>
      </c>
      <c r="AS54" s="369">
        <v>0</v>
      </c>
      <c r="AT54" s="369">
        <v>0</v>
      </c>
      <c r="AU54" s="369">
        <v>0</v>
      </c>
      <c r="AV54" s="369">
        <v>0</v>
      </c>
      <c r="AW54" s="369">
        <v>0</v>
      </c>
      <c r="AX54" s="369">
        <v>0</v>
      </c>
      <c r="AY54" s="369">
        <v>10.25</v>
      </c>
      <c r="AZ54" s="369">
        <v>1.03</v>
      </c>
      <c r="BA54" s="369">
        <v>0.51</v>
      </c>
      <c r="BB54" s="369">
        <v>0</v>
      </c>
      <c r="BC54" s="369">
        <v>0</v>
      </c>
      <c r="BD54" s="369">
        <v>0</v>
      </c>
      <c r="BE54" s="369">
        <v>0</v>
      </c>
      <c r="BF54" s="369">
        <v>0</v>
      </c>
      <c r="BG54" s="369">
        <v>0</v>
      </c>
      <c r="BH54" s="369">
        <v>0</v>
      </c>
      <c r="BI54" s="369">
        <v>0</v>
      </c>
      <c r="BJ54" s="369">
        <v>0</v>
      </c>
      <c r="BK54" s="369">
        <v>0</v>
      </c>
      <c r="BL54" s="369">
        <v>0</v>
      </c>
      <c r="BM54" s="369">
        <v>0</v>
      </c>
      <c r="BN54" s="370">
        <v>4</v>
      </c>
      <c r="BO54" s="373">
        <v>23054.78</v>
      </c>
      <c r="BP54" s="374"/>
      <c r="BQ54" s="370">
        <v>376.07</v>
      </c>
      <c r="BR54" s="370">
        <v>696.53</v>
      </c>
      <c r="BS54" s="370">
        <v>0</v>
      </c>
      <c r="BT54" s="370">
        <v>0</v>
      </c>
      <c r="BU54" s="370">
        <v>-0.59</v>
      </c>
      <c r="BV54" s="370">
        <v>-88.15</v>
      </c>
    </row>
    <row r="55" spans="1:74" ht="15.75">
      <c r="A55" s="365" t="s">
        <v>1311</v>
      </c>
      <c r="B55" s="366" t="s">
        <v>1312</v>
      </c>
      <c r="C55" s="373">
        <v>19798.91</v>
      </c>
      <c r="D55" s="368">
        <v>0</v>
      </c>
      <c r="E55" s="369">
        <v>432.18</v>
      </c>
      <c r="F55" s="369">
        <v>47.06</v>
      </c>
      <c r="G55" s="369">
        <v>8.1300000000000008</v>
      </c>
      <c r="H55" s="369">
        <v>43.01</v>
      </c>
      <c r="I55" s="369">
        <v>16.760000000000002</v>
      </c>
      <c r="J55" s="369">
        <v>130.99</v>
      </c>
      <c r="K55" s="369">
        <v>241.96</v>
      </c>
      <c r="L55" s="369">
        <v>0</v>
      </c>
      <c r="M55" s="369">
        <v>0</v>
      </c>
      <c r="N55" s="369">
        <v>0.17</v>
      </c>
      <c r="O55" s="369">
        <v>0</v>
      </c>
      <c r="P55" s="369">
        <v>0</v>
      </c>
      <c r="Q55" s="369">
        <v>0</v>
      </c>
      <c r="R55" s="369">
        <v>57.74</v>
      </c>
      <c r="S55" s="369">
        <v>0</v>
      </c>
      <c r="T55" s="369">
        <v>0</v>
      </c>
      <c r="U55" s="369">
        <v>0</v>
      </c>
      <c r="V55" s="369">
        <v>0</v>
      </c>
      <c r="W55" s="369">
        <v>76.95</v>
      </c>
      <c r="X55" s="369">
        <v>0</v>
      </c>
      <c r="Y55" s="369">
        <v>0</v>
      </c>
      <c r="Z55" s="369">
        <v>0</v>
      </c>
      <c r="AA55" s="369">
        <v>5724.01</v>
      </c>
      <c r="AB55" s="369">
        <v>150.06</v>
      </c>
      <c r="AC55" s="369">
        <v>0</v>
      </c>
      <c r="AD55" s="369">
        <v>15.87</v>
      </c>
      <c r="AE55" s="369">
        <v>64.52</v>
      </c>
      <c r="AF55" s="369">
        <v>0</v>
      </c>
      <c r="AG55" s="369">
        <v>0</v>
      </c>
      <c r="AH55" s="369">
        <v>0</v>
      </c>
      <c r="AI55" s="369">
        <v>0</v>
      </c>
      <c r="AJ55" s="369">
        <v>0</v>
      </c>
      <c r="AK55" s="369">
        <v>0</v>
      </c>
      <c r="AL55" s="369">
        <v>1.39</v>
      </c>
      <c r="AM55" s="369">
        <v>241.36</v>
      </c>
      <c r="AN55" s="369">
        <v>68.319999999999993</v>
      </c>
      <c r="AO55" s="369">
        <v>7489.35</v>
      </c>
      <c r="AP55" s="369">
        <v>0</v>
      </c>
      <c r="AQ55" s="369">
        <v>0</v>
      </c>
      <c r="AR55" s="369">
        <v>0</v>
      </c>
      <c r="AS55" s="369">
        <v>110.71</v>
      </c>
      <c r="AT55" s="369">
        <v>933.04</v>
      </c>
      <c r="AU55" s="369">
        <v>31.48</v>
      </c>
      <c r="AV55" s="369">
        <v>234.3</v>
      </c>
      <c r="AW55" s="369">
        <v>294.37</v>
      </c>
      <c r="AX55" s="369">
        <v>20.100000000000001</v>
      </c>
      <c r="AY55" s="369">
        <v>0</v>
      </c>
      <c r="AZ55" s="369">
        <v>0</v>
      </c>
      <c r="BA55" s="369">
        <v>0</v>
      </c>
      <c r="BB55" s="369">
        <v>0</v>
      </c>
      <c r="BC55" s="369">
        <v>0</v>
      </c>
      <c r="BD55" s="369">
        <v>0</v>
      </c>
      <c r="BE55" s="369">
        <v>0</v>
      </c>
      <c r="BF55" s="369">
        <v>0</v>
      </c>
      <c r="BG55" s="369">
        <v>1323.84</v>
      </c>
      <c r="BH55" s="369">
        <v>67.94</v>
      </c>
      <c r="BI55" s="369">
        <v>238.61</v>
      </c>
      <c r="BJ55" s="369">
        <v>1.07</v>
      </c>
      <c r="BK55" s="369">
        <v>3.44</v>
      </c>
      <c r="BL55" s="369">
        <v>69.66</v>
      </c>
      <c r="BM55" s="369">
        <v>7.05</v>
      </c>
      <c r="BN55" s="370">
        <v>1368.43</v>
      </c>
      <c r="BO55" s="373">
        <v>19513.87</v>
      </c>
      <c r="BP55" s="374"/>
      <c r="BQ55" s="370">
        <v>58.29</v>
      </c>
      <c r="BR55" s="370">
        <v>307.52999999999997</v>
      </c>
      <c r="BS55" s="370">
        <v>0</v>
      </c>
      <c r="BT55" s="370">
        <v>0</v>
      </c>
      <c r="BU55" s="370">
        <v>0.16</v>
      </c>
      <c r="BV55" s="370">
        <v>-80.94</v>
      </c>
    </row>
    <row r="56" spans="1:74" ht="15.75">
      <c r="A56" s="365" t="s">
        <v>1313</v>
      </c>
      <c r="B56" s="366" t="s">
        <v>1314</v>
      </c>
      <c r="C56" s="373">
        <v>31906.3</v>
      </c>
      <c r="D56" s="368">
        <v>0</v>
      </c>
      <c r="E56" s="369">
        <v>0</v>
      </c>
      <c r="F56" s="369">
        <v>0</v>
      </c>
      <c r="G56" s="369">
        <v>0</v>
      </c>
      <c r="H56" s="369">
        <v>0</v>
      </c>
      <c r="I56" s="369">
        <v>0</v>
      </c>
      <c r="J56" s="369">
        <v>0</v>
      </c>
      <c r="K56" s="369">
        <v>0</v>
      </c>
      <c r="L56" s="369">
        <v>0</v>
      </c>
      <c r="M56" s="369">
        <v>0</v>
      </c>
      <c r="N56" s="369">
        <v>0</v>
      </c>
      <c r="O56" s="369">
        <v>0</v>
      </c>
      <c r="P56" s="369">
        <v>0</v>
      </c>
      <c r="Q56" s="369">
        <v>0</v>
      </c>
      <c r="R56" s="369">
        <v>0</v>
      </c>
      <c r="S56" s="369">
        <v>0</v>
      </c>
      <c r="T56" s="369">
        <v>0</v>
      </c>
      <c r="U56" s="369">
        <v>0</v>
      </c>
      <c r="V56" s="369">
        <v>0</v>
      </c>
      <c r="W56" s="369">
        <v>0</v>
      </c>
      <c r="X56" s="369">
        <v>0</v>
      </c>
      <c r="Y56" s="369">
        <v>0</v>
      </c>
      <c r="Z56" s="369">
        <v>0</v>
      </c>
      <c r="AA56" s="369">
        <v>0</v>
      </c>
      <c r="AB56" s="369">
        <v>0</v>
      </c>
      <c r="AC56" s="369">
        <v>0</v>
      </c>
      <c r="AD56" s="369">
        <v>0</v>
      </c>
      <c r="AE56" s="369">
        <v>0</v>
      </c>
      <c r="AF56" s="369">
        <v>0</v>
      </c>
      <c r="AG56" s="369">
        <v>0</v>
      </c>
      <c r="AH56" s="369">
        <v>0</v>
      </c>
      <c r="AI56" s="369">
        <v>0</v>
      </c>
      <c r="AJ56" s="369">
        <v>0</v>
      </c>
      <c r="AK56" s="369">
        <v>0</v>
      </c>
      <c r="AL56" s="369">
        <v>0</v>
      </c>
      <c r="AM56" s="369">
        <v>0</v>
      </c>
      <c r="AN56" s="369">
        <v>0</v>
      </c>
      <c r="AO56" s="369">
        <v>27636.28</v>
      </c>
      <c r="AP56" s="369">
        <v>0</v>
      </c>
      <c r="AQ56" s="369">
        <v>0</v>
      </c>
      <c r="AR56" s="369">
        <v>0</v>
      </c>
      <c r="AS56" s="369">
        <v>0</v>
      </c>
      <c r="AT56" s="369">
        <v>0</v>
      </c>
      <c r="AU56" s="369">
        <v>0</v>
      </c>
      <c r="AV56" s="369">
        <v>0</v>
      </c>
      <c r="AW56" s="369">
        <v>0</v>
      </c>
      <c r="AX56" s="369">
        <v>0</v>
      </c>
      <c r="AY56" s="369">
        <v>0</v>
      </c>
      <c r="AZ56" s="369">
        <v>0</v>
      </c>
      <c r="BA56" s="369">
        <v>0</v>
      </c>
      <c r="BB56" s="369">
        <v>0</v>
      </c>
      <c r="BC56" s="369">
        <v>0</v>
      </c>
      <c r="BD56" s="369">
        <v>0</v>
      </c>
      <c r="BE56" s="369">
        <v>0</v>
      </c>
      <c r="BF56" s="369">
        <v>0</v>
      </c>
      <c r="BG56" s="369">
        <v>0</v>
      </c>
      <c r="BH56" s="369">
        <v>0</v>
      </c>
      <c r="BI56" s="369">
        <v>0</v>
      </c>
      <c r="BJ56" s="369">
        <v>0</v>
      </c>
      <c r="BK56" s="369">
        <v>0</v>
      </c>
      <c r="BL56" s="369">
        <v>0</v>
      </c>
      <c r="BM56" s="369">
        <v>0</v>
      </c>
      <c r="BN56" s="370">
        <v>3570.28</v>
      </c>
      <c r="BO56" s="373">
        <v>31206.560000000001</v>
      </c>
      <c r="BP56" s="374"/>
      <c r="BQ56" s="370">
        <v>793.58</v>
      </c>
      <c r="BR56" s="370">
        <v>0</v>
      </c>
      <c r="BS56" s="370">
        <v>0</v>
      </c>
      <c r="BT56" s="370">
        <v>0</v>
      </c>
      <c r="BU56" s="370">
        <v>17.25</v>
      </c>
      <c r="BV56" s="370">
        <v>-111.09</v>
      </c>
    </row>
    <row r="57" spans="1:74" ht="15.75">
      <c r="A57" s="365" t="s">
        <v>1315</v>
      </c>
      <c r="B57" s="366" t="s">
        <v>1316</v>
      </c>
      <c r="C57" s="373">
        <v>15555.49</v>
      </c>
      <c r="D57" s="368">
        <v>0</v>
      </c>
      <c r="E57" s="369">
        <v>137.53</v>
      </c>
      <c r="F57" s="369">
        <v>14.64</v>
      </c>
      <c r="G57" s="369">
        <v>1.61</v>
      </c>
      <c r="H57" s="369">
        <v>18.25</v>
      </c>
      <c r="I57" s="369">
        <v>25.34</v>
      </c>
      <c r="J57" s="369">
        <v>207.98</v>
      </c>
      <c r="K57" s="369">
        <v>56.19</v>
      </c>
      <c r="L57" s="369">
        <v>0</v>
      </c>
      <c r="M57" s="369">
        <v>0</v>
      </c>
      <c r="N57" s="369">
        <v>0</v>
      </c>
      <c r="O57" s="369">
        <v>0</v>
      </c>
      <c r="P57" s="369">
        <v>0</v>
      </c>
      <c r="Q57" s="369">
        <v>0</v>
      </c>
      <c r="R57" s="369">
        <v>13.7</v>
      </c>
      <c r="S57" s="369">
        <v>46.09</v>
      </c>
      <c r="T57" s="369">
        <v>1.69</v>
      </c>
      <c r="U57" s="369">
        <v>102.58</v>
      </c>
      <c r="V57" s="369">
        <v>0</v>
      </c>
      <c r="W57" s="369">
        <v>117.88</v>
      </c>
      <c r="X57" s="369">
        <v>0</v>
      </c>
      <c r="Y57" s="369">
        <v>20.96</v>
      </c>
      <c r="Z57" s="369">
        <v>0</v>
      </c>
      <c r="AA57" s="369">
        <v>131.47999999999999</v>
      </c>
      <c r="AB57" s="369">
        <v>152.81</v>
      </c>
      <c r="AC57" s="369">
        <v>1.4</v>
      </c>
      <c r="AD57" s="369">
        <v>97.43</v>
      </c>
      <c r="AE57" s="369">
        <v>44.03</v>
      </c>
      <c r="AF57" s="369">
        <v>51.91</v>
      </c>
      <c r="AG57" s="369">
        <v>0</v>
      </c>
      <c r="AH57" s="369">
        <v>0</v>
      </c>
      <c r="AI57" s="369">
        <v>1447.08</v>
      </c>
      <c r="AJ57" s="369">
        <v>1.24</v>
      </c>
      <c r="AK57" s="369">
        <v>30.93</v>
      </c>
      <c r="AL57" s="369">
        <v>370.69</v>
      </c>
      <c r="AM57" s="369">
        <v>0</v>
      </c>
      <c r="AN57" s="369">
        <v>0</v>
      </c>
      <c r="AO57" s="369">
        <v>8634.08</v>
      </c>
      <c r="AP57" s="369">
        <v>34.950000000000003</v>
      </c>
      <c r="AQ57" s="369">
        <v>11.95</v>
      </c>
      <c r="AR57" s="369">
        <v>0</v>
      </c>
      <c r="AS57" s="369">
        <v>0</v>
      </c>
      <c r="AT57" s="369">
        <v>210.27</v>
      </c>
      <c r="AU57" s="369">
        <v>7.1</v>
      </c>
      <c r="AV57" s="369">
        <v>52.8</v>
      </c>
      <c r="AW57" s="369">
        <v>66.34</v>
      </c>
      <c r="AX57" s="369">
        <v>4.53</v>
      </c>
      <c r="AY57" s="369">
        <v>0</v>
      </c>
      <c r="AZ57" s="369">
        <v>0</v>
      </c>
      <c r="BA57" s="369">
        <v>0</v>
      </c>
      <c r="BB57" s="369">
        <v>0</v>
      </c>
      <c r="BC57" s="369">
        <v>0</v>
      </c>
      <c r="BD57" s="369">
        <v>0</v>
      </c>
      <c r="BE57" s="369">
        <v>0</v>
      </c>
      <c r="BF57" s="369">
        <v>0</v>
      </c>
      <c r="BG57" s="369">
        <v>715.04</v>
      </c>
      <c r="BH57" s="369">
        <v>0</v>
      </c>
      <c r="BI57" s="369">
        <v>0</v>
      </c>
      <c r="BJ57" s="369">
        <v>0</v>
      </c>
      <c r="BK57" s="369">
        <v>0</v>
      </c>
      <c r="BL57" s="369">
        <v>0</v>
      </c>
      <c r="BM57" s="369">
        <v>0</v>
      </c>
      <c r="BN57" s="370">
        <v>1505.54</v>
      </c>
      <c r="BO57" s="373">
        <v>14336.03</v>
      </c>
      <c r="BP57" s="374"/>
      <c r="BQ57" s="370">
        <v>683.88</v>
      </c>
      <c r="BR57" s="370">
        <v>576</v>
      </c>
      <c r="BS57" s="370">
        <v>0</v>
      </c>
      <c r="BT57" s="370">
        <v>0</v>
      </c>
      <c r="BU57" s="370">
        <v>-1.9</v>
      </c>
      <c r="BV57" s="370">
        <v>-38.520000000000003</v>
      </c>
    </row>
    <row r="58" spans="1:74" ht="15.75">
      <c r="A58" s="365" t="s">
        <v>1317</v>
      </c>
      <c r="B58" s="366" t="s">
        <v>1115</v>
      </c>
      <c r="C58" s="373">
        <v>43137.03</v>
      </c>
      <c r="D58" s="368">
        <v>0</v>
      </c>
      <c r="E58" s="369">
        <v>0</v>
      </c>
      <c r="F58" s="369">
        <v>0</v>
      </c>
      <c r="G58" s="369">
        <v>0</v>
      </c>
      <c r="H58" s="369">
        <v>6.04</v>
      </c>
      <c r="I58" s="369">
        <v>5.62</v>
      </c>
      <c r="J58" s="369">
        <v>48.87</v>
      </c>
      <c r="K58" s="369">
        <v>11.92</v>
      </c>
      <c r="L58" s="369">
        <v>0</v>
      </c>
      <c r="M58" s="369">
        <v>0</v>
      </c>
      <c r="N58" s="369">
        <v>0</v>
      </c>
      <c r="O58" s="369">
        <v>0</v>
      </c>
      <c r="P58" s="369">
        <v>0</v>
      </c>
      <c r="Q58" s="369">
        <v>0</v>
      </c>
      <c r="R58" s="369">
        <v>0</v>
      </c>
      <c r="S58" s="369">
        <v>3.66</v>
      </c>
      <c r="T58" s="369">
        <v>0</v>
      </c>
      <c r="U58" s="369">
        <v>0</v>
      </c>
      <c r="V58" s="369">
        <v>0</v>
      </c>
      <c r="W58" s="369">
        <v>0</v>
      </c>
      <c r="X58" s="369">
        <v>0</v>
      </c>
      <c r="Y58" s="369">
        <v>0</v>
      </c>
      <c r="Z58" s="369">
        <v>0</v>
      </c>
      <c r="AA58" s="369">
        <v>0</v>
      </c>
      <c r="AB58" s="369">
        <v>8.35</v>
      </c>
      <c r="AC58" s="369">
        <v>0</v>
      </c>
      <c r="AD58" s="369">
        <v>0</v>
      </c>
      <c r="AE58" s="369">
        <v>0</v>
      </c>
      <c r="AF58" s="369">
        <v>0</v>
      </c>
      <c r="AG58" s="369">
        <v>0</v>
      </c>
      <c r="AH58" s="369">
        <v>0</v>
      </c>
      <c r="AI58" s="369">
        <v>0</v>
      </c>
      <c r="AJ58" s="369">
        <v>0</v>
      </c>
      <c r="AK58" s="369">
        <v>390.56</v>
      </c>
      <c r="AL58" s="369">
        <v>7.0000000000000007E-2</v>
      </c>
      <c r="AM58" s="369">
        <v>0</v>
      </c>
      <c r="AN58" s="369">
        <v>19.88</v>
      </c>
      <c r="AO58" s="369">
        <v>442.56</v>
      </c>
      <c r="AP58" s="369">
        <v>1728.26</v>
      </c>
      <c r="AQ58" s="369">
        <v>590.83000000000004</v>
      </c>
      <c r="AR58" s="369">
        <v>0</v>
      </c>
      <c r="AS58" s="369">
        <v>34.54</v>
      </c>
      <c r="AT58" s="369">
        <v>131.15</v>
      </c>
      <c r="AU58" s="369">
        <v>4.43</v>
      </c>
      <c r="AV58" s="369">
        <v>32.93</v>
      </c>
      <c r="AW58" s="369">
        <v>41.38</v>
      </c>
      <c r="AX58" s="369">
        <v>2.83</v>
      </c>
      <c r="AY58" s="369">
        <v>129.46</v>
      </c>
      <c r="AZ58" s="369">
        <v>13.06</v>
      </c>
      <c r="BA58" s="369">
        <v>6.47</v>
      </c>
      <c r="BB58" s="369">
        <v>1026.4000000000001</v>
      </c>
      <c r="BC58" s="369">
        <v>99.58</v>
      </c>
      <c r="BD58" s="369">
        <v>322.33999999999997</v>
      </c>
      <c r="BE58" s="369">
        <v>39.49</v>
      </c>
      <c r="BF58" s="369">
        <v>1350.5</v>
      </c>
      <c r="BG58" s="369">
        <v>342.21</v>
      </c>
      <c r="BH58" s="369">
        <v>285.70999999999998</v>
      </c>
      <c r="BI58" s="369">
        <v>1003.37</v>
      </c>
      <c r="BJ58" s="369">
        <v>4.5199999999999996</v>
      </c>
      <c r="BK58" s="369">
        <v>14.45</v>
      </c>
      <c r="BL58" s="369">
        <v>292.93</v>
      </c>
      <c r="BM58" s="369">
        <v>29.63</v>
      </c>
      <c r="BN58" s="370">
        <v>420.15</v>
      </c>
      <c r="BO58" s="373">
        <v>8884.15</v>
      </c>
      <c r="BP58" s="374"/>
      <c r="BQ58" s="370">
        <v>5408.19</v>
      </c>
      <c r="BR58" s="370">
        <v>7338.27</v>
      </c>
      <c r="BS58" s="370">
        <v>0</v>
      </c>
      <c r="BT58" s="370">
        <v>25548.7</v>
      </c>
      <c r="BU58" s="370">
        <v>-3858.27</v>
      </c>
      <c r="BV58" s="370">
        <v>-184.01</v>
      </c>
    </row>
    <row r="59" spans="1:74" ht="15.75">
      <c r="A59" s="365" t="s">
        <v>1318</v>
      </c>
      <c r="B59" s="366" t="s">
        <v>1319</v>
      </c>
      <c r="C59" s="373">
        <v>22147.93</v>
      </c>
      <c r="D59" s="368">
        <v>0</v>
      </c>
      <c r="E59" s="369">
        <v>0</v>
      </c>
      <c r="F59" s="369">
        <v>0</v>
      </c>
      <c r="G59" s="369">
        <v>0</v>
      </c>
      <c r="H59" s="369">
        <v>0</v>
      </c>
      <c r="I59" s="369">
        <v>0</v>
      </c>
      <c r="J59" s="369">
        <v>0</v>
      </c>
      <c r="K59" s="369">
        <v>0</v>
      </c>
      <c r="L59" s="369">
        <v>0</v>
      </c>
      <c r="M59" s="369">
        <v>0</v>
      </c>
      <c r="N59" s="369">
        <v>0</v>
      </c>
      <c r="O59" s="369">
        <v>0</v>
      </c>
      <c r="P59" s="369">
        <v>0</v>
      </c>
      <c r="Q59" s="369">
        <v>0</v>
      </c>
      <c r="R59" s="369">
        <v>0</v>
      </c>
      <c r="S59" s="369">
        <v>0</v>
      </c>
      <c r="T59" s="369">
        <v>0</v>
      </c>
      <c r="U59" s="369">
        <v>0</v>
      </c>
      <c r="V59" s="369">
        <v>0</v>
      </c>
      <c r="W59" s="369">
        <v>0</v>
      </c>
      <c r="X59" s="369">
        <v>0</v>
      </c>
      <c r="Y59" s="369">
        <v>0</v>
      </c>
      <c r="Z59" s="369">
        <v>0</v>
      </c>
      <c r="AA59" s="369">
        <v>0</v>
      </c>
      <c r="AB59" s="369">
        <v>0</v>
      </c>
      <c r="AC59" s="369">
        <v>0</v>
      </c>
      <c r="AD59" s="369">
        <v>0</v>
      </c>
      <c r="AE59" s="369">
        <v>0</v>
      </c>
      <c r="AF59" s="369">
        <v>0</v>
      </c>
      <c r="AG59" s="369">
        <v>0</v>
      </c>
      <c r="AH59" s="369">
        <v>0</v>
      </c>
      <c r="AI59" s="369">
        <v>0</v>
      </c>
      <c r="AJ59" s="369">
        <v>0</v>
      </c>
      <c r="AK59" s="369">
        <v>0</v>
      </c>
      <c r="AL59" s="369">
        <v>2157.54</v>
      </c>
      <c r="AM59" s="369">
        <v>0</v>
      </c>
      <c r="AN59" s="369">
        <v>0</v>
      </c>
      <c r="AO59" s="369">
        <v>0</v>
      </c>
      <c r="AP59" s="369">
        <v>0</v>
      </c>
      <c r="AQ59" s="369">
        <v>0</v>
      </c>
      <c r="AR59" s="369">
        <v>0</v>
      </c>
      <c r="AS59" s="369">
        <v>0</v>
      </c>
      <c r="AT59" s="369">
        <v>0</v>
      </c>
      <c r="AU59" s="369">
        <v>0</v>
      </c>
      <c r="AV59" s="369">
        <v>0</v>
      </c>
      <c r="AW59" s="369">
        <v>0</v>
      </c>
      <c r="AX59" s="369">
        <v>0</v>
      </c>
      <c r="AY59" s="369">
        <v>0</v>
      </c>
      <c r="AZ59" s="369">
        <v>0</v>
      </c>
      <c r="BA59" s="369">
        <v>0</v>
      </c>
      <c r="BB59" s="369">
        <v>0</v>
      </c>
      <c r="BC59" s="369">
        <v>0</v>
      </c>
      <c r="BD59" s="369">
        <v>0</v>
      </c>
      <c r="BE59" s="369">
        <v>0</v>
      </c>
      <c r="BF59" s="369">
        <v>0</v>
      </c>
      <c r="BG59" s="369">
        <v>4224.3599999999997</v>
      </c>
      <c r="BH59" s="369">
        <v>0</v>
      </c>
      <c r="BI59" s="369">
        <v>0</v>
      </c>
      <c r="BJ59" s="369">
        <v>0</v>
      </c>
      <c r="BK59" s="369">
        <v>0</v>
      </c>
      <c r="BL59" s="369">
        <v>0</v>
      </c>
      <c r="BM59" s="369">
        <v>0</v>
      </c>
      <c r="BN59" s="370">
        <v>870.75</v>
      </c>
      <c r="BO59" s="373">
        <v>7252.65</v>
      </c>
      <c r="BP59" s="374"/>
      <c r="BQ59" s="370">
        <v>9039.58</v>
      </c>
      <c r="BR59" s="370">
        <v>5946.77</v>
      </c>
      <c r="BS59" s="370">
        <v>0</v>
      </c>
      <c r="BT59" s="370">
        <v>0</v>
      </c>
      <c r="BU59" s="370">
        <v>-0.56999999999999995</v>
      </c>
      <c r="BV59" s="370">
        <v>-90.51</v>
      </c>
    </row>
    <row r="60" spans="1:74" ht="15.75">
      <c r="A60" s="365" t="s">
        <v>1320</v>
      </c>
      <c r="B60" s="366" t="s">
        <v>1321</v>
      </c>
      <c r="C60" s="373">
        <v>24474.55</v>
      </c>
      <c r="D60" s="368">
        <v>0</v>
      </c>
      <c r="E60" s="369">
        <v>0</v>
      </c>
      <c r="F60" s="369">
        <v>0</v>
      </c>
      <c r="G60" s="369">
        <v>0</v>
      </c>
      <c r="H60" s="369">
        <v>7.99</v>
      </c>
      <c r="I60" s="369">
        <v>2.35</v>
      </c>
      <c r="J60" s="369">
        <v>19.010000000000002</v>
      </c>
      <c r="K60" s="369">
        <v>6.87</v>
      </c>
      <c r="L60" s="369">
        <v>9.1999999999999993</v>
      </c>
      <c r="M60" s="369">
        <v>1.98</v>
      </c>
      <c r="N60" s="369">
        <v>1.42</v>
      </c>
      <c r="O60" s="369">
        <v>2.54</v>
      </c>
      <c r="P60" s="369">
        <v>0.18</v>
      </c>
      <c r="Q60" s="369">
        <v>0.53</v>
      </c>
      <c r="R60" s="369">
        <v>1.17</v>
      </c>
      <c r="S60" s="369">
        <v>10.91</v>
      </c>
      <c r="T60" s="369">
        <v>148.79</v>
      </c>
      <c r="U60" s="369">
        <v>0.33</v>
      </c>
      <c r="V60" s="369">
        <v>4.09</v>
      </c>
      <c r="W60" s="369">
        <v>10.73</v>
      </c>
      <c r="X60" s="369">
        <v>0.51</v>
      </c>
      <c r="Y60" s="369">
        <v>1.73</v>
      </c>
      <c r="Z60" s="369">
        <v>0.37</v>
      </c>
      <c r="AA60" s="369">
        <v>0.71</v>
      </c>
      <c r="AB60" s="369">
        <v>2.58</v>
      </c>
      <c r="AC60" s="369">
        <v>0.36</v>
      </c>
      <c r="AD60" s="369">
        <v>3.31</v>
      </c>
      <c r="AE60" s="369">
        <v>3.33</v>
      </c>
      <c r="AF60" s="369">
        <v>1.53</v>
      </c>
      <c r="AG60" s="369">
        <v>0.45</v>
      </c>
      <c r="AH60" s="369">
        <v>0.9</v>
      </c>
      <c r="AI60" s="369">
        <v>3.3</v>
      </c>
      <c r="AJ60" s="369">
        <v>0.56000000000000005</v>
      </c>
      <c r="AK60" s="369">
        <v>1.08</v>
      </c>
      <c r="AL60" s="369">
        <v>0.61</v>
      </c>
      <c r="AM60" s="369">
        <v>13.3</v>
      </c>
      <c r="AN60" s="369">
        <v>1.34</v>
      </c>
      <c r="AO60" s="369">
        <v>15.7</v>
      </c>
      <c r="AP60" s="369">
        <v>414.75</v>
      </c>
      <c r="AQ60" s="369">
        <v>175.39</v>
      </c>
      <c r="AR60" s="369">
        <v>23.16</v>
      </c>
      <c r="AS60" s="369">
        <v>13.7</v>
      </c>
      <c r="AT60" s="369">
        <v>356.21</v>
      </c>
      <c r="AU60" s="369">
        <v>11.31</v>
      </c>
      <c r="AV60" s="369">
        <v>84.94</v>
      </c>
      <c r="AW60" s="369">
        <v>111.38</v>
      </c>
      <c r="AX60" s="369">
        <v>13.74</v>
      </c>
      <c r="AY60" s="369">
        <v>307.39999999999998</v>
      </c>
      <c r="AZ60" s="369">
        <v>31</v>
      </c>
      <c r="BA60" s="369">
        <v>15.37</v>
      </c>
      <c r="BB60" s="369">
        <v>1148.92</v>
      </c>
      <c r="BC60" s="369">
        <v>112.39</v>
      </c>
      <c r="BD60" s="369">
        <v>359.05</v>
      </c>
      <c r="BE60" s="369">
        <v>45.25</v>
      </c>
      <c r="BF60" s="369">
        <v>1538.13</v>
      </c>
      <c r="BG60" s="369">
        <v>273.32</v>
      </c>
      <c r="BH60" s="369">
        <v>153.74</v>
      </c>
      <c r="BI60" s="369">
        <v>476.14</v>
      </c>
      <c r="BJ60" s="369">
        <v>2.2599999999999998</v>
      </c>
      <c r="BK60" s="369">
        <v>8.1300000000000008</v>
      </c>
      <c r="BL60" s="369">
        <v>135.31</v>
      </c>
      <c r="BM60" s="369">
        <v>14.05</v>
      </c>
      <c r="BN60" s="370">
        <v>304.62</v>
      </c>
      <c r="BO60" s="373">
        <v>6409.41</v>
      </c>
      <c r="BP60" s="374"/>
      <c r="BQ60" s="370">
        <v>4448.6400000000003</v>
      </c>
      <c r="BR60" s="370">
        <v>13379.93</v>
      </c>
      <c r="BS60" s="370">
        <v>0</v>
      </c>
      <c r="BT60" s="370">
        <v>1683.6</v>
      </c>
      <c r="BU60" s="370">
        <v>-1386.36</v>
      </c>
      <c r="BV60" s="370">
        <v>-60.66</v>
      </c>
    </row>
    <row r="61" spans="1:74" ht="15.75">
      <c r="A61" s="365" t="s">
        <v>1322</v>
      </c>
      <c r="B61" s="366" t="s">
        <v>1323</v>
      </c>
      <c r="C61" s="373">
        <v>32196.73</v>
      </c>
      <c r="D61" s="368">
        <v>0</v>
      </c>
      <c r="E61" s="369">
        <v>0</v>
      </c>
      <c r="F61" s="369">
        <v>0</v>
      </c>
      <c r="G61" s="369">
        <v>0</v>
      </c>
      <c r="H61" s="369">
        <v>0</v>
      </c>
      <c r="I61" s="369">
        <v>0</v>
      </c>
      <c r="J61" s="369">
        <v>0</v>
      </c>
      <c r="K61" s="369">
        <v>0</v>
      </c>
      <c r="L61" s="369">
        <v>0</v>
      </c>
      <c r="M61" s="369">
        <v>0</v>
      </c>
      <c r="N61" s="369">
        <v>0</v>
      </c>
      <c r="O61" s="369">
        <v>0</v>
      </c>
      <c r="P61" s="369">
        <v>0</v>
      </c>
      <c r="Q61" s="369">
        <v>0</v>
      </c>
      <c r="R61" s="369">
        <v>80.540000000000006</v>
      </c>
      <c r="S61" s="369">
        <v>0</v>
      </c>
      <c r="T61" s="369">
        <v>0</v>
      </c>
      <c r="U61" s="369">
        <v>0</v>
      </c>
      <c r="V61" s="369">
        <v>33.33</v>
      </c>
      <c r="W61" s="369">
        <v>0</v>
      </c>
      <c r="X61" s="369">
        <v>0</v>
      </c>
      <c r="Y61" s="369">
        <v>0</v>
      </c>
      <c r="Z61" s="369">
        <v>0</v>
      </c>
      <c r="AA61" s="369">
        <v>12.86</v>
      </c>
      <c r="AB61" s="369">
        <v>9553.7099999999991</v>
      </c>
      <c r="AC61" s="369">
        <v>831.38</v>
      </c>
      <c r="AD61" s="369">
        <v>1239.8699999999999</v>
      </c>
      <c r="AE61" s="369">
        <v>262.37</v>
      </c>
      <c r="AF61" s="369">
        <v>114.76</v>
      </c>
      <c r="AG61" s="369">
        <v>0</v>
      </c>
      <c r="AH61" s="369">
        <v>0</v>
      </c>
      <c r="AI61" s="369">
        <v>2.96</v>
      </c>
      <c r="AJ61" s="369">
        <v>43.9</v>
      </c>
      <c r="AK61" s="369">
        <v>26.01</v>
      </c>
      <c r="AL61" s="369">
        <v>11540.74</v>
      </c>
      <c r="AM61" s="369">
        <v>0</v>
      </c>
      <c r="AN61" s="369">
        <v>0</v>
      </c>
      <c r="AO61" s="369">
        <v>0</v>
      </c>
      <c r="AP61" s="369">
        <v>0</v>
      </c>
      <c r="AQ61" s="369">
        <v>0</v>
      </c>
      <c r="AR61" s="369">
        <v>0</v>
      </c>
      <c r="AS61" s="369">
        <v>0</v>
      </c>
      <c r="AT61" s="369">
        <v>0</v>
      </c>
      <c r="AU61" s="369">
        <v>0</v>
      </c>
      <c r="AV61" s="369">
        <v>0</v>
      </c>
      <c r="AW61" s="369">
        <v>0</v>
      </c>
      <c r="AX61" s="369">
        <v>0</v>
      </c>
      <c r="AY61" s="369">
        <v>0</v>
      </c>
      <c r="AZ61" s="369">
        <v>0</v>
      </c>
      <c r="BA61" s="369">
        <v>0</v>
      </c>
      <c r="BB61" s="369">
        <v>0</v>
      </c>
      <c r="BC61" s="369">
        <v>0</v>
      </c>
      <c r="BD61" s="369">
        <v>0</v>
      </c>
      <c r="BE61" s="369">
        <v>0</v>
      </c>
      <c r="BF61" s="369">
        <v>0</v>
      </c>
      <c r="BG61" s="369">
        <v>0</v>
      </c>
      <c r="BH61" s="369">
        <v>0</v>
      </c>
      <c r="BI61" s="369">
        <v>0</v>
      </c>
      <c r="BJ61" s="369">
        <v>0</v>
      </c>
      <c r="BK61" s="369">
        <v>0</v>
      </c>
      <c r="BL61" s="369">
        <v>0</v>
      </c>
      <c r="BM61" s="369">
        <v>0</v>
      </c>
      <c r="BN61" s="370">
        <v>18.420000000000002</v>
      </c>
      <c r="BO61" s="373">
        <v>23760.86</v>
      </c>
      <c r="BP61" s="374"/>
      <c r="BQ61" s="370">
        <v>8199.26</v>
      </c>
      <c r="BR61" s="370">
        <v>340.21</v>
      </c>
      <c r="BS61" s="370">
        <v>0</v>
      </c>
      <c r="BT61" s="370">
        <v>0</v>
      </c>
      <c r="BU61" s="370">
        <v>-0.49</v>
      </c>
      <c r="BV61" s="370">
        <v>-103.12</v>
      </c>
    </row>
    <row r="62" spans="1:74" ht="15.75">
      <c r="A62" s="365" t="s">
        <v>1324</v>
      </c>
      <c r="B62" s="366" t="s">
        <v>1325</v>
      </c>
      <c r="C62" s="367" t="s">
        <v>1215</v>
      </c>
      <c r="D62" s="368">
        <v>0</v>
      </c>
      <c r="E62" s="369">
        <v>200.86</v>
      </c>
      <c r="F62" s="369">
        <v>19.88</v>
      </c>
      <c r="G62" s="369">
        <v>0</v>
      </c>
      <c r="H62" s="369">
        <v>134.69</v>
      </c>
      <c r="I62" s="369">
        <v>158.63</v>
      </c>
      <c r="J62" s="369">
        <v>1276.43</v>
      </c>
      <c r="K62" s="369">
        <v>405.04</v>
      </c>
      <c r="L62" s="369">
        <v>0</v>
      </c>
      <c r="M62" s="369">
        <v>0</v>
      </c>
      <c r="N62" s="369">
        <v>181.12</v>
      </c>
      <c r="O62" s="369">
        <v>3.18</v>
      </c>
      <c r="P62" s="369">
        <v>2.99</v>
      </c>
      <c r="Q62" s="369">
        <v>26.23</v>
      </c>
      <c r="R62" s="369">
        <v>499.46</v>
      </c>
      <c r="S62" s="369">
        <v>0</v>
      </c>
      <c r="T62" s="369">
        <v>3.03</v>
      </c>
      <c r="U62" s="369">
        <v>123.54</v>
      </c>
      <c r="V62" s="369">
        <v>208.09</v>
      </c>
      <c r="W62" s="369">
        <v>217.35</v>
      </c>
      <c r="X62" s="369">
        <v>443.69</v>
      </c>
      <c r="Y62" s="369">
        <v>141.33000000000001</v>
      </c>
      <c r="Z62" s="369">
        <v>0</v>
      </c>
      <c r="AA62" s="369">
        <v>155.04</v>
      </c>
      <c r="AB62" s="369">
        <v>24997.360000000001</v>
      </c>
      <c r="AC62" s="369">
        <v>1950.45</v>
      </c>
      <c r="AD62" s="369">
        <v>31743.93</v>
      </c>
      <c r="AE62" s="369">
        <v>19637.77</v>
      </c>
      <c r="AF62" s="369">
        <v>5328.36</v>
      </c>
      <c r="AG62" s="369">
        <v>445.14</v>
      </c>
      <c r="AH62" s="369">
        <v>153.04</v>
      </c>
      <c r="AI62" s="369">
        <v>19677.54</v>
      </c>
      <c r="AJ62" s="369">
        <v>1735.94</v>
      </c>
      <c r="AK62" s="369">
        <v>630.27</v>
      </c>
      <c r="AL62" s="369">
        <v>151.68</v>
      </c>
      <c r="AM62" s="369">
        <v>1352.82</v>
      </c>
      <c r="AN62" s="369">
        <v>208.3</v>
      </c>
      <c r="AO62" s="369">
        <v>20416.5</v>
      </c>
      <c r="AP62" s="369">
        <v>0</v>
      </c>
      <c r="AQ62" s="369">
        <v>0</v>
      </c>
      <c r="AR62" s="369">
        <v>0</v>
      </c>
      <c r="AS62" s="369">
        <v>0</v>
      </c>
      <c r="AT62" s="369">
        <v>941.13</v>
      </c>
      <c r="AU62" s="369">
        <v>31.76</v>
      </c>
      <c r="AV62" s="369">
        <v>236.33</v>
      </c>
      <c r="AW62" s="369">
        <v>296.92</v>
      </c>
      <c r="AX62" s="369">
        <v>20.28</v>
      </c>
      <c r="AY62" s="369">
        <v>0</v>
      </c>
      <c r="AZ62" s="369">
        <v>0</v>
      </c>
      <c r="BA62" s="369">
        <v>0</v>
      </c>
      <c r="BB62" s="369">
        <v>0</v>
      </c>
      <c r="BC62" s="369">
        <v>0</v>
      </c>
      <c r="BD62" s="369">
        <v>0</v>
      </c>
      <c r="BE62" s="369">
        <v>0</v>
      </c>
      <c r="BF62" s="369">
        <v>0</v>
      </c>
      <c r="BG62" s="369">
        <v>371.2</v>
      </c>
      <c r="BH62" s="369">
        <v>15.72</v>
      </c>
      <c r="BI62" s="369">
        <v>55.2</v>
      </c>
      <c r="BJ62" s="369">
        <v>0.25</v>
      </c>
      <c r="BK62" s="369">
        <v>0.8</v>
      </c>
      <c r="BL62" s="369">
        <v>16.12</v>
      </c>
      <c r="BM62" s="369">
        <v>1.63</v>
      </c>
      <c r="BN62" s="370">
        <v>1912.56</v>
      </c>
      <c r="BO62" s="367" t="s">
        <v>1215</v>
      </c>
      <c r="BP62" s="374"/>
      <c r="BQ62" s="383" t="s">
        <v>1215</v>
      </c>
      <c r="BR62" s="370">
        <v>0</v>
      </c>
      <c r="BS62" s="370">
        <v>0</v>
      </c>
      <c r="BT62" s="370">
        <v>0</v>
      </c>
      <c r="BU62" s="370">
        <v>-12.48</v>
      </c>
      <c r="BV62" s="370">
        <v>-619.42999999999995</v>
      </c>
    </row>
    <row r="63" spans="1:74" ht="15.75">
      <c r="A63" s="365" t="s">
        <v>1326</v>
      </c>
      <c r="B63" s="366" t="s">
        <v>1327</v>
      </c>
      <c r="C63" s="367" t="s">
        <v>1215</v>
      </c>
      <c r="D63" s="368">
        <v>0</v>
      </c>
      <c r="E63" s="369">
        <v>62.14</v>
      </c>
      <c r="F63" s="369">
        <v>6.01</v>
      </c>
      <c r="G63" s="369">
        <v>0</v>
      </c>
      <c r="H63" s="369">
        <v>44.94</v>
      </c>
      <c r="I63" s="369">
        <v>54.53</v>
      </c>
      <c r="J63" s="369">
        <v>434.02</v>
      </c>
      <c r="K63" s="369">
        <v>179.83</v>
      </c>
      <c r="L63" s="369">
        <v>2.96</v>
      </c>
      <c r="M63" s="369">
        <v>0</v>
      </c>
      <c r="N63" s="369">
        <v>117.14</v>
      </c>
      <c r="O63" s="369">
        <v>0</v>
      </c>
      <c r="P63" s="369">
        <v>0</v>
      </c>
      <c r="Q63" s="369">
        <v>0</v>
      </c>
      <c r="R63" s="369">
        <v>194.45</v>
      </c>
      <c r="S63" s="369">
        <v>152.78</v>
      </c>
      <c r="T63" s="369">
        <v>230.18</v>
      </c>
      <c r="U63" s="369">
        <v>335.86</v>
      </c>
      <c r="V63" s="369">
        <v>18.25</v>
      </c>
      <c r="W63" s="369">
        <v>259.61</v>
      </c>
      <c r="X63" s="369">
        <v>0</v>
      </c>
      <c r="Y63" s="369">
        <v>45.69</v>
      </c>
      <c r="Z63" s="369">
        <v>0.74</v>
      </c>
      <c r="AA63" s="369">
        <v>108.26</v>
      </c>
      <c r="AB63" s="369">
        <v>22271.37</v>
      </c>
      <c r="AC63" s="369">
        <v>10609.42</v>
      </c>
      <c r="AD63" s="369">
        <v>13971.41</v>
      </c>
      <c r="AE63" s="369">
        <v>1930.79</v>
      </c>
      <c r="AF63" s="369">
        <v>9911.06</v>
      </c>
      <c r="AG63" s="369">
        <v>75.8</v>
      </c>
      <c r="AH63" s="369">
        <v>216.54</v>
      </c>
      <c r="AI63" s="369">
        <v>16252.58</v>
      </c>
      <c r="AJ63" s="369">
        <v>15.24</v>
      </c>
      <c r="AK63" s="369">
        <v>476.83</v>
      </c>
      <c r="AL63" s="369">
        <v>656.24</v>
      </c>
      <c r="AM63" s="369">
        <v>0</v>
      </c>
      <c r="AN63" s="369">
        <v>93.06</v>
      </c>
      <c r="AO63" s="369">
        <v>0</v>
      </c>
      <c r="AP63" s="369">
        <v>0</v>
      </c>
      <c r="AQ63" s="369">
        <v>0</v>
      </c>
      <c r="AR63" s="369">
        <v>0</v>
      </c>
      <c r="AS63" s="369">
        <v>0</v>
      </c>
      <c r="AT63" s="369">
        <v>22.66</v>
      </c>
      <c r="AU63" s="369">
        <v>0.76</v>
      </c>
      <c r="AV63" s="369">
        <v>5.69</v>
      </c>
      <c r="AW63" s="369">
        <v>7.15</v>
      </c>
      <c r="AX63" s="369">
        <v>0.49</v>
      </c>
      <c r="AY63" s="369">
        <v>0</v>
      </c>
      <c r="AZ63" s="369">
        <v>0</v>
      </c>
      <c r="BA63" s="369">
        <v>0</v>
      </c>
      <c r="BB63" s="369">
        <v>0</v>
      </c>
      <c r="BC63" s="369">
        <v>0</v>
      </c>
      <c r="BD63" s="369">
        <v>0</v>
      </c>
      <c r="BE63" s="369">
        <v>0</v>
      </c>
      <c r="BF63" s="369">
        <v>0</v>
      </c>
      <c r="BG63" s="369">
        <v>106.23</v>
      </c>
      <c r="BH63" s="369">
        <v>0</v>
      </c>
      <c r="BI63" s="369">
        <v>0</v>
      </c>
      <c r="BJ63" s="369">
        <v>0</v>
      </c>
      <c r="BK63" s="369">
        <v>0</v>
      </c>
      <c r="BL63" s="369">
        <v>0</v>
      </c>
      <c r="BM63" s="369">
        <v>0</v>
      </c>
      <c r="BN63" s="370">
        <v>209.06</v>
      </c>
      <c r="BO63" s="373">
        <v>79079.759999999995</v>
      </c>
      <c r="BP63" s="374"/>
      <c r="BQ63" s="370">
        <v>38004.21</v>
      </c>
      <c r="BR63" s="370">
        <v>0</v>
      </c>
      <c r="BS63" s="370">
        <v>0</v>
      </c>
      <c r="BT63" s="370">
        <v>1517.18</v>
      </c>
      <c r="BU63" s="370">
        <v>-6.99</v>
      </c>
      <c r="BV63" s="370">
        <v>-365.05</v>
      </c>
    </row>
    <row r="64" spans="1:74" ht="15.75">
      <c r="A64" s="365" t="s">
        <v>1328</v>
      </c>
      <c r="B64" s="366" t="s">
        <v>1329</v>
      </c>
      <c r="C64" s="373">
        <v>53478.76</v>
      </c>
      <c r="D64" s="368">
        <v>0</v>
      </c>
      <c r="E64" s="369">
        <v>458.27</v>
      </c>
      <c r="F64" s="369">
        <v>47.27</v>
      </c>
      <c r="G64" s="369">
        <v>6.35</v>
      </c>
      <c r="H64" s="369">
        <v>31.06</v>
      </c>
      <c r="I64" s="369">
        <v>46.43</v>
      </c>
      <c r="J64" s="369">
        <v>372.21</v>
      </c>
      <c r="K64" s="369">
        <v>126.83</v>
      </c>
      <c r="L64" s="369">
        <v>0</v>
      </c>
      <c r="M64" s="369">
        <v>0</v>
      </c>
      <c r="N64" s="369">
        <v>0</v>
      </c>
      <c r="O64" s="369">
        <v>0</v>
      </c>
      <c r="P64" s="369">
        <v>0</v>
      </c>
      <c r="Q64" s="369">
        <v>0</v>
      </c>
      <c r="R64" s="369">
        <v>0</v>
      </c>
      <c r="S64" s="369">
        <v>0</v>
      </c>
      <c r="T64" s="369">
        <v>0</v>
      </c>
      <c r="U64" s="369">
        <v>0</v>
      </c>
      <c r="V64" s="369">
        <v>0</v>
      </c>
      <c r="W64" s="369">
        <v>0</v>
      </c>
      <c r="X64" s="369">
        <v>33.049999999999997</v>
      </c>
      <c r="Y64" s="369">
        <v>0</v>
      </c>
      <c r="Z64" s="369">
        <v>0</v>
      </c>
      <c r="AA64" s="369">
        <v>10.56</v>
      </c>
      <c r="AB64" s="369">
        <v>4.18</v>
      </c>
      <c r="AC64" s="369">
        <v>0</v>
      </c>
      <c r="AD64" s="369">
        <v>135.13999999999999</v>
      </c>
      <c r="AE64" s="369">
        <v>396.81</v>
      </c>
      <c r="AF64" s="369">
        <v>0</v>
      </c>
      <c r="AG64" s="369">
        <v>0</v>
      </c>
      <c r="AH64" s="369">
        <v>0</v>
      </c>
      <c r="AI64" s="369">
        <v>351.77</v>
      </c>
      <c r="AJ64" s="369">
        <v>0</v>
      </c>
      <c r="AK64" s="369">
        <v>66.849999999999994</v>
      </c>
      <c r="AL64" s="369">
        <v>0</v>
      </c>
      <c r="AM64" s="369">
        <v>172.52</v>
      </c>
      <c r="AN64" s="369">
        <v>289.49</v>
      </c>
      <c r="AO64" s="369">
        <v>34800.42</v>
      </c>
      <c r="AP64" s="369">
        <v>0</v>
      </c>
      <c r="AQ64" s="369">
        <v>0</v>
      </c>
      <c r="AR64" s="369">
        <v>0</v>
      </c>
      <c r="AS64" s="369">
        <v>0</v>
      </c>
      <c r="AT64" s="369">
        <v>43.65</v>
      </c>
      <c r="AU64" s="369">
        <v>1.47</v>
      </c>
      <c r="AV64" s="369">
        <v>10.96</v>
      </c>
      <c r="AW64" s="369">
        <v>13.77</v>
      </c>
      <c r="AX64" s="369">
        <v>0.94</v>
      </c>
      <c r="AY64" s="369">
        <v>0</v>
      </c>
      <c r="AZ64" s="369">
        <v>0</v>
      </c>
      <c r="BA64" s="369">
        <v>0</v>
      </c>
      <c r="BB64" s="369">
        <v>305.89999999999998</v>
      </c>
      <c r="BC64" s="369">
        <v>29.68</v>
      </c>
      <c r="BD64" s="369">
        <v>96.07</v>
      </c>
      <c r="BE64" s="369">
        <v>11.77</v>
      </c>
      <c r="BF64" s="369">
        <v>402.5</v>
      </c>
      <c r="BG64" s="369">
        <v>847.65</v>
      </c>
      <c r="BH64" s="369">
        <v>0</v>
      </c>
      <c r="BI64" s="369">
        <v>0</v>
      </c>
      <c r="BJ64" s="369">
        <v>0</v>
      </c>
      <c r="BK64" s="369">
        <v>0</v>
      </c>
      <c r="BL64" s="369">
        <v>0</v>
      </c>
      <c r="BM64" s="369">
        <v>0</v>
      </c>
      <c r="BN64" s="370">
        <v>5908.53</v>
      </c>
      <c r="BO64" s="373">
        <v>45022.11</v>
      </c>
      <c r="BP64" s="374"/>
      <c r="BQ64" s="370">
        <v>6208.24</v>
      </c>
      <c r="BR64" s="370">
        <v>0</v>
      </c>
      <c r="BS64" s="370">
        <v>0</v>
      </c>
      <c r="BT64" s="370">
        <v>2471.62</v>
      </c>
      <c r="BU64" s="370">
        <v>-2.83</v>
      </c>
      <c r="BV64" s="370">
        <v>-220.4</v>
      </c>
    </row>
    <row r="65" spans="1:74" ht="15.75">
      <c r="A65" s="365" t="s">
        <v>1330</v>
      </c>
      <c r="B65" s="366" t="s">
        <v>1331</v>
      </c>
      <c r="C65" s="373">
        <v>11094.27</v>
      </c>
      <c r="D65" s="368">
        <v>0</v>
      </c>
      <c r="E65" s="369">
        <v>1306.25</v>
      </c>
      <c r="F65" s="369">
        <v>124.93</v>
      </c>
      <c r="G65" s="369">
        <v>10.8</v>
      </c>
      <c r="H65" s="369">
        <v>0</v>
      </c>
      <c r="I65" s="369">
        <v>0</v>
      </c>
      <c r="J65" s="369">
        <v>0</v>
      </c>
      <c r="K65" s="369">
        <v>0</v>
      </c>
      <c r="L65" s="369">
        <v>0</v>
      </c>
      <c r="M65" s="369">
        <v>0</v>
      </c>
      <c r="N65" s="369">
        <v>0</v>
      </c>
      <c r="O65" s="369">
        <v>0</v>
      </c>
      <c r="P65" s="369">
        <v>0</v>
      </c>
      <c r="Q65" s="369">
        <v>0</v>
      </c>
      <c r="R65" s="369">
        <v>0</v>
      </c>
      <c r="S65" s="369">
        <v>0</v>
      </c>
      <c r="T65" s="369">
        <v>0</v>
      </c>
      <c r="U65" s="369">
        <v>0</v>
      </c>
      <c r="V65" s="369">
        <v>0</v>
      </c>
      <c r="W65" s="369">
        <v>0</v>
      </c>
      <c r="X65" s="369">
        <v>0</v>
      </c>
      <c r="Y65" s="369">
        <v>0</v>
      </c>
      <c r="Z65" s="369">
        <v>0</v>
      </c>
      <c r="AA65" s="369">
        <v>0</v>
      </c>
      <c r="AB65" s="369">
        <v>0</v>
      </c>
      <c r="AC65" s="369">
        <v>0</v>
      </c>
      <c r="AD65" s="369">
        <v>0</v>
      </c>
      <c r="AE65" s="369">
        <v>0</v>
      </c>
      <c r="AF65" s="369">
        <v>0</v>
      </c>
      <c r="AG65" s="369">
        <v>0</v>
      </c>
      <c r="AH65" s="369">
        <v>0</v>
      </c>
      <c r="AI65" s="369">
        <v>0</v>
      </c>
      <c r="AJ65" s="369">
        <v>0</v>
      </c>
      <c r="AK65" s="369">
        <v>0</v>
      </c>
      <c r="AL65" s="369">
        <v>0</v>
      </c>
      <c r="AM65" s="369">
        <v>1083.94</v>
      </c>
      <c r="AN65" s="369">
        <v>0</v>
      </c>
      <c r="AO65" s="369">
        <v>1716.31</v>
      </c>
      <c r="AP65" s="369">
        <v>2563.8200000000002</v>
      </c>
      <c r="AQ65" s="369">
        <v>876.48</v>
      </c>
      <c r="AR65" s="369">
        <v>0</v>
      </c>
      <c r="AS65" s="369">
        <v>0</v>
      </c>
      <c r="AT65" s="369">
        <v>13.69</v>
      </c>
      <c r="AU65" s="369">
        <v>0.46</v>
      </c>
      <c r="AV65" s="369">
        <v>3.44</v>
      </c>
      <c r="AW65" s="369">
        <v>4.32</v>
      </c>
      <c r="AX65" s="369">
        <v>63.38</v>
      </c>
      <c r="AY65" s="369">
        <v>0</v>
      </c>
      <c r="AZ65" s="369">
        <v>0</v>
      </c>
      <c r="BA65" s="369">
        <v>0</v>
      </c>
      <c r="BB65" s="369">
        <v>0</v>
      </c>
      <c r="BC65" s="369">
        <v>0</v>
      </c>
      <c r="BD65" s="369">
        <v>0</v>
      </c>
      <c r="BE65" s="369">
        <v>0</v>
      </c>
      <c r="BF65" s="369">
        <v>0</v>
      </c>
      <c r="BG65" s="369">
        <v>299.24</v>
      </c>
      <c r="BH65" s="369">
        <v>154.26</v>
      </c>
      <c r="BI65" s="369">
        <v>541.73</v>
      </c>
      <c r="BJ65" s="369">
        <v>2.44</v>
      </c>
      <c r="BK65" s="369">
        <v>7.8</v>
      </c>
      <c r="BL65" s="369">
        <v>158.16</v>
      </c>
      <c r="BM65" s="369">
        <v>16</v>
      </c>
      <c r="BN65" s="370">
        <v>404.03</v>
      </c>
      <c r="BO65" s="373">
        <v>9351.4699999999993</v>
      </c>
      <c r="BP65" s="374"/>
      <c r="BQ65" s="370">
        <v>1590.56</v>
      </c>
      <c r="BR65" s="370">
        <v>0</v>
      </c>
      <c r="BS65" s="370">
        <v>0</v>
      </c>
      <c r="BT65" s="370">
        <v>153.99</v>
      </c>
      <c r="BU65" s="370">
        <v>2.34</v>
      </c>
      <c r="BV65" s="370">
        <v>-4.09</v>
      </c>
    </row>
    <row r="66" spans="1:74" ht="15.75">
      <c r="A66" s="365" t="s">
        <v>1332</v>
      </c>
      <c r="B66" s="366" t="s">
        <v>1333</v>
      </c>
      <c r="C66" s="373">
        <v>88426.51</v>
      </c>
      <c r="D66" s="368">
        <v>0</v>
      </c>
      <c r="E66" s="369">
        <v>4520.62</v>
      </c>
      <c r="F66" s="369">
        <v>462.28</v>
      </c>
      <c r="G66" s="369">
        <v>49.93</v>
      </c>
      <c r="H66" s="369">
        <v>1787.29</v>
      </c>
      <c r="I66" s="369">
        <v>1038.5</v>
      </c>
      <c r="J66" s="369">
        <v>8379.33</v>
      </c>
      <c r="K66" s="369">
        <v>2903.02</v>
      </c>
      <c r="L66" s="369">
        <v>0</v>
      </c>
      <c r="M66" s="369">
        <v>50.28</v>
      </c>
      <c r="N66" s="369">
        <v>51.85</v>
      </c>
      <c r="O66" s="369">
        <v>74.87</v>
      </c>
      <c r="P66" s="369">
        <v>120.6</v>
      </c>
      <c r="Q66" s="369">
        <v>113.14</v>
      </c>
      <c r="R66" s="369">
        <v>679.29</v>
      </c>
      <c r="S66" s="369">
        <v>118.73</v>
      </c>
      <c r="T66" s="369">
        <v>608.66</v>
      </c>
      <c r="U66" s="369">
        <v>0</v>
      </c>
      <c r="V66" s="369">
        <v>1386.86</v>
      </c>
      <c r="W66" s="369">
        <v>67.599999999999994</v>
      </c>
      <c r="X66" s="369">
        <v>177.72</v>
      </c>
      <c r="Y66" s="369">
        <v>821.58</v>
      </c>
      <c r="Z66" s="369">
        <v>0</v>
      </c>
      <c r="AA66" s="369">
        <v>184.34</v>
      </c>
      <c r="AB66" s="369">
        <v>222.78</v>
      </c>
      <c r="AC66" s="369">
        <v>0.13</v>
      </c>
      <c r="AD66" s="369">
        <v>5812.29</v>
      </c>
      <c r="AE66" s="369">
        <v>4085.03</v>
      </c>
      <c r="AF66" s="369">
        <v>2550.11</v>
      </c>
      <c r="AG66" s="369">
        <v>157.97999999999999</v>
      </c>
      <c r="AH66" s="369">
        <v>220.85</v>
      </c>
      <c r="AI66" s="369">
        <v>5886.71</v>
      </c>
      <c r="AJ66" s="369">
        <v>91.98</v>
      </c>
      <c r="AK66" s="369">
        <v>2225.69</v>
      </c>
      <c r="AL66" s="369">
        <v>65.83</v>
      </c>
      <c r="AM66" s="369">
        <v>428.11</v>
      </c>
      <c r="AN66" s="369">
        <v>534.29</v>
      </c>
      <c r="AO66" s="369">
        <v>10441.41</v>
      </c>
      <c r="AP66" s="369">
        <v>2426.63</v>
      </c>
      <c r="AQ66" s="369">
        <v>829.58</v>
      </c>
      <c r="AR66" s="369">
        <v>0</v>
      </c>
      <c r="AS66" s="369">
        <v>247.83</v>
      </c>
      <c r="AT66" s="369">
        <v>732.4</v>
      </c>
      <c r="AU66" s="369">
        <v>24.71</v>
      </c>
      <c r="AV66" s="369">
        <v>183.91</v>
      </c>
      <c r="AW66" s="369">
        <v>231.07</v>
      </c>
      <c r="AX66" s="369">
        <v>15.78</v>
      </c>
      <c r="AY66" s="369">
        <v>124.1</v>
      </c>
      <c r="AZ66" s="369">
        <v>12.52</v>
      </c>
      <c r="BA66" s="369">
        <v>6.2</v>
      </c>
      <c r="BB66" s="369">
        <v>1763.7</v>
      </c>
      <c r="BC66" s="369">
        <v>171.11</v>
      </c>
      <c r="BD66" s="369">
        <v>553.89</v>
      </c>
      <c r="BE66" s="369">
        <v>67.86</v>
      </c>
      <c r="BF66" s="369">
        <v>2320.62</v>
      </c>
      <c r="BG66" s="369">
        <v>3600.18</v>
      </c>
      <c r="BH66" s="369">
        <v>203.2</v>
      </c>
      <c r="BI66" s="369">
        <v>713.62</v>
      </c>
      <c r="BJ66" s="369">
        <v>3.21</v>
      </c>
      <c r="BK66" s="369">
        <v>10.28</v>
      </c>
      <c r="BL66" s="369">
        <v>208.34</v>
      </c>
      <c r="BM66" s="369">
        <v>21.08</v>
      </c>
      <c r="BN66" s="370">
        <v>2601.85</v>
      </c>
      <c r="BO66" s="373">
        <v>73393.36</v>
      </c>
      <c r="BP66" s="374"/>
      <c r="BQ66" s="370">
        <v>8553.74</v>
      </c>
      <c r="BR66" s="370">
        <v>6724.14</v>
      </c>
      <c r="BS66" s="370">
        <v>0</v>
      </c>
      <c r="BT66" s="370">
        <v>108.88</v>
      </c>
      <c r="BU66" s="370">
        <v>4.8099999999999996</v>
      </c>
      <c r="BV66" s="370">
        <v>-358.43</v>
      </c>
    </row>
    <row r="67" spans="1:74" ht="15.75">
      <c r="A67" s="365" t="s">
        <v>1334</v>
      </c>
      <c r="B67" s="366" t="s">
        <v>1335</v>
      </c>
      <c r="C67" s="373">
        <v>23387.05</v>
      </c>
      <c r="D67" s="368">
        <v>0</v>
      </c>
      <c r="E67" s="369">
        <v>0</v>
      </c>
      <c r="F67" s="369">
        <v>0</v>
      </c>
      <c r="G67" s="369">
        <v>0</v>
      </c>
      <c r="H67" s="369">
        <v>0</v>
      </c>
      <c r="I67" s="369">
        <v>9.56</v>
      </c>
      <c r="J67" s="369">
        <v>78.67</v>
      </c>
      <c r="K67" s="369">
        <v>18.350000000000001</v>
      </c>
      <c r="L67" s="369">
        <v>0</v>
      </c>
      <c r="M67" s="369">
        <v>0</v>
      </c>
      <c r="N67" s="369">
        <v>0</v>
      </c>
      <c r="O67" s="369">
        <v>0</v>
      </c>
      <c r="P67" s="369">
        <v>0</v>
      </c>
      <c r="Q67" s="369">
        <v>0</v>
      </c>
      <c r="R67" s="369">
        <v>0</v>
      </c>
      <c r="S67" s="369">
        <v>0</v>
      </c>
      <c r="T67" s="369">
        <v>0</v>
      </c>
      <c r="U67" s="369">
        <v>0</v>
      </c>
      <c r="V67" s="369">
        <v>0</v>
      </c>
      <c r="W67" s="369">
        <v>0</v>
      </c>
      <c r="X67" s="369">
        <v>0</v>
      </c>
      <c r="Y67" s="369">
        <v>0</v>
      </c>
      <c r="Z67" s="369">
        <v>0</v>
      </c>
      <c r="AA67" s="369">
        <v>0</v>
      </c>
      <c r="AB67" s="369">
        <v>0</v>
      </c>
      <c r="AC67" s="369">
        <v>0</v>
      </c>
      <c r="AD67" s="369">
        <v>64.08</v>
      </c>
      <c r="AE67" s="369">
        <v>306.69</v>
      </c>
      <c r="AF67" s="369">
        <v>29.38</v>
      </c>
      <c r="AG67" s="369">
        <v>0</v>
      </c>
      <c r="AH67" s="369">
        <v>0</v>
      </c>
      <c r="AI67" s="369">
        <v>131.36000000000001</v>
      </c>
      <c r="AJ67" s="369">
        <v>41.79</v>
      </c>
      <c r="AK67" s="369">
        <v>0</v>
      </c>
      <c r="AL67" s="369">
        <v>1.18</v>
      </c>
      <c r="AM67" s="369">
        <v>214.19</v>
      </c>
      <c r="AN67" s="369">
        <v>3.57</v>
      </c>
      <c r="AO67" s="369">
        <v>0</v>
      </c>
      <c r="AP67" s="369">
        <v>17.79</v>
      </c>
      <c r="AQ67" s="369">
        <v>6.08</v>
      </c>
      <c r="AR67" s="369">
        <v>0</v>
      </c>
      <c r="AS67" s="369">
        <v>0</v>
      </c>
      <c r="AT67" s="369">
        <v>0</v>
      </c>
      <c r="AU67" s="369">
        <v>0</v>
      </c>
      <c r="AV67" s="369">
        <v>0</v>
      </c>
      <c r="AW67" s="369">
        <v>0</v>
      </c>
      <c r="AX67" s="369">
        <v>0</v>
      </c>
      <c r="AY67" s="369">
        <v>0</v>
      </c>
      <c r="AZ67" s="369">
        <v>0</v>
      </c>
      <c r="BA67" s="369">
        <v>0</v>
      </c>
      <c r="BB67" s="369">
        <v>0</v>
      </c>
      <c r="BC67" s="369">
        <v>0</v>
      </c>
      <c r="BD67" s="369">
        <v>0</v>
      </c>
      <c r="BE67" s="369">
        <v>0</v>
      </c>
      <c r="BF67" s="369">
        <v>0</v>
      </c>
      <c r="BG67" s="369">
        <v>14.18</v>
      </c>
      <c r="BH67" s="369">
        <v>0</v>
      </c>
      <c r="BI67" s="369">
        <v>0</v>
      </c>
      <c r="BJ67" s="369">
        <v>0</v>
      </c>
      <c r="BK67" s="369">
        <v>0</v>
      </c>
      <c r="BL67" s="369">
        <v>0</v>
      </c>
      <c r="BM67" s="369">
        <v>0</v>
      </c>
      <c r="BN67" s="370">
        <v>2.94</v>
      </c>
      <c r="BO67" s="373">
        <v>939.8</v>
      </c>
      <c r="BP67" s="374"/>
      <c r="BQ67" s="370">
        <v>4850.6899999999996</v>
      </c>
      <c r="BR67" s="370">
        <v>0</v>
      </c>
      <c r="BS67" s="370">
        <v>0</v>
      </c>
      <c r="BT67" s="370">
        <v>16490.72</v>
      </c>
      <c r="BU67" s="370">
        <v>1200.26</v>
      </c>
      <c r="BV67" s="370">
        <v>-94.42</v>
      </c>
    </row>
    <row r="68" spans="1:74" ht="15.75">
      <c r="A68" s="365" t="s">
        <v>1336</v>
      </c>
      <c r="B68" s="366" t="s">
        <v>1337</v>
      </c>
      <c r="C68" s="373">
        <v>28410.89</v>
      </c>
      <c r="D68" s="368">
        <v>0</v>
      </c>
      <c r="E68" s="369">
        <v>0</v>
      </c>
      <c r="F68" s="369">
        <v>0</v>
      </c>
      <c r="G68" s="369">
        <v>0</v>
      </c>
      <c r="H68" s="369">
        <v>402.59</v>
      </c>
      <c r="I68" s="369">
        <v>461.28</v>
      </c>
      <c r="J68" s="369">
        <v>3724.09</v>
      </c>
      <c r="K68" s="369">
        <v>1168.76</v>
      </c>
      <c r="L68" s="369">
        <v>0</v>
      </c>
      <c r="M68" s="369">
        <v>0</v>
      </c>
      <c r="N68" s="369">
        <v>0</v>
      </c>
      <c r="O68" s="369">
        <v>0</v>
      </c>
      <c r="P68" s="369">
        <v>0</v>
      </c>
      <c r="Q68" s="369">
        <v>0</v>
      </c>
      <c r="R68" s="369">
        <v>0</v>
      </c>
      <c r="S68" s="369">
        <v>0</v>
      </c>
      <c r="T68" s="369">
        <v>0</v>
      </c>
      <c r="U68" s="369">
        <v>0</v>
      </c>
      <c r="V68" s="369">
        <v>0</v>
      </c>
      <c r="W68" s="369">
        <v>0</v>
      </c>
      <c r="X68" s="369">
        <v>0</v>
      </c>
      <c r="Y68" s="369">
        <v>0</v>
      </c>
      <c r="Z68" s="369">
        <v>0</v>
      </c>
      <c r="AA68" s="369">
        <v>0</v>
      </c>
      <c r="AB68" s="369">
        <v>0</v>
      </c>
      <c r="AC68" s="369">
        <v>0</v>
      </c>
      <c r="AD68" s="369">
        <v>1.48</v>
      </c>
      <c r="AE68" s="369">
        <v>802.21</v>
      </c>
      <c r="AF68" s="369">
        <v>0</v>
      </c>
      <c r="AG68" s="369">
        <v>0</v>
      </c>
      <c r="AH68" s="369">
        <v>0</v>
      </c>
      <c r="AI68" s="369">
        <v>0</v>
      </c>
      <c r="AJ68" s="369">
        <v>0</v>
      </c>
      <c r="AK68" s="369">
        <v>0</v>
      </c>
      <c r="AL68" s="369">
        <v>0</v>
      </c>
      <c r="AM68" s="369">
        <v>0</v>
      </c>
      <c r="AN68" s="369">
        <v>531.79999999999995</v>
      </c>
      <c r="AO68" s="369">
        <v>340.93</v>
      </c>
      <c r="AP68" s="369">
        <v>0</v>
      </c>
      <c r="AQ68" s="369">
        <v>0</v>
      </c>
      <c r="AR68" s="369">
        <v>0</v>
      </c>
      <c r="AS68" s="369">
        <v>0</v>
      </c>
      <c r="AT68" s="369">
        <v>0</v>
      </c>
      <c r="AU68" s="369">
        <v>0</v>
      </c>
      <c r="AV68" s="369">
        <v>0</v>
      </c>
      <c r="AW68" s="369">
        <v>0</v>
      </c>
      <c r="AX68" s="369">
        <v>0</v>
      </c>
      <c r="AY68" s="369">
        <v>0</v>
      </c>
      <c r="AZ68" s="369">
        <v>0</v>
      </c>
      <c r="BA68" s="369">
        <v>0</v>
      </c>
      <c r="BB68" s="369">
        <v>1109.74</v>
      </c>
      <c r="BC68" s="369">
        <v>107.66</v>
      </c>
      <c r="BD68" s="369">
        <v>348.51</v>
      </c>
      <c r="BE68" s="369">
        <v>42.7</v>
      </c>
      <c r="BF68" s="369">
        <v>1460.15</v>
      </c>
      <c r="BG68" s="369">
        <v>0</v>
      </c>
      <c r="BH68" s="369">
        <v>0</v>
      </c>
      <c r="BI68" s="369">
        <v>0</v>
      </c>
      <c r="BJ68" s="369">
        <v>0</v>
      </c>
      <c r="BK68" s="369">
        <v>0</v>
      </c>
      <c r="BL68" s="369">
        <v>0</v>
      </c>
      <c r="BM68" s="369">
        <v>0</v>
      </c>
      <c r="BN68" s="370">
        <v>53.15</v>
      </c>
      <c r="BO68" s="373">
        <v>10555.07</v>
      </c>
      <c r="BP68" s="374"/>
      <c r="BQ68" s="370">
        <v>4259.51</v>
      </c>
      <c r="BR68" s="370">
        <v>307</v>
      </c>
      <c r="BS68" s="370">
        <v>0</v>
      </c>
      <c r="BT68" s="370">
        <v>13407.48</v>
      </c>
      <c r="BU68" s="370">
        <v>8.56</v>
      </c>
      <c r="BV68" s="370">
        <v>-126.72</v>
      </c>
    </row>
    <row r="69" spans="1:74" ht="15.75">
      <c r="A69" s="365" t="s">
        <v>1338</v>
      </c>
      <c r="B69" s="366" t="s">
        <v>1339</v>
      </c>
      <c r="C69" s="373">
        <v>15578.09</v>
      </c>
      <c r="D69" s="368">
        <v>0</v>
      </c>
      <c r="E69" s="369">
        <v>0</v>
      </c>
      <c r="F69" s="369">
        <v>0</v>
      </c>
      <c r="G69" s="369">
        <v>0</v>
      </c>
      <c r="H69" s="369">
        <v>142.49</v>
      </c>
      <c r="I69" s="369">
        <v>76.03</v>
      </c>
      <c r="J69" s="369">
        <v>616.38</v>
      </c>
      <c r="K69" s="369">
        <v>180.45</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77.489999999999995</v>
      </c>
      <c r="AE69" s="369">
        <v>1519.7</v>
      </c>
      <c r="AF69" s="369">
        <v>116.13</v>
      </c>
      <c r="AG69" s="369">
        <v>0</v>
      </c>
      <c r="AH69" s="369">
        <v>0</v>
      </c>
      <c r="AI69" s="369">
        <v>1924.8</v>
      </c>
      <c r="AJ69" s="369">
        <v>17.98</v>
      </c>
      <c r="AK69" s="369">
        <v>0.12</v>
      </c>
      <c r="AL69" s="369">
        <v>0</v>
      </c>
      <c r="AM69" s="369">
        <v>0</v>
      </c>
      <c r="AN69" s="369">
        <v>30.22</v>
      </c>
      <c r="AO69" s="369">
        <v>112.49</v>
      </c>
      <c r="AP69" s="369">
        <v>0</v>
      </c>
      <c r="AQ69" s="369">
        <v>0</v>
      </c>
      <c r="AR69" s="369">
        <v>0</v>
      </c>
      <c r="AS69" s="369">
        <v>0</v>
      </c>
      <c r="AT69" s="369">
        <v>217.57</v>
      </c>
      <c r="AU69" s="369">
        <v>7.34</v>
      </c>
      <c r="AV69" s="369">
        <v>54.63</v>
      </c>
      <c r="AW69" s="369">
        <v>68.64</v>
      </c>
      <c r="AX69" s="369">
        <v>4.6900000000000004</v>
      </c>
      <c r="AY69" s="369">
        <v>0</v>
      </c>
      <c r="AZ69" s="369">
        <v>0</v>
      </c>
      <c r="BA69" s="369">
        <v>0</v>
      </c>
      <c r="BB69" s="369">
        <v>279.45999999999998</v>
      </c>
      <c r="BC69" s="369">
        <v>27.11</v>
      </c>
      <c r="BD69" s="369">
        <v>87.76</v>
      </c>
      <c r="BE69" s="369">
        <v>10.75</v>
      </c>
      <c r="BF69" s="369">
        <v>367.7</v>
      </c>
      <c r="BG69" s="369">
        <v>359.25</v>
      </c>
      <c r="BH69" s="369">
        <v>230.74</v>
      </c>
      <c r="BI69" s="369">
        <v>810.35</v>
      </c>
      <c r="BJ69" s="369">
        <v>3.65</v>
      </c>
      <c r="BK69" s="369">
        <v>11.67</v>
      </c>
      <c r="BL69" s="369">
        <v>236.58</v>
      </c>
      <c r="BM69" s="369">
        <v>23.93</v>
      </c>
      <c r="BN69" s="370">
        <v>264.11</v>
      </c>
      <c r="BO69" s="373">
        <v>7880.23</v>
      </c>
      <c r="BP69" s="374"/>
      <c r="BQ69" s="370">
        <v>5965.38</v>
      </c>
      <c r="BR69" s="370">
        <v>0</v>
      </c>
      <c r="BS69" s="370">
        <v>0</v>
      </c>
      <c r="BT69" s="370">
        <v>1787.62</v>
      </c>
      <c r="BU69" s="370">
        <v>1.67</v>
      </c>
      <c r="BV69" s="370">
        <v>-56.81</v>
      </c>
    </row>
    <row r="70" spans="1:74" ht="15.75">
      <c r="A70" s="365" t="s">
        <v>1340</v>
      </c>
      <c r="B70" s="366" t="s">
        <v>1341</v>
      </c>
      <c r="C70" s="373">
        <v>16381.99</v>
      </c>
      <c r="D70" s="368">
        <v>0</v>
      </c>
      <c r="E70" s="369">
        <v>970.76</v>
      </c>
      <c r="F70" s="369">
        <v>99.9</v>
      </c>
      <c r="G70" s="369">
        <v>12.95</v>
      </c>
      <c r="H70" s="369">
        <v>50.26</v>
      </c>
      <c r="I70" s="369">
        <v>59.04</v>
      </c>
      <c r="J70" s="369">
        <v>467.66</v>
      </c>
      <c r="K70" s="369">
        <v>141.13999999999999</v>
      </c>
      <c r="L70" s="369">
        <v>0</v>
      </c>
      <c r="M70" s="369">
        <v>0</v>
      </c>
      <c r="N70" s="369">
        <v>0.04</v>
      </c>
      <c r="O70" s="369">
        <v>0</v>
      </c>
      <c r="P70" s="369">
        <v>0</v>
      </c>
      <c r="Q70" s="369">
        <v>0</v>
      </c>
      <c r="R70" s="369">
        <v>0</v>
      </c>
      <c r="S70" s="369">
        <v>0</v>
      </c>
      <c r="T70" s="369">
        <v>0</v>
      </c>
      <c r="U70" s="369">
        <v>0</v>
      </c>
      <c r="V70" s="369">
        <v>0</v>
      </c>
      <c r="W70" s="369">
        <v>0</v>
      </c>
      <c r="X70" s="369">
        <v>0</v>
      </c>
      <c r="Y70" s="369">
        <v>0</v>
      </c>
      <c r="Z70" s="369">
        <v>0</v>
      </c>
      <c r="AA70" s="369">
        <v>0</v>
      </c>
      <c r="AB70" s="369">
        <v>0</v>
      </c>
      <c r="AC70" s="369">
        <v>0</v>
      </c>
      <c r="AD70" s="369">
        <v>34.82</v>
      </c>
      <c r="AE70" s="369">
        <v>1146.5</v>
      </c>
      <c r="AF70" s="369">
        <v>0</v>
      </c>
      <c r="AG70" s="369">
        <v>0</v>
      </c>
      <c r="AH70" s="369">
        <v>0</v>
      </c>
      <c r="AI70" s="369">
        <v>4.59</v>
      </c>
      <c r="AJ70" s="369">
        <v>0</v>
      </c>
      <c r="AK70" s="369">
        <v>0</v>
      </c>
      <c r="AL70" s="369">
        <v>0</v>
      </c>
      <c r="AM70" s="369">
        <v>0</v>
      </c>
      <c r="AN70" s="369">
        <v>149.03</v>
      </c>
      <c r="AO70" s="369">
        <v>0</v>
      </c>
      <c r="AP70" s="369">
        <v>3498.96</v>
      </c>
      <c r="AQ70" s="369">
        <v>1196.17</v>
      </c>
      <c r="AR70" s="369">
        <v>0</v>
      </c>
      <c r="AS70" s="369">
        <v>0</v>
      </c>
      <c r="AT70" s="369">
        <v>542.74</v>
      </c>
      <c r="AU70" s="369">
        <v>18.309999999999999</v>
      </c>
      <c r="AV70" s="369">
        <v>136.29</v>
      </c>
      <c r="AW70" s="369">
        <v>171.23</v>
      </c>
      <c r="AX70" s="369">
        <v>11.69</v>
      </c>
      <c r="AY70" s="369">
        <v>0</v>
      </c>
      <c r="AZ70" s="369">
        <v>0</v>
      </c>
      <c r="BA70" s="369">
        <v>0</v>
      </c>
      <c r="BB70" s="369">
        <v>481.29</v>
      </c>
      <c r="BC70" s="369">
        <v>46.69</v>
      </c>
      <c r="BD70" s="369">
        <v>151.15</v>
      </c>
      <c r="BE70" s="369">
        <v>18.52</v>
      </c>
      <c r="BF70" s="369">
        <v>633.26</v>
      </c>
      <c r="BG70" s="369">
        <v>120.27</v>
      </c>
      <c r="BH70" s="369">
        <v>0</v>
      </c>
      <c r="BI70" s="369">
        <v>0</v>
      </c>
      <c r="BJ70" s="369">
        <v>0</v>
      </c>
      <c r="BK70" s="369">
        <v>0</v>
      </c>
      <c r="BL70" s="369">
        <v>0</v>
      </c>
      <c r="BM70" s="369">
        <v>0</v>
      </c>
      <c r="BN70" s="370">
        <v>74.42</v>
      </c>
      <c r="BO70" s="373">
        <v>10237.67</v>
      </c>
      <c r="BP70" s="374"/>
      <c r="BQ70" s="370">
        <v>2337.7399999999998</v>
      </c>
      <c r="BR70" s="370">
        <v>0</v>
      </c>
      <c r="BS70" s="370">
        <v>0</v>
      </c>
      <c r="BT70" s="370">
        <v>3853.18</v>
      </c>
      <c r="BU70" s="370">
        <v>2.2599999999999998</v>
      </c>
      <c r="BV70" s="370">
        <v>-48.86</v>
      </c>
    </row>
    <row r="71" spans="1:74" ht="15.75">
      <c r="A71" s="365" t="s">
        <v>1342</v>
      </c>
      <c r="B71" s="366" t="s">
        <v>1343</v>
      </c>
      <c r="C71" s="373">
        <v>42705.64</v>
      </c>
      <c r="D71" s="368">
        <v>0</v>
      </c>
      <c r="E71" s="369">
        <v>379.97</v>
      </c>
      <c r="F71" s="369">
        <v>38.369999999999997</v>
      </c>
      <c r="G71" s="369">
        <v>5.8</v>
      </c>
      <c r="H71" s="369">
        <v>99.67</v>
      </c>
      <c r="I71" s="369">
        <v>32.07</v>
      </c>
      <c r="J71" s="369">
        <v>253.98</v>
      </c>
      <c r="K71" s="369">
        <v>78.42</v>
      </c>
      <c r="L71" s="369">
        <v>0</v>
      </c>
      <c r="M71" s="369">
        <v>0</v>
      </c>
      <c r="N71" s="369">
        <v>0</v>
      </c>
      <c r="O71" s="369">
        <v>0</v>
      </c>
      <c r="P71" s="369">
        <v>0</v>
      </c>
      <c r="Q71" s="369">
        <v>0</v>
      </c>
      <c r="R71" s="369">
        <v>0</v>
      </c>
      <c r="S71" s="369">
        <v>0</v>
      </c>
      <c r="T71" s="369">
        <v>0</v>
      </c>
      <c r="U71" s="369">
        <v>0</v>
      </c>
      <c r="V71" s="369">
        <v>0</v>
      </c>
      <c r="W71" s="369">
        <v>0</v>
      </c>
      <c r="X71" s="369">
        <v>0</v>
      </c>
      <c r="Y71" s="369">
        <v>5.66</v>
      </c>
      <c r="Z71" s="369">
        <v>0</v>
      </c>
      <c r="AA71" s="369">
        <v>0</v>
      </c>
      <c r="AB71" s="369">
        <v>584.04999999999995</v>
      </c>
      <c r="AC71" s="369">
        <v>0</v>
      </c>
      <c r="AD71" s="369">
        <v>506.44</v>
      </c>
      <c r="AE71" s="369">
        <v>2300</v>
      </c>
      <c r="AF71" s="369">
        <v>680.94</v>
      </c>
      <c r="AG71" s="369">
        <v>0.02</v>
      </c>
      <c r="AH71" s="369">
        <v>0</v>
      </c>
      <c r="AI71" s="369">
        <v>335.33</v>
      </c>
      <c r="AJ71" s="369">
        <v>34.96</v>
      </c>
      <c r="AK71" s="369">
        <v>0.13</v>
      </c>
      <c r="AL71" s="369">
        <v>0.91</v>
      </c>
      <c r="AM71" s="369">
        <v>659.94</v>
      </c>
      <c r="AN71" s="369">
        <v>62.22</v>
      </c>
      <c r="AO71" s="369">
        <v>107.45</v>
      </c>
      <c r="AP71" s="369">
        <v>1047.06</v>
      </c>
      <c r="AQ71" s="369">
        <v>357.95</v>
      </c>
      <c r="AR71" s="369">
        <v>0</v>
      </c>
      <c r="AS71" s="369">
        <v>14.79</v>
      </c>
      <c r="AT71" s="369">
        <v>0</v>
      </c>
      <c r="AU71" s="369">
        <v>0</v>
      </c>
      <c r="AV71" s="369">
        <v>0</v>
      </c>
      <c r="AW71" s="369">
        <v>0</v>
      </c>
      <c r="AX71" s="369">
        <v>0</v>
      </c>
      <c r="AY71" s="369">
        <v>7.21</v>
      </c>
      <c r="AZ71" s="369">
        <v>0.73</v>
      </c>
      <c r="BA71" s="369">
        <v>0.36</v>
      </c>
      <c r="BB71" s="369">
        <v>639.63</v>
      </c>
      <c r="BC71" s="369">
        <v>62.05</v>
      </c>
      <c r="BD71" s="369">
        <v>200.87</v>
      </c>
      <c r="BE71" s="369">
        <v>24.61</v>
      </c>
      <c r="BF71" s="369">
        <v>841.6</v>
      </c>
      <c r="BG71" s="369">
        <v>108.35</v>
      </c>
      <c r="BH71" s="369">
        <v>0</v>
      </c>
      <c r="BI71" s="369">
        <v>0</v>
      </c>
      <c r="BJ71" s="369">
        <v>0</v>
      </c>
      <c r="BK71" s="369">
        <v>0</v>
      </c>
      <c r="BL71" s="369">
        <v>0</v>
      </c>
      <c r="BM71" s="369">
        <v>0</v>
      </c>
      <c r="BN71" s="370">
        <v>26.64</v>
      </c>
      <c r="BO71" s="373">
        <v>9498.2000000000007</v>
      </c>
      <c r="BP71" s="374"/>
      <c r="BQ71" s="370">
        <v>18572.66</v>
      </c>
      <c r="BR71" s="370">
        <v>481.1</v>
      </c>
      <c r="BS71" s="370">
        <v>0</v>
      </c>
      <c r="BT71" s="370">
        <v>17135.78</v>
      </c>
      <c r="BU71" s="370">
        <v>-2849.45</v>
      </c>
      <c r="BV71" s="370">
        <v>-132.63999999999999</v>
      </c>
    </row>
    <row r="72" spans="1:74" ht="15.75">
      <c r="A72" s="365" t="s">
        <v>1344</v>
      </c>
      <c r="B72" s="366" t="s">
        <v>1345</v>
      </c>
      <c r="C72" s="367" t="s">
        <v>1215</v>
      </c>
      <c r="D72" s="368">
        <v>0</v>
      </c>
      <c r="E72" s="369">
        <v>3928.33</v>
      </c>
      <c r="F72" s="369">
        <v>403.59</v>
      </c>
      <c r="G72" s="369">
        <v>39.42</v>
      </c>
      <c r="H72" s="369">
        <v>2640.24</v>
      </c>
      <c r="I72" s="369">
        <v>1437.58</v>
      </c>
      <c r="J72" s="369">
        <v>11642.83</v>
      </c>
      <c r="K72" s="369">
        <v>2795.19</v>
      </c>
      <c r="L72" s="369">
        <v>0</v>
      </c>
      <c r="M72" s="369">
        <v>0</v>
      </c>
      <c r="N72" s="369">
        <v>0</v>
      </c>
      <c r="O72" s="369">
        <v>0</v>
      </c>
      <c r="P72" s="369">
        <v>0</v>
      </c>
      <c r="Q72" s="369">
        <v>0</v>
      </c>
      <c r="R72" s="369">
        <v>54.31</v>
      </c>
      <c r="S72" s="369">
        <v>0</v>
      </c>
      <c r="T72" s="369">
        <v>0.83</v>
      </c>
      <c r="U72" s="369">
        <v>0</v>
      </c>
      <c r="V72" s="369">
        <v>3.07</v>
      </c>
      <c r="W72" s="369">
        <v>0</v>
      </c>
      <c r="X72" s="369">
        <v>0</v>
      </c>
      <c r="Y72" s="369">
        <v>0</v>
      </c>
      <c r="Z72" s="369">
        <v>0</v>
      </c>
      <c r="AA72" s="369">
        <v>0</v>
      </c>
      <c r="AB72" s="369">
        <v>0</v>
      </c>
      <c r="AC72" s="369">
        <v>0</v>
      </c>
      <c r="AD72" s="369">
        <v>437.26</v>
      </c>
      <c r="AE72" s="369">
        <v>3040.46</v>
      </c>
      <c r="AF72" s="369">
        <v>245.82</v>
      </c>
      <c r="AG72" s="369">
        <v>0.03</v>
      </c>
      <c r="AH72" s="369">
        <v>110.18</v>
      </c>
      <c r="AI72" s="369">
        <v>910.89</v>
      </c>
      <c r="AJ72" s="369">
        <v>53.42</v>
      </c>
      <c r="AK72" s="369">
        <v>3.43</v>
      </c>
      <c r="AL72" s="369">
        <v>0</v>
      </c>
      <c r="AM72" s="369">
        <v>430.58</v>
      </c>
      <c r="AN72" s="369">
        <v>38.81</v>
      </c>
      <c r="AO72" s="369">
        <v>2892.01</v>
      </c>
      <c r="AP72" s="369">
        <v>643.55999999999995</v>
      </c>
      <c r="AQ72" s="369">
        <v>220.01</v>
      </c>
      <c r="AR72" s="369">
        <v>0</v>
      </c>
      <c r="AS72" s="369">
        <v>0</v>
      </c>
      <c r="AT72" s="369">
        <v>23.05</v>
      </c>
      <c r="AU72" s="369">
        <v>0.78</v>
      </c>
      <c r="AV72" s="369">
        <v>5.79</v>
      </c>
      <c r="AW72" s="369">
        <v>7.27</v>
      </c>
      <c r="AX72" s="369">
        <v>0.5</v>
      </c>
      <c r="AY72" s="369">
        <v>0</v>
      </c>
      <c r="AZ72" s="369">
        <v>0</v>
      </c>
      <c r="BA72" s="369">
        <v>0</v>
      </c>
      <c r="BB72" s="369">
        <v>1637.82</v>
      </c>
      <c r="BC72" s="369">
        <v>158.9</v>
      </c>
      <c r="BD72" s="369">
        <v>514.36</v>
      </c>
      <c r="BE72" s="369">
        <v>63.02</v>
      </c>
      <c r="BF72" s="369">
        <v>2154.98</v>
      </c>
      <c r="BG72" s="369">
        <v>1572.75</v>
      </c>
      <c r="BH72" s="369">
        <v>33.32</v>
      </c>
      <c r="BI72" s="369">
        <v>117.03</v>
      </c>
      <c r="BJ72" s="369">
        <v>0.53</v>
      </c>
      <c r="BK72" s="369">
        <v>1.69</v>
      </c>
      <c r="BL72" s="369">
        <v>34.17</v>
      </c>
      <c r="BM72" s="369">
        <v>3.46</v>
      </c>
      <c r="BN72" s="370">
        <v>474.08</v>
      </c>
      <c r="BO72" s="373">
        <v>38775.32</v>
      </c>
      <c r="BP72" s="374"/>
      <c r="BQ72" s="370">
        <v>8563.86</v>
      </c>
      <c r="BR72" s="370">
        <v>1171.9000000000001</v>
      </c>
      <c r="BS72" s="370">
        <v>0</v>
      </c>
      <c r="BT72" s="370">
        <v>84519.69</v>
      </c>
      <c r="BU72" s="370">
        <v>-1277.3</v>
      </c>
      <c r="BV72" s="370">
        <v>-506.66</v>
      </c>
    </row>
    <row r="73" spans="1:74" ht="15.75">
      <c r="A73" s="365" t="s">
        <v>1346</v>
      </c>
      <c r="B73" s="366" t="s">
        <v>1347</v>
      </c>
      <c r="C73" s="373">
        <v>21164.18</v>
      </c>
      <c r="D73" s="368">
        <v>0</v>
      </c>
      <c r="E73" s="369">
        <v>0</v>
      </c>
      <c r="F73" s="369">
        <v>0</v>
      </c>
      <c r="G73" s="369">
        <v>0</v>
      </c>
      <c r="H73" s="369">
        <v>13.79</v>
      </c>
      <c r="I73" s="369">
        <v>12.37</v>
      </c>
      <c r="J73" s="369">
        <v>106.35</v>
      </c>
      <c r="K73" s="369">
        <v>27.38</v>
      </c>
      <c r="L73" s="369">
        <v>0</v>
      </c>
      <c r="M73" s="369">
        <v>0</v>
      </c>
      <c r="N73" s="369">
        <v>0</v>
      </c>
      <c r="O73" s="369">
        <v>0</v>
      </c>
      <c r="P73" s="369">
        <v>0</v>
      </c>
      <c r="Q73" s="369">
        <v>0</v>
      </c>
      <c r="R73" s="369">
        <v>0</v>
      </c>
      <c r="S73" s="369">
        <v>0</v>
      </c>
      <c r="T73" s="369">
        <v>0</v>
      </c>
      <c r="U73" s="369">
        <v>0</v>
      </c>
      <c r="V73" s="369">
        <v>0</v>
      </c>
      <c r="W73" s="369">
        <v>0</v>
      </c>
      <c r="X73" s="369">
        <v>0</v>
      </c>
      <c r="Y73" s="369">
        <v>0</v>
      </c>
      <c r="Z73" s="369">
        <v>0</v>
      </c>
      <c r="AA73" s="369">
        <v>0</v>
      </c>
      <c r="AB73" s="369">
        <v>0</v>
      </c>
      <c r="AC73" s="369">
        <v>0</v>
      </c>
      <c r="AD73" s="369">
        <v>104.74</v>
      </c>
      <c r="AE73" s="369">
        <v>2076.48</v>
      </c>
      <c r="AF73" s="369">
        <v>0</v>
      </c>
      <c r="AG73" s="369">
        <v>0</v>
      </c>
      <c r="AH73" s="369">
        <v>0</v>
      </c>
      <c r="AI73" s="369">
        <v>0.01</v>
      </c>
      <c r="AJ73" s="369">
        <v>0</v>
      </c>
      <c r="AK73" s="369">
        <v>0</v>
      </c>
      <c r="AL73" s="369">
        <v>0</v>
      </c>
      <c r="AM73" s="369">
        <v>65.13</v>
      </c>
      <c r="AN73" s="369">
        <v>78.64</v>
      </c>
      <c r="AO73" s="369">
        <v>58.96</v>
      </c>
      <c r="AP73" s="369">
        <v>28.57</v>
      </c>
      <c r="AQ73" s="369">
        <v>0</v>
      </c>
      <c r="AR73" s="369">
        <v>0</v>
      </c>
      <c r="AS73" s="369">
        <v>38.5</v>
      </c>
      <c r="AT73" s="369">
        <v>12</v>
      </c>
      <c r="AU73" s="369">
        <v>0.4</v>
      </c>
      <c r="AV73" s="369">
        <v>3.01</v>
      </c>
      <c r="AW73" s="369">
        <v>3.79</v>
      </c>
      <c r="AX73" s="369">
        <v>0.26</v>
      </c>
      <c r="AY73" s="369">
        <v>0</v>
      </c>
      <c r="AZ73" s="369">
        <v>0</v>
      </c>
      <c r="BA73" s="369">
        <v>0</v>
      </c>
      <c r="BB73" s="369">
        <v>344.25</v>
      </c>
      <c r="BC73" s="369">
        <v>33.4</v>
      </c>
      <c r="BD73" s="369">
        <v>108.11</v>
      </c>
      <c r="BE73" s="369">
        <v>13.25</v>
      </c>
      <c r="BF73" s="369">
        <v>452.95</v>
      </c>
      <c r="BG73" s="369">
        <v>263.26</v>
      </c>
      <c r="BH73" s="369">
        <v>74.540000000000006</v>
      </c>
      <c r="BI73" s="369">
        <v>261.79000000000002</v>
      </c>
      <c r="BJ73" s="369">
        <v>1.18</v>
      </c>
      <c r="BK73" s="369">
        <v>3.77</v>
      </c>
      <c r="BL73" s="369">
        <v>76.430000000000007</v>
      </c>
      <c r="BM73" s="369">
        <v>7.73</v>
      </c>
      <c r="BN73" s="370">
        <v>98.87</v>
      </c>
      <c r="BO73" s="373">
        <v>4369.93</v>
      </c>
      <c r="BP73" s="374"/>
      <c r="BQ73" s="370">
        <v>984.76</v>
      </c>
      <c r="BR73" s="370">
        <v>11898.36</v>
      </c>
      <c r="BS73" s="370">
        <v>0</v>
      </c>
      <c r="BT73" s="370">
        <v>6367.57</v>
      </c>
      <c r="BU73" s="370">
        <v>-2379.2600000000002</v>
      </c>
      <c r="BV73" s="370">
        <v>-77.19</v>
      </c>
    </row>
    <row r="74" spans="1:74" ht="15.75">
      <c r="A74" s="365" t="s">
        <v>1348</v>
      </c>
      <c r="B74" s="366" t="s">
        <v>1349</v>
      </c>
      <c r="C74" s="373">
        <v>42457.72</v>
      </c>
      <c r="D74" s="368">
        <v>0</v>
      </c>
      <c r="E74" s="369">
        <v>0</v>
      </c>
      <c r="F74" s="369">
        <v>0</v>
      </c>
      <c r="G74" s="369">
        <v>0</v>
      </c>
      <c r="H74" s="369">
        <v>0</v>
      </c>
      <c r="I74" s="369">
        <v>2.13</v>
      </c>
      <c r="J74" s="369">
        <v>8.74</v>
      </c>
      <c r="K74" s="369">
        <v>3.97</v>
      </c>
      <c r="L74" s="369">
        <v>0</v>
      </c>
      <c r="M74" s="369">
        <v>0</v>
      </c>
      <c r="N74" s="369">
        <v>0</v>
      </c>
      <c r="O74" s="369">
        <v>0</v>
      </c>
      <c r="P74" s="369">
        <v>0</v>
      </c>
      <c r="Q74" s="369">
        <v>0</v>
      </c>
      <c r="R74" s="369">
        <v>0</v>
      </c>
      <c r="S74" s="369">
        <v>0</v>
      </c>
      <c r="T74" s="369">
        <v>0</v>
      </c>
      <c r="U74" s="369">
        <v>0</v>
      </c>
      <c r="V74" s="369">
        <v>0</v>
      </c>
      <c r="W74" s="369">
        <v>0</v>
      </c>
      <c r="X74" s="369">
        <v>0</v>
      </c>
      <c r="Y74" s="369">
        <v>0</v>
      </c>
      <c r="Z74" s="369">
        <v>0</v>
      </c>
      <c r="AA74" s="369">
        <v>0</v>
      </c>
      <c r="AB74" s="369">
        <v>0</v>
      </c>
      <c r="AC74" s="369">
        <v>0</v>
      </c>
      <c r="AD74" s="369">
        <v>0</v>
      </c>
      <c r="AE74" s="369">
        <v>3873.17</v>
      </c>
      <c r="AF74" s="369">
        <v>3.58</v>
      </c>
      <c r="AG74" s="369">
        <v>0</v>
      </c>
      <c r="AH74" s="369">
        <v>0</v>
      </c>
      <c r="AI74" s="369">
        <v>0.06</v>
      </c>
      <c r="AJ74" s="369">
        <v>0</v>
      </c>
      <c r="AK74" s="369">
        <v>0</v>
      </c>
      <c r="AL74" s="369">
        <v>0</v>
      </c>
      <c r="AM74" s="369">
        <v>9.9700000000000006</v>
      </c>
      <c r="AN74" s="369">
        <v>7.33</v>
      </c>
      <c r="AO74" s="369">
        <v>0</v>
      </c>
      <c r="AP74" s="369">
        <v>0</v>
      </c>
      <c r="AQ74" s="369">
        <v>0</v>
      </c>
      <c r="AR74" s="369">
        <v>0</v>
      </c>
      <c r="AS74" s="369">
        <v>5.05</v>
      </c>
      <c r="AT74" s="369">
        <v>20.41</v>
      </c>
      <c r="AU74" s="369">
        <v>0.69</v>
      </c>
      <c r="AV74" s="369">
        <v>5.13</v>
      </c>
      <c r="AW74" s="369">
        <v>6.44</v>
      </c>
      <c r="AX74" s="369">
        <v>2274.13</v>
      </c>
      <c r="AY74" s="369">
        <v>31.81</v>
      </c>
      <c r="AZ74" s="369">
        <v>3.21</v>
      </c>
      <c r="BA74" s="369">
        <v>1.59</v>
      </c>
      <c r="BB74" s="369">
        <v>338.31</v>
      </c>
      <c r="BC74" s="369">
        <v>32.82</v>
      </c>
      <c r="BD74" s="369">
        <v>106.25</v>
      </c>
      <c r="BE74" s="369">
        <v>13.02</v>
      </c>
      <c r="BF74" s="369">
        <v>445.14</v>
      </c>
      <c r="BG74" s="369">
        <v>3479.02</v>
      </c>
      <c r="BH74" s="369">
        <v>65.459999999999994</v>
      </c>
      <c r="BI74" s="369">
        <v>229.89</v>
      </c>
      <c r="BJ74" s="369">
        <v>1.03</v>
      </c>
      <c r="BK74" s="369">
        <v>3.31</v>
      </c>
      <c r="BL74" s="369">
        <v>67.12</v>
      </c>
      <c r="BM74" s="369">
        <v>6.79</v>
      </c>
      <c r="BN74" s="370">
        <v>79.22</v>
      </c>
      <c r="BO74" s="373">
        <v>11124.8</v>
      </c>
      <c r="BP74" s="374"/>
      <c r="BQ74" s="370">
        <v>2269.2399999999998</v>
      </c>
      <c r="BR74" s="370">
        <v>2851.52</v>
      </c>
      <c r="BS74" s="370">
        <v>0</v>
      </c>
      <c r="BT74" s="370">
        <v>26354.75</v>
      </c>
      <c r="BU74" s="370">
        <v>-0.78</v>
      </c>
      <c r="BV74" s="370">
        <v>-141.82</v>
      </c>
    </row>
    <row r="75" spans="1:74" ht="15.75">
      <c r="A75" s="365" t="s">
        <v>1350</v>
      </c>
      <c r="B75" s="366" t="s">
        <v>1351</v>
      </c>
      <c r="C75" s="367" t="s">
        <v>1215</v>
      </c>
      <c r="D75" s="368">
        <v>0</v>
      </c>
      <c r="E75" s="369">
        <v>355.93</v>
      </c>
      <c r="F75" s="369">
        <v>35.61</v>
      </c>
      <c r="G75" s="369">
        <v>5.07</v>
      </c>
      <c r="H75" s="369">
        <v>1028.5999999999999</v>
      </c>
      <c r="I75" s="369">
        <v>316.23</v>
      </c>
      <c r="J75" s="369">
        <v>2572.73</v>
      </c>
      <c r="K75" s="369">
        <v>739.67</v>
      </c>
      <c r="L75" s="369">
        <v>0</v>
      </c>
      <c r="M75" s="369">
        <v>0</v>
      </c>
      <c r="N75" s="369">
        <v>10.77</v>
      </c>
      <c r="O75" s="369">
        <v>0</v>
      </c>
      <c r="P75" s="369">
        <v>0</v>
      </c>
      <c r="Q75" s="369">
        <v>0</v>
      </c>
      <c r="R75" s="369">
        <v>0</v>
      </c>
      <c r="S75" s="369">
        <v>0</v>
      </c>
      <c r="T75" s="369">
        <v>0.23</v>
      </c>
      <c r="U75" s="369">
        <v>0</v>
      </c>
      <c r="V75" s="369">
        <v>3.5</v>
      </c>
      <c r="W75" s="369">
        <v>0</v>
      </c>
      <c r="X75" s="369">
        <v>0</v>
      </c>
      <c r="Y75" s="369">
        <v>0</v>
      </c>
      <c r="Z75" s="369">
        <v>0</v>
      </c>
      <c r="AA75" s="369">
        <v>0</v>
      </c>
      <c r="AB75" s="369">
        <v>45.29</v>
      </c>
      <c r="AC75" s="369">
        <v>0</v>
      </c>
      <c r="AD75" s="369">
        <v>465.21</v>
      </c>
      <c r="AE75" s="369">
        <v>2289.86</v>
      </c>
      <c r="AF75" s="369">
        <v>3405.28</v>
      </c>
      <c r="AG75" s="369">
        <v>1991.7</v>
      </c>
      <c r="AH75" s="369">
        <v>258.79000000000002</v>
      </c>
      <c r="AI75" s="369">
        <v>1846.22</v>
      </c>
      <c r="AJ75" s="369">
        <v>773.6</v>
      </c>
      <c r="AK75" s="369">
        <v>3.85</v>
      </c>
      <c r="AL75" s="369">
        <v>72.5</v>
      </c>
      <c r="AM75" s="369">
        <v>10240.780000000001</v>
      </c>
      <c r="AN75" s="369">
        <v>440.06</v>
      </c>
      <c r="AO75" s="369">
        <v>20536.22</v>
      </c>
      <c r="AP75" s="369">
        <v>1139.25</v>
      </c>
      <c r="AQ75" s="369">
        <v>389.47</v>
      </c>
      <c r="AR75" s="369">
        <v>0</v>
      </c>
      <c r="AS75" s="369">
        <v>62.25</v>
      </c>
      <c r="AT75" s="369">
        <v>1079.42</v>
      </c>
      <c r="AU75" s="369">
        <v>36.42</v>
      </c>
      <c r="AV75" s="369">
        <v>271.05</v>
      </c>
      <c r="AW75" s="369">
        <v>340.55</v>
      </c>
      <c r="AX75" s="369">
        <v>23.26</v>
      </c>
      <c r="AY75" s="369">
        <v>19.940000000000001</v>
      </c>
      <c r="AZ75" s="369">
        <v>2.0099999999999998</v>
      </c>
      <c r="BA75" s="369">
        <v>1</v>
      </c>
      <c r="BB75" s="369">
        <v>651.86</v>
      </c>
      <c r="BC75" s="369">
        <v>63.24</v>
      </c>
      <c r="BD75" s="369">
        <v>204.72</v>
      </c>
      <c r="BE75" s="369">
        <v>25.08</v>
      </c>
      <c r="BF75" s="369">
        <v>857.69</v>
      </c>
      <c r="BG75" s="369">
        <v>2935.83</v>
      </c>
      <c r="BH75" s="369">
        <v>101</v>
      </c>
      <c r="BI75" s="369">
        <v>354.69</v>
      </c>
      <c r="BJ75" s="369">
        <v>1.6</v>
      </c>
      <c r="BK75" s="369">
        <v>5.1100000000000003</v>
      </c>
      <c r="BL75" s="369">
        <v>103.55</v>
      </c>
      <c r="BM75" s="369">
        <v>10.48</v>
      </c>
      <c r="BN75" s="370">
        <v>7402.96</v>
      </c>
      <c r="BO75" s="373">
        <v>63520.160000000003</v>
      </c>
      <c r="BP75" s="374"/>
      <c r="BQ75" s="370">
        <v>3786.49</v>
      </c>
      <c r="BR75" s="370">
        <v>2907.89</v>
      </c>
      <c r="BS75" s="370">
        <v>0</v>
      </c>
      <c r="BT75" s="370">
        <v>48074.74</v>
      </c>
      <c r="BU75" s="370">
        <v>6.16</v>
      </c>
      <c r="BV75" s="370">
        <v>-470.1</v>
      </c>
    </row>
    <row r="76" spans="1:74" ht="15.75">
      <c r="A76" s="365" t="s">
        <v>1352</v>
      </c>
      <c r="B76" s="366" t="s">
        <v>1353</v>
      </c>
      <c r="C76" s="367" t="s">
        <v>1215</v>
      </c>
      <c r="D76" s="368">
        <v>0</v>
      </c>
      <c r="E76" s="369">
        <v>0</v>
      </c>
      <c r="F76" s="369">
        <v>0</v>
      </c>
      <c r="G76" s="369">
        <v>0</v>
      </c>
      <c r="H76" s="369">
        <v>154.49</v>
      </c>
      <c r="I76" s="369">
        <v>35.74</v>
      </c>
      <c r="J76" s="369">
        <v>288.27</v>
      </c>
      <c r="K76" s="369">
        <v>67.94</v>
      </c>
      <c r="L76" s="369">
        <v>0</v>
      </c>
      <c r="M76" s="369">
        <v>0</v>
      </c>
      <c r="N76" s="369">
        <v>0</v>
      </c>
      <c r="O76" s="369">
        <v>0</v>
      </c>
      <c r="P76" s="369">
        <v>0</v>
      </c>
      <c r="Q76" s="369">
        <v>0</v>
      </c>
      <c r="R76" s="369">
        <v>0</v>
      </c>
      <c r="S76" s="369">
        <v>0</v>
      </c>
      <c r="T76" s="369">
        <v>408.59</v>
      </c>
      <c r="U76" s="369">
        <v>0</v>
      </c>
      <c r="V76" s="369">
        <v>18.03</v>
      </c>
      <c r="W76" s="369">
        <v>0</v>
      </c>
      <c r="X76" s="369">
        <v>0</v>
      </c>
      <c r="Y76" s="369">
        <v>0</v>
      </c>
      <c r="Z76" s="369">
        <v>0</v>
      </c>
      <c r="AA76" s="369">
        <v>0</v>
      </c>
      <c r="AB76" s="369">
        <v>11.7</v>
      </c>
      <c r="AC76" s="369">
        <v>0</v>
      </c>
      <c r="AD76" s="369">
        <v>77.05</v>
      </c>
      <c r="AE76" s="369">
        <v>6407.24</v>
      </c>
      <c r="AF76" s="369">
        <v>4306.34</v>
      </c>
      <c r="AG76" s="369">
        <v>4918.18</v>
      </c>
      <c r="AH76" s="369">
        <v>1750.03</v>
      </c>
      <c r="AI76" s="369">
        <v>5115.83</v>
      </c>
      <c r="AJ76" s="369">
        <v>129.26</v>
      </c>
      <c r="AK76" s="369">
        <v>0</v>
      </c>
      <c r="AL76" s="369">
        <v>28.17</v>
      </c>
      <c r="AM76" s="369">
        <v>0</v>
      </c>
      <c r="AN76" s="369">
        <v>0</v>
      </c>
      <c r="AO76" s="369">
        <v>0</v>
      </c>
      <c r="AP76" s="369">
        <v>764.04</v>
      </c>
      <c r="AQ76" s="369">
        <v>261.2</v>
      </c>
      <c r="AR76" s="369">
        <v>0</v>
      </c>
      <c r="AS76" s="369">
        <v>0</v>
      </c>
      <c r="AT76" s="369">
        <v>445.98</v>
      </c>
      <c r="AU76" s="369">
        <v>15.05</v>
      </c>
      <c r="AV76" s="369">
        <v>111.99</v>
      </c>
      <c r="AW76" s="369">
        <v>140.69999999999999</v>
      </c>
      <c r="AX76" s="369">
        <v>63461.63</v>
      </c>
      <c r="AY76" s="369">
        <v>331.29</v>
      </c>
      <c r="AZ76" s="369">
        <v>33.409999999999997</v>
      </c>
      <c r="BA76" s="369">
        <v>16.559999999999999</v>
      </c>
      <c r="BB76" s="369">
        <v>0</v>
      </c>
      <c r="BC76" s="369">
        <v>0</v>
      </c>
      <c r="BD76" s="369">
        <v>0</v>
      </c>
      <c r="BE76" s="369">
        <v>0</v>
      </c>
      <c r="BF76" s="369">
        <v>0</v>
      </c>
      <c r="BG76" s="369">
        <v>10798.95</v>
      </c>
      <c r="BH76" s="369">
        <v>1276.8499999999999</v>
      </c>
      <c r="BI76" s="369">
        <v>4484.1899999999996</v>
      </c>
      <c r="BJ76" s="369">
        <v>20.190000000000001</v>
      </c>
      <c r="BK76" s="369">
        <v>64.59</v>
      </c>
      <c r="BL76" s="369">
        <v>1309.1600000000001</v>
      </c>
      <c r="BM76" s="369">
        <v>132.43</v>
      </c>
      <c r="BN76" s="370">
        <v>1398.75</v>
      </c>
      <c r="BO76" s="367" t="s">
        <v>1215</v>
      </c>
      <c r="BP76" s="374"/>
      <c r="BQ76" s="370">
        <v>2895.42</v>
      </c>
      <c r="BR76" s="370">
        <v>5171.58</v>
      </c>
      <c r="BS76" s="370">
        <v>0</v>
      </c>
      <c r="BT76" s="370">
        <v>4056.66</v>
      </c>
      <c r="BU76" s="370">
        <v>0.55000000000000004</v>
      </c>
      <c r="BV76" s="370">
        <v>-326.66000000000003</v>
      </c>
    </row>
    <row r="77" spans="1:74" ht="15.75">
      <c r="A77" s="365" t="s">
        <v>1354</v>
      </c>
      <c r="B77" s="366" t="s">
        <v>1355</v>
      </c>
      <c r="C77" s="373">
        <v>45697.71</v>
      </c>
      <c r="D77" s="368">
        <v>0</v>
      </c>
      <c r="E77" s="369">
        <v>0</v>
      </c>
      <c r="F77" s="369">
        <v>0</v>
      </c>
      <c r="G77" s="369">
        <v>0</v>
      </c>
      <c r="H77" s="369">
        <v>21.95</v>
      </c>
      <c r="I77" s="369">
        <v>11.61</v>
      </c>
      <c r="J77" s="369">
        <v>93.29</v>
      </c>
      <c r="K77" s="369">
        <v>28.45</v>
      </c>
      <c r="L77" s="369">
        <v>0</v>
      </c>
      <c r="M77" s="369">
        <v>0</v>
      </c>
      <c r="N77" s="369">
        <v>0</v>
      </c>
      <c r="O77" s="369">
        <v>0</v>
      </c>
      <c r="P77" s="369">
        <v>0</v>
      </c>
      <c r="Q77" s="369">
        <v>0</v>
      </c>
      <c r="R77" s="369">
        <v>0</v>
      </c>
      <c r="S77" s="369">
        <v>0</v>
      </c>
      <c r="T77" s="369">
        <v>0</v>
      </c>
      <c r="U77" s="369">
        <v>0</v>
      </c>
      <c r="V77" s="369">
        <v>0</v>
      </c>
      <c r="W77" s="369">
        <v>4.87</v>
      </c>
      <c r="X77" s="369">
        <v>0</v>
      </c>
      <c r="Y77" s="369">
        <v>0</v>
      </c>
      <c r="Z77" s="369">
        <v>0</v>
      </c>
      <c r="AA77" s="369">
        <v>0</v>
      </c>
      <c r="AB77" s="369">
        <v>0</v>
      </c>
      <c r="AC77" s="369">
        <v>0</v>
      </c>
      <c r="AD77" s="369">
        <v>0</v>
      </c>
      <c r="AE77" s="369">
        <v>0</v>
      </c>
      <c r="AF77" s="369">
        <v>0</v>
      </c>
      <c r="AG77" s="369">
        <v>0</v>
      </c>
      <c r="AH77" s="369">
        <v>326.69</v>
      </c>
      <c r="AI77" s="369">
        <v>0</v>
      </c>
      <c r="AJ77" s="369">
        <v>0</v>
      </c>
      <c r="AK77" s="369">
        <v>0</v>
      </c>
      <c r="AL77" s="369">
        <v>6.18</v>
      </c>
      <c r="AM77" s="369">
        <v>15.83</v>
      </c>
      <c r="AN77" s="369">
        <v>67.599999999999994</v>
      </c>
      <c r="AO77" s="369">
        <v>0</v>
      </c>
      <c r="AP77" s="369">
        <v>0</v>
      </c>
      <c r="AQ77" s="369">
        <v>0</v>
      </c>
      <c r="AR77" s="369">
        <v>0</v>
      </c>
      <c r="AS77" s="369">
        <v>10.66</v>
      </c>
      <c r="AT77" s="369">
        <v>3.46</v>
      </c>
      <c r="AU77" s="369">
        <v>0.12</v>
      </c>
      <c r="AV77" s="369">
        <v>0.87</v>
      </c>
      <c r="AW77" s="369">
        <v>1.0900000000000001</v>
      </c>
      <c r="AX77" s="369">
        <v>7.0000000000000007E-2</v>
      </c>
      <c r="AY77" s="369">
        <v>109.34</v>
      </c>
      <c r="AZ77" s="369">
        <v>11.03</v>
      </c>
      <c r="BA77" s="369">
        <v>5.47</v>
      </c>
      <c r="BB77" s="369">
        <v>2015.76</v>
      </c>
      <c r="BC77" s="369">
        <v>195.56</v>
      </c>
      <c r="BD77" s="369">
        <v>633.04999999999995</v>
      </c>
      <c r="BE77" s="369">
        <v>77.56</v>
      </c>
      <c r="BF77" s="369">
        <v>2652.26</v>
      </c>
      <c r="BG77" s="369">
        <v>1283.82</v>
      </c>
      <c r="BH77" s="369">
        <v>106.37</v>
      </c>
      <c r="BI77" s="369">
        <v>373.56</v>
      </c>
      <c r="BJ77" s="369">
        <v>1.68</v>
      </c>
      <c r="BK77" s="369">
        <v>5.38</v>
      </c>
      <c r="BL77" s="369">
        <v>109.06</v>
      </c>
      <c r="BM77" s="369">
        <v>11.03</v>
      </c>
      <c r="BN77" s="370">
        <v>148.37</v>
      </c>
      <c r="BO77" s="373">
        <v>8332.01</v>
      </c>
      <c r="BP77" s="374"/>
      <c r="BQ77" s="370">
        <v>2766.38</v>
      </c>
      <c r="BR77" s="370">
        <v>5586.85</v>
      </c>
      <c r="BS77" s="370">
        <v>0</v>
      </c>
      <c r="BT77" s="370">
        <v>30714.639999999999</v>
      </c>
      <c r="BU77" s="370">
        <v>-1501.59</v>
      </c>
      <c r="BV77" s="370">
        <v>-200.59</v>
      </c>
    </row>
    <row r="78" spans="1:74" ht="15.75">
      <c r="A78" s="365" t="s">
        <v>1356</v>
      </c>
      <c r="B78" s="366" t="s">
        <v>1357</v>
      </c>
      <c r="C78" s="367" t="s">
        <v>1215</v>
      </c>
      <c r="D78" s="368">
        <v>0</v>
      </c>
      <c r="E78" s="369">
        <v>4108.29</v>
      </c>
      <c r="F78" s="369">
        <v>421.1</v>
      </c>
      <c r="G78" s="369">
        <v>50.29</v>
      </c>
      <c r="H78" s="369">
        <v>1671.51</v>
      </c>
      <c r="I78" s="369">
        <v>472.35</v>
      </c>
      <c r="J78" s="369">
        <v>7089.12</v>
      </c>
      <c r="K78" s="369">
        <v>1439.89</v>
      </c>
      <c r="L78" s="369">
        <v>815.12</v>
      </c>
      <c r="M78" s="369">
        <v>209.03</v>
      </c>
      <c r="N78" s="369">
        <v>51.39</v>
      </c>
      <c r="O78" s="369">
        <v>56.44</v>
      </c>
      <c r="P78" s="369">
        <v>5.76</v>
      </c>
      <c r="Q78" s="369">
        <v>14.49</v>
      </c>
      <c r="R78" s="369">
        <v>247.74</v>
      </c>
      <c r="S78" s="369">
        <v>135.25</v>
      </c>
      <c r="T78" s="369">
        <v>172.34</v>
      </c>
      <c r="U78" s="369">
        <v>95.04</v>
      </c>
      <c r="V78" s="369">
        <v>110.49</v>
      </c>
      <c r="W78" s="369">
        <v>334.5</v>
      </c>
      <c r="X78" s="369">
        <v>25.58</v>
      </c>
      <c r="Y78" s="369">
        <v>85.75</v>
      </c>
      <c r="Z78" s="369">
        <v>49.57</v>
      </c>
      <c r="AA78" s="369">
        <v>136.58000000000001</v>
      </c>
      <c r="AB78" s="369">
        <v>202.51</v>
      </c>
      <c r="AC78" s="369">
        <v>37.08</v>
      </c>
      <c r="AD78" s="369">
        <v>373.32</v>
      </c>
      <c r="AE78" s="369">
        <v>643</v>
      </c>
      <c r="AF78" s="369">
        <v>508.15</v>
      </c>
      <c r="AG78" s="369">
        <v>17.309999999999999</v>
      </c>
      <c r="AH78" s="369">
        <v>41.32</v>
      </c>
      <c r="AI78" s="369">
        <v>72348.210000000006</v>
      </c>
      <c r="AJ78" s="369">
        <v>2592.48</v>
      </c>
      <c r="AK78" s="369">
        <v>56.2</v>
      </c>
      <c r="AL78" s="369">
        <v>123.76</v>
      </c>
      <c r="AM78" s="369">
        <v>531.76</v>
      </c>
      <c r="AN78" s="369">
        <v>91.5</v>
      </c>
      <c r="AO78" s="369">
        <v>0</v>
      </c>
      <c r="AP78" s="369">
        <v>4530.7</v>
      </c>
      <c r="AQ78" s="369">
        <v>2443.0300000000002</v>
      </c>
      <c r="AR78" s="369">
        <v>14334.17</v>
      </c>
      <c r="AS78" s="369">
        <v>0</v>
      </c>
      <c r="AT78" s="369">
        <v>12287.54</v>
      </c>
      <c r="AU78" s="369">
        <v>218.7</v>
      </c>
      <c r="AV78" s="369">
        <v>1663.41</v>
      </c>
      <c r="AW78" s="369">
        <v>2702.39</v>
      </c>
      <c r="AX78" s="369">
        <v>461.08</v>
      </c>
      <c r="AY78" s="369">
        <v>206.49</v>
      </c>
      <c r="AZ78" s="369">
        <v>20.83</v>
      </c>
      <c r="BA78" s="369">
        <v>10.32</v>
      </c>
      <c r="BB78" s="369">
        <v>1496.26</v>
      </c>
      <c r="BC78" s="369">
        <v>408.91</v>
      </c>
      <c r="BD78" s="369">
        <v>407.34</v>
      </c>
      <c r="BE78" s="369">
        <v>90.02</v>
      </c>
      <c r="BF78" s="369">
        <v>3735.73</v>
      </c>
      <c r="BG78" s="369">
        <v>25994.36</v>
      </c>
      <c r="BH78" s="369">
        <v>3370.37</v>
      </c>
      <c r="BI78" s="369">
        <v>12253.69</v>
      </c>
      <c r="BJ78" s="369">
        <v>109.47</v>
      </c>
      <c r="BK78" s="369">
        <v>186.59</v>
      </c>
      <c r="BL78" s="369">
        <v>3432.87</v>
      </c>
      <c r="BM78" s="369">
        <v>430</v>
      </c>
      <c r="BN78" s="370">
        <v>4925.6099999999997</v>
      </c>
      <c r="BO78" s="367" t="s">
        <v>1215</v>
      </c>
      <c r="BP78" s="374"/>
      <c r="BQ78" s="370">
        <v>58883.26</v>
      </c>
      <c r="BR78" s="383" t="s">
        <v>1215</v>
      </c>
      <c r="BS78" s="370">
        <v>0</v>
      </c>
      <c r="BT78" s="383" t="s">
        <v>1215</v>
      </c>
      <c r="BU78" s="370">
        <v>51.67</v>
      </c>
      <c r="BV78" s="370">
        <v>-771.21</v>
      </c>
    </row>
    <row r="79" spans="1:74" ht="15.75">
      <c r="A79" s="365" t="s">
        <v>1358</v>
      </c>
      <c r="B79" s="366" t="s">
        <v>1359</v>
      </c>
      <c r="C79" s="373">
        <v>22271.22</v>
      </c>
      <c r="D79" s="368">
        <v>0</v>
      </c>
      <c r="E79" s="369">
        <v>0</v>
      </c>
      <c r="F79" s="369">
        <v>0</v>
      </c>
      <c r="G79" s="369">
        <v>0</v>
      </c>
      <c r="H79" s="369">
        <v>0</v>
      </c>
      <c r="I79" s="369">
        <v>0</v>
      </c>
      <c r="J79" s="369">
        <v>0</v>
      </c>
      <c r="K79" s="369">
        <v>0</v>
      </c>
      <c r="L79" s="369">
        <v>0</v>
      </c>
      <c r="M79" s="369">
        <v>0</v>
      </c>
      <c r="N79" s="369">
        <v>0</v>
      </c>
      <c r="O79" s="369">
        <v>0</v>
      </c>
      <c r="P79" s="369">
        <v>0</v>
      </c>
      <c r="Q79" s="369">
        <v>0</v>
      </c>
      <c r="R79" s="369">
        <v>0</v>
      </c>
      <c r="S79" s="369">
        <v>0</v>
      </c>
      <c r="T79" s="369">
        <v>0</v>
      </c>
      <c r="U79" s="369">
        <v>0</v>
      </c>
      <c r="V79" s="369">
        <v>0</v>
      </c>
      <c r="W79" s="369">
        <v>0</v>
      </c>
      <c r="X79" s="369">
        <v>0</v>
      </c>
      <c r="Y79" s="369">
        <v>0</v>
      </c>
      <c r="Z79" s="369">
        <v>0</v>
      </c>
      <c r="AA79" s="369">
        <v>0</v>
      </c>
      <c r="AB79" s="369">
        <v>0</v>
      </c>
      <c r="AC79" s="369">
        <v>0</v>
      </c>
      <c r="AD79" s="369">
        <v>0</v>
      </c>
      <c r="AE79" s="369">
        <v>0</v>
      </c>
      <c r="AF79" s="369">
        <v>0</v>
      </c>
      <c r="AG79" s="369">
        <v>0</v>
      </c>
      <c r="AH79" s="369">
        <v>0</v>
      </c>
      <c r="AI79" s="369">
        <v>0</v>
      </c>
      <c r="AJ79" s="369">
        <v>1723.74</v>
      </c>
      <c r="AK79" s="369">
        <v>0</v>
      </c>
      <c r="AL79" s="369">
        <v>0</v>
      </c>
      <c r="AM79" s="369">
        <v>0</v>
      </c>
      <c r="AN79" s="369">
        <v>0</v>
      </c>
      <c r="AO79" s="369">
        <v>0</v>
      </c>
      <c r="AP79" s="369">
        <v>0</v>
      </c>
      <c r="AQ79" s="369">
        <v>0</v>
      </c>
      <c r="AR79" s="369">
        <v>0</v>
      </c>
      <c r="AS79" s="369">
        <v>0</v>
      </c>
      <c r="AT79" s="369">
        <v>0</v>
      </c>
      <c r="AU79" s="369">
        <v>0</v>
      </c>
      <c r="AV79" s="369">
        <v>0</v>
      </c>
      <c r="AW79" s="369">
        <v>0</v>
      </c>
      <c r="AX79" s="369">
        <v>0</v>
      </c>
      <c r="AY79" s="369">
        <v>0</v>
      </c>
      <c r="AZ79" s="369">
        <v>0</v>
      </c>
      <c r="BA79" s="369">
        <v>0</v>
      </c>
      <c r="BB79" s="369">
        <v>0</v>
      </c>
      <c r="BC79" s="369">
        <v>0</v>
      </c>
      <c r="BD79" s="369">
        <v>0</v>
      </c>
      <c r="BE79" s="369">
        <v>0</v>
      </c>
      <c r="BF79" s="369">
        <v>0</v>
      </c>
      <c r="BG79" s="369">
        <v>0</v>
      </c>
      <c r="BH79" s="369">
        <v>0</v>
      </c>
      <c r="BI79" s="369">
        <v>0</v>
      </c>
      <c r="BJ79" s="369">
        <v>0</v>
      </c>
      <c r="BK79" s="369">
        <v>0</v>
      </c>
      <c r="BL79" s="369">
        <v>0</v>
      </c>
      <c r="BM79" s="369">
        <v>0</v>
      </c>
      <c r="BN79" s="370">
        <v>0</v>
      </c>
      <c r="BO79" s="373">
        <v>1723.74</v>
      </c>
      <c r="BP79" s="374"/>
      <c r="BQ79" s="370">
        <v>3782.6</v>
      </c>
      <c r="BR79" s="370">
        <v>1305.2</v>
      </c>
      <c r="BS79" s="370">
        <v>0</v>
      </c>
      <c r="BT79" s="370">
        <v>15500</v>
      </c>
      <c r="BU79" s="370">
        <v>0</v>
      </c>
      <c r="BV79" s="370">
        <v>-40.32</v>
      </c>
    </row>
    <row r="80" spans="1:74" ht="15.75">
      <c r="A80" s="365" t="s">
        <v>1360</v>
      </c>
      <c r="B80" s="366" t="s">
        <v>1361</v>
      </c>
      <c r="C80" s="373">
        <v>6869.55</v>
      </c>
      <c r="D80" s="368">
        <v>0</v>
      </c>
      <c r="E80" s="369">
        <v>0</v>
      </c>
      <c r="F80" s="369">
        <v>0</v>
      </c>
      <c r="G80" s="369">
        <v>0</v>
      </c>
      <c r="H80" s="369">
        <v>0</v>
      </c>
      <c r="I80" s="369">
        <v>0</v>
      </c>
      <c r="J80" s="369">
        <v>0</v>
      </c>
      <c r="K80" s="369">
        <v>0</v>
      </c>
      <c r="L80" s="369">
        <v>0</v>
      </c>
      <c r="M80" s="369">
        <v>0</v>
      </c>
      <c r="N80" s="369">
        <v>0</v>
      </c>
      <c r="O80" s="369">
        <v>0</v>
      </c>
      <c r="P80" s="369">
        <v>0</v>
      </c>
      <c r="Q80" s="369">
        <v>0</v>
      </c>
      <c r="R80" s="369">
        <v>0</v>
      </c>
      <c r="S80" s="369">
        <v>0</v>
      </c>
      <c r="T80" s="369">
        <v>0</v>
      </c>
      <c r="U80" s="369">
        <v>0</v>
      </c>
      <c r="V80" s="369">
        <v>0</v>
      </c>
      <c r="W80" s="369">
        <v>0</v>
      </c>
      <c r="X80" s="369">
        <v>0</v>
      </c>
      <c r="Y80" s="369">
        <v>0</v>
      </c>
      <c r="Z80" s="369">
        <v>0</v>
      </c>
      <c r="AA80" s="369">
        <v>0</v>
      </c>
      <c r="AB80" s="369">
        <v>0</v>
      </c>
      <c r="AC80" s="369">
        <v>0</v>
      </c>
      <c r="AD80" s="369">
        <v>784.97</v>
      </c>
      <c r="AE80" s="369">
        <v>86.46</v>
      </c>
      <c r="AF80" s="369">
        <v>0</v>
      </c>
      <c r="AG80" s="369">
        <v>0</v>
      </c>
      <c r="AH80" s="369">
        <v>0</v>
      </c>
      <c r="AI80" s="369">
        <v>0</v>
      </c>
      <c r="AJ80" s="369">
        <v>729.59</v>
      </c>
      <c r="AK80" s="369">
        <v>0</v>
      </c>
      <c r="AL80" s="369">
        <v>0</v>
      </c>
      <c r="AM80" s="369">
        <v>0</v>
      </c>
      <c r="AN80" s="369">
        <v>0</v>
      </c>
      <c r="AO80" s="369">
        <v>0</v>
      </c>
      <c r="AP80" s="369">
        <v>0</v>
      </c>
      <c r="AQ80" s="369">
        <v>0</v>
      </c>
      <c r="AR80" s="369">
        <v>0</v>
      </c>
      <c r="AS80" s="369">
        <v>0</v>
      </c>
      <c r="AT80" s="369">
        <v>0</v>
      </c>
      <c r="AU80" s="369">
        <v>0</v>
      </c>
      <c r="AV80" s="369">
        <v>0</v>
      </c>
      <c r="AW80" s="369">
        <v>0</v>
      </c>
      <c r="AX80" s="369">
        <v>0</v>
      </c>
      <c r="AY80" s="369">
        <v>0</v>
      </c>
      <c r="AZ80" s="369">
        <v>0</v>
      </c>
      <c r="BA80" s="369">
        <v>0</v>
      </c>
      <c r="BB80" s="369">
        <v>0</v>
      </c>
      <c r="BC80" s="369">
        <v>0</v>
      </c>
      <c r="BD80" s="369">
        <v>0</v>
      </c>
      <c r="BE80" s="369">
        <v>0</v>
      </c>
      <c r="BF80" s="369">
        <v>0</v>
      </c>
      <c r="BG80" s="369">
        <v>0</v>
      </c>
      <c r="BH80" s="369">
        <v>0</v>
      </c>
      <c r="BI80" s="369">
        <v>0</v>
      </c>
      <c r="BJ80" s="369">
        <v>0</v>
      </c>
      <c r="BK80" s="369">
        <v>0</v>
      </c>
      <c r="BL80" s="369">
        <v>0</v>
      </c>
      <c r="BM80" s="369">
        <v>0</v>
      </c>
      <c r="BN80" s="370">
        <v>0</v>
      </c>
      <c r="BO80" s="373">
        <v>1601.03</v>
      </c>
      <c r="BP80" s="374"/>
      <c r="BQ80" s="370">
        <v>2010.49</v>
      </c>
      <c r="BR80" s="370">
        <v>0</v>
      </c>
      <c r="BS80" s="370">
        <v>0</v>
      </c>
      <c r="BT80" s="370">
        <v>3000.3</v>
      </c>
      <c r="BU80" s="370">
        <v>266.86</v>
      </c>
      <c r="BV80" s="370">
        <v>-9.14</v>
      </c>
    </row>
    <row r="81" spans="1:74" ht="15.75">
      <c r="A81" s="365" t="s">
        <v>1362</v>
      </c>
      <c r="B81" s="366" t="s">
        <v>1363</v>
      </c>
      <c r="C81" s="373">
        <v>21157.7</v>
      </c>
      <c r="D81" s="368">
        <v>0</v>
      </c>
      <c r="E81" s="369">
        <v>0</v>
      </c>
      <c r="F81" s="369">
        <v>0</v>
      </c>
      <c r="G81" s="369">
        <v>0</v>
      </c>
      <c r="H81" s="369">
        <v>0</v>
      </c>
      <c r="I81" s="369">
        <v>0</v>
      </c>
      <c r="J81" s="369">
        <v>0</v>
      </c>
      <c r="K81" s="369">
        <v>0</v>
      </c>
      <c r="L81" s="369">
        <v>0</v>
      </c>
      <c r="M81" s="369">
        <v>0</v>
      </c>
      <c r="N81" s="369">
        <v>0</v>
      </c>
      <c r="O81" s="369">
        <v>0</v>
      </c>
      <c r="P81" s="369">
        <v>0</v>
      </c>
      <c r="Q81" s="369">
        <v>0</v>
      </c>
      <c r="R81" s="369">
        <v>0</v>
      </c>
      <c r="S81" s="369">
        <v>0</v>
      </c>
      <c r="T81" s="369">
        <v>0</v>
      </c>
      <c r="U81" s="369">
        <v>0</v>
      </c>
      <c r="V81" s="369">
        <v>0</v>
      </c>
      <c r="W81" s="369">
        <v>0</v>
      </c>
      <c r="X81" s="369">
        <v>0</v>
      </c>
      <c r="Y81" s="369">
        <v>0</v>
      </c>
      <c r="Z81" s="369">
        <v>0</v>
      </c>
      <c r="AA81" s="369">
        <v>0</v>
      </c>
      <c r="AB81" s="369">
        <v>0</v>
      </c>
      <c r="AC81" s="369">
        <v>0</v>
      </c>
      <c r="AD81" s="369">
        <v>0</v>
      </c>
      <c r="AE81" s="369">
        <v>0</v>
      </c>
      <c r="AF81" s="369">
        <v>0</v>
      </c>
      <c r="AG81" s="369">
        <v>0</v>
      </c>
      <c r="AH81" s="369">
        <v>0</v>
      </c>
      <c r="AI81" s="369">
        <v>0</v>
      </c>
      <c r="AJ81" s="369">
        <v>1829.55</v>
      </c>
      <c r="AK81" s="369">
        <v>0</v>
      </c>
      <c r="AL81" s="369">
        <v>0</v>
      </c>
      <c r="AM81" s="369">
        <v>0</v>
      </c>
      <c r="AN81" s="369">
        <v>0</v>
      </c>
      <c r="AO81" s="369">
        <v>0</v>
      </c>
      <c r="AP81" s="369">
        <v>0</v>
      </c>
      <c r="AQ81" s="369">
        <v>0</v>
      </c>
      <c r="AR81" s="369">
        <v>0</v>
      </c>
      <c r="AS81" s="369">
        <v>0</v>
      </c>
      <c r="AT81" s="369">
        <v>0</v>
      </c>
      <c r="AU81" s="369">
        <v>0</v>
      </c>
      <c r="AV81" s="369">
        <v>0</v>
      </c>
      <c r="AW81" s="369">
        <v>0</v>
      </c>
      <c r="AX81" s="369">
        <v>0</v>
      </c>
      <c r="AY81" s="369">
        <v>0</v>
      </c>
      <c r="AZ81" s="369">
        <v>0</v>
      </c>
      <c r="BA81" s="369">
        <v>0</v>
      </c>
      <c r="BB81" s="369">
        <v>0</v>
      </c>
      <c r="BC81" s="369">
        <v>0</v>
      </c>
      <c r="BD81" s="369">
        <v>0</v>
      </c>
      <c r="BE81" s="369">
        <v>0</v>
      </c>
      <c r="BF81" s="369">
        <v>0</v>
      </c>
      <c r="BG81" s="369">
        <v>0</v>
      </c>
      <c r="BH81" s="369">
        <v>0</v>
      </c>
      <c r="BI81" s="369">
        <v>0</v>
      </c>
      <c r="BJ81" s="369">
        <v>0</v>
      </c>
      <c r="BK81" s="369">
        <v>0</v>
      </c>
      <c r="BL81" s="369">
        <v>0</v>
      </c>
      <c r="BM81" s="369">
        <v>0</v>
      </c>
      <c r="BN81" s="370">
        <v>0</v>
      </c>
      <c r="BO81" s="373">
        <v>1829.55</v>
      </c>
      <c r="BP81" s="374"/>
      <c r="BQ81" s="370">
        <v>13139.04</v>
      </c>
      <c r="BR81" s="370">
        <v>0</v>
      </c>
      <c r="BS81" s="370">
        <v>0</v>
      </c>
      <c r="BT81" s="370">
        <v>6238.91</v>
      </c>
      <c r="BU81" s="370">
        <v>-0.1</v>
      </c>
      <c r="BV81" s="370">
        <v>-49.7</v>
      </c>
    </row>
    <row r="82" spans="1:74" ht="15.75">
      <c r="A82" s="365" t="s">
        <v>1364</v>
      </c>
      <c r="B82" s="366" t="s">
        <v>1114</v>
      </c>
      <c r="C82" s="373">
        <v>5483.77</v>
      </c>
      <c r="D82" s="368">
        <v>0</v>
      </c>
      <c r="E82" s="369">
        <v>121.71</v>
      </c>
      <c r="F82" s="369">
        <v>12.47</v>
      </c>
      <c r="G82" s="369">
        <v>1.41</v>
      </c>
      <c r="H82" s="369">
        <v>17.16</v>
      </c>
      <c r="I82" s="369">
        <v>37.11</v>
      </c>
      <c r="J82" s="369">
        <v>299.08</v>
      </c>
      <c r="K82" s="369">
        <v>100.32</v>
      </c>
      <c r="L82" s="369">
        <v>0</v>
      </c>
      <c r="M82" s="369">
        <v>0</v>
      </c>
      <c r="N82" s="369">
        <v>0</v>
      </c>
      <c r="O82" s="369">
        <v>0</v>
      </c>
      <c r="P82" s="369">
        <v>0</v>
      </c>
      <c r="Q82" s="369">
        <v>0</v>
      </c>
      <c r="R82" s="369">
        <v>0</v>
      </c>
      <c r="S82" s="369">
        <v>0</v>
      </c>
      <c r="T82" s="369">
        <v>0</v>
      </c>
      <c r="U82" s="369">
        <v>0</v>
      </c>
      <c r="V82" s="369">
        <v>0</v>
      </c>
      <c r="W82" s="369">
        <v>0</v>
      </c>
      <c r="X82" s="369">
        <v>0</v>
      </c>
      <c r="Y82" s="369">
        <v>0</v>
      </c>
      <c r="Z82" s="369">
        <v>0</v>
      </c>
      <c r="AA82" s="369">
        <v>0</v>
      </c>
      <c r="AB82" s="369">
        <v>0</v>
      </c>
      <c r="AC82" s="369">
        <v>0</v>
      </c>
      <c r="AD82" s="369">
        <v>0</v>
      </c>
      <c r="AE82" s="369">
        <v>0</v>
      </c>
      <c r="AF82" s="369">
        <v>0</v>
      </c>
      <c r="AG82" s="369">
        <v>0</v>
      </c>
      <c r="AH82" s="369">
        <v>0</v>
      </c>
      <c r="AI82" s="369">
        <v>0</v>
      </c>
      <c r="AJ82" s="369">
        <v>0</v>
      </c>
      <c r="AK82" s="369">
        <v>0</v>
      </c>
      <c r="AL82" s="369">
        <v>0</v>
      </c>
      <c r="AM82" s="369">
        <v>0</v>
      </c>
      <c r="AN82" s="369">
        <v>0</v>
      </c>
      <c r="AO82" s="369">
        <v>0</v>
      </c>
      <c r="AP82" s="369">
        <v>5.0199999999999996</v>
      </c>
      <c r="AQ82" s="369">
        <v>1.72</v>
      </c>
      <c r="AR82" s="369">
        <v>0</v>
      </c>
      <c r="AS82" s="369">
        <v>0</v>
      </c>
      <c r="AT82" s="369">
        <v>1049.3599999999999</v>
      </c>
      <c r="AU82" s="369">
        <v>35.409999999999997</v>
      </c>
      <c r="AV82" s="369">
        <v>263.5</v>
      </c>
      <c r="AW82" s="369">
        <v>331.07</v>
      </c>
      <c r="AX82" s="369">
        <v>22.61</v>
      </c>
      <c r="AY82" s="369">
        <v>0</v>
      </c>
      <c r="AZ82" s="369">
        <v>0</v>
      </c>
      <c r="BA82" s="369">
        <v>0</v>
      </c>
      <c r="BB82" s="369">
        <v>0</v>
      </c>
      <c r="BC82" s="369">
        <v>0</v>
      </c>
      <c r="BD82" s="369">
        <v>0</v>
      </c>
      <c r="BE82" s="369">
        <v>0</v>
      </c>
      <c r="BF82" s="369">
        <v>0</v>
      </c>
      <c r="BG82" s="369">
        <v>1248.0899999999999</v>
      </c>
      <c r="BH82" s="369">
        <v>3.78</v>
      </c>
      <c r="BI82" s="369">
        <v>13.28</v>
      </c>
      <c r="BJ82" s="369">
        <v>0.06</v>
      </c>
      <c r="BK82" s="369">
        <v>0.19</v>
      </c>
      <c r="BL82" s="369">
        <v>3.88</v>
      </c>
      <c r="BM82" s="369">
        <v>0.39</v>
      </c>
      <c r="BN82" s="370">
        <v>147.09</v>
      </c>
      <c r="BO82" s="373">
        <v>3714.7</v>
      </c>
      <c r="BP82" s="374"/>
      <c r="BQ82" s="370">
        <v>399.84</v>
      </c>
      <c r="BR82" s="370">
        <v>1365.85</v>
      </c>
      <c r="BS82" s="370">
        <v>0</v>
      </c>
      <c r="BT82" s="370">
        <v>0</v>
      </c>
      <c r="BU82" s="370">
        <v>11.44</v>
      </c>
      <c r="BV82" s="370">
        <v>-8.06</v>
      </c>
    </row>
    <row r="83" spans="1:74" ht="15.75">
      <c r="A83" s="365" t="s">
        <v>1365</v>
      </c>
      <c r="B83" s="366" t="s">
        <v>140</v>
      </c>
      <c r="C83" s="367" t="s">
        <v>1215</v>
      </c>
      <c r="D83" s="368">
        <v>0</v>
      </c>
      <c r="E83" s="369">
        <v>55.14</v>
      </c>
      <c r="F83" s="369">
        <v>5.66</v>
      </c>
      <c r="G83" s="369">
        <v>0.7</v>
      </c>
      <c r="H83" s="369">
        <v>0.31</v>
      </c>
      <c r="I83" s="369">
        <v>0.99</v>
      </c>
      <c r="J83" s="369">
        <v>1.91</v>
      </c>
      <c r="K83" s="369">
        <v>0.51</v>
      </c>
      <c r="L83" s="369">
        <v>64.569999999999993</v>
      </c>
      <c r="M83" s="369">
        <v>29</v>
      </c>
      <c r="N83" s="369">
        <v>2.06</v>
      </c>
      <c r="O83" s="369">
        <v>12.47</v>
      </c>
      <c r="P83" s="369">
        <v>0.39</v>
      </c>
      <c r="Q83" s="369">
        <v>6.58</v>
      </c>
      <c r="R83" s="369">
        <v>23.11</v>
      </c>
      <c r="S83" s="369">
        <v>5.47</v>
      </c>
      <c r="T83" s="369">
        <v>149.59</v>
      </c>
      <c r="U83" s="369">
        <v>257.75</v>
      </c>
      <c r="V83" s="369">
        <v>32.630000000000003</v>
      </c>
      <c r="W83" s="369">
        <v>10.65</v>
      </c>
      <c r="X83" s="369">
        <v>0.69</v>
      </c>
      <c r="Y83" s="369">
        <v>7.98</v>
      </c>
      <c r="Z83" s="369">
        <v>0.63</v>
      </c>
      <c r="AA83" s="369">
        <v>3.84</v>
      </c>
      <c r="AB83" s="369">
        <v>49.57</v>
      </c>
      <c r="AC83" s="369">
        <v>20.7</v>
      </c>
      <c r="AD83" s="369">
        <v>34.549999999999997</v>
      </c>
      <c r="AE83" s="369">
        <v>21.6</v>
      </c>
      <c r="AF83" s="369">
        <v>5.9</v>
      </c>
      <c r="AG83" s="369">
        <v>10.78</v>
      </c>
      <c r="AH83" s="369">
        <v>2.3199999999999998</v>
      </c>
      <c r="AI83" s="369">
        <v>23.52</v>
      </c>
      <c r="AJ83" s="369">
        <v>7.14</v>
      </c>
      <c r="AK83" s="369">
        <v>1.0900000000000001</v>
      </c>
      <c r="AL83" s="369">
        <v>5.31</v>
      </c>
      <c r="AM83" s="369">
        <v>5.74</v>
      </c>
      <c r="AN83" s="369">
        <v>32.06</v>
      </c>
      <c r="AO83" s="369">
        <v>1351.64</v>
      </c>
      <c r="AP83" s="369">
        <v>32.36</v>
      </c>
      <c r="AQ83" s="369">
        <v>18.489999999999998</v>
      </c>
      <c r="AR83" s="369">
        <v>9.64</v>
      </c>
      <c r="AS83" s="369">
        <v>79.650000000000006</v>
      </c>
      <c r="AT83" s="369">
        <v>740.23</v>
      </c>
      <c r="AU83" s="369">
        <v>2.57</v>
      </c>
      <c r="AV83" s="369">
        <v>15.32</v>
      </c>
      <c r="AW83" s="369">
        <v>178.81</v>
      </c>
      <c r="AX83" s="369">
        <v>42.48</v>
      </c>
      <c r="AY83" s="369">
        <v>13.54</v>
      </c>
      <c r="AZ83" s="369">
        <v>1.37</v>
      </c>
      <c r="BA83" s="369">
        <v>0.68</v>
      </c>
      <c r="BB83" s="369">
        <v>538.99</v>
      </c>
      <c r="BC83" s="369">
        <v>21.81</v>
      </c>
      <c r="BD83" s="369">
        <v>81.06</v>
      </c>
      <c r="BE83" s="369">
        <v>13.14</v>
      </c>
      <c r="BF83" s="369">
        <v>764.05</v>
      </c>
      <c r="BG83" s="369">
        <v>160.33000000000001</v>
      </c>
      <c r="BH83" s="369">
        <v>0</v>
      </c>
      <c r="BI83" s="369">
        <v>0</v>
      </c>
      <c r="BJ83" s="369">
        <v>0</v>
      </c>
      <c r="BK83" s="369">
        <v>0</v>
      </c>
      <c r="BL83" s="369">
        <v>0</v>
      </c>
      <c r="BM83" s="369">
        <v>0</v>
      </c>
      <c r="BN83" s="370">
        <v>162.27000000000001</v>
      </c>
      <c r="BO83" s="373">
        <v>5121.3100000000004</v>
      </c>
      <c r="BP83" s="374"/>
      <c r="BQ83" s="370">
        <v>1412.54</v>
      </c>
      <c r="BR83" s="370">
        <v>0</v>
      </c>
      <c r="BS83" s="370">
        <v>0</v>
      </c>
      <c r="BT83" s="383" t="s">
        <v>1215</v>
      </c>
      <c r="BU83" s="370">
        <v>0</v>
      </c>
      <c r="BV83" s="370">
        <v>-672.39</v>
      </c>
    </row>
    <row r="84" spans="1:74" ht="15.75">
      <c r="A84" s="365" t="s">
        <v>1366</v>
      </c>
      <c r="B84" s="366" t="s">
        <v>1367</v>
      </c>
      <c r="C84" s="367" t="s">
        <v>1215</v>
      </c>
      <c r="D84" s="368">
        <v>0</v>
      </c>
      <c r="E84" s="369">
        <v>0</v>
      </c>
      <c r="F84" s="369">
        <v>0</v>
      </c>
      <c r="G84" s="369">
        <v>0</v>
      </c>
      <c r="H84" s="369">
        <v>54.27</v>
      </c>
      <c r="I84" s="369">
        <v>72.03</v>
      </c>
      <c r="J84" s="369">
        <v>272.70999999999998</v>
      </c>
      <c r="K84" s="369">
        <v>32.36</v>
      </c>
      <c r="L84" s="369">
        <v>42.53</v>
      </c>
      <c r="M84" s="369">
        <v>19.100000000000001</v>
      </c>
      <c r="N84" s="369">
        <v>1.35</v>
      </c>
      <c r="O84" s="369">
        <v>8.2100000000000009</v>
      </c>
      <c r="P84" s="369">
        <v>0.26</v>
      </c>
      <c r="Q84" s="369">
        <v>4.33</v>
      </c>
      <c r="R84" s="369">
        <v>15.23</v>
      </c>
      <c r="S84" s="369">
        <v>3.6</v>
      </c>
      <c r="T84" s="369">
        <v>98.54</v>
      </c>
      <c r="U84" s="369">
        <v>169.78</v>
      </c>
      <c r="V84" s="369">
        <v>21.49</v>
      </c>
      <c r="W84" s="369">
        <v>7.02</v>
      </c>
      <c r="X84" s="369">
        <v>0.45</v>
      </c>
      <c r="Y84" s="369">
        <v>5.25</v>
      </c>
      <c r="Z84" s="369">
        <v>0.41</v>
      </c>
      <c r="AA84" s="369">
        <v>2.5299999999999998</v>
      </c>
      <c r="AB84" s="369">
        <v>32.659999999999997</v>
      </c>
      <c r="AC84" s="369">
        <v>13.63</v>
      </c>
      <c r="AD84" s="369">
        <v>22.76</v>
      </c>
      <c r="AE84" s="369">
        <v>14.23</v>
      </c>
      <c r="AF84" s="369">
        <v>3.88</v>
      </c>
      <c r="AG84" s="369">
        <v>7.1</v>
      </c>
      <c r="AH84" s="369">
        <v>1.53</v>
      </c>
      <c r="AI84" s="369">
        <v>15.5</v>
      </c>
      <c r="AJ84" s="369">
        <v>4.7</v>
      </c>
      <c r="AK84" s="369">
        <v>0.72</v>
      </c>
      <c r="AL84" s="369">
        <v>3.5</v>
      </c>
      <c r="AM84" s="369">
        <v>2.48</v>
      </c>
      <c r="AN84" s="369">
        <v>13.9</v>
      </c>
      <c r="AO84" s="369">
        <v>873.46</v>
      </c>
      <c r="AP84" s="369">
        <v>21.32</v>
      </c>
      <c r="AQ84" s="369">
        <v>12.18</v>
      </c>
      <c r="AR84" s="369">
        <v>3.58</v>
      </c>
      <c r="AS84" s="369">
        <v>0</v>
      </c>
      <c r="AT84" s="369">
        <v>422.78</v>
      </c>
      <c r="AU84" s="369">
        <v>0.95</v>
      </c>
      <c r="AV84" s="369">
        <v>5.21</v>
      </c>
      <c r="AW84" s="369">
        <v>107.08</v>
      </c>
      <c r="AX84" s="369">
        <v>24.15</v>
      </c>
      <c r="AY84" s="369">
        <v>4.67</v>
      </c>
      <c r="AZ84" s="369">
        <v>0.47</v>
      </c>
      <c r="BA84" s="369">
        <v>0.23</v>
      </c>
      <c r="BB84" s="369">
        <v>233.66</v>
      </c>
      <c r="BC84" s="369">
        <v>9.4600000000000009</v>
      </c>
      <c r="BD84" s="369">
        <v>35.14</v>
      </c>
      <c r="BE84" s="369">
        <v>5.7</v>
      </c>
      <c r="BF84" s="369">
        <v>331.23</v>
      </c>
      <c r="BG84" s="369">
        <v>152.47</v>
      </c>
      <c r="BH84" s="369">
        <v>30.85</v>
      </c>
      <c r="BI84" s="369">
        <v>70.73</v>
      </c>
      <c r="BJ84" s="369">
        <v>1.94</v>
      </c>
      <c r="BK84" s="369">
        <v>4.43</v>
      </c>
      <c r="BL84" s="369">
        <v>16.57</v>
      </c>
      <c r="BM84" s="369">
        <v>1.46</v>
      </c>
      <c r="BN84" s="370">
        <v>90.12</v>
      </c>
      <c r="BO84" s="373">
        <v>3427.93</v>
      </c>
      <c r="BP84" s="374"/>
      <c r="BQ84" s="370">
        <v>1403.86</v>
      </c>
      <c r="BR84" s="370">
        <v>4798.26</v>
      </c>
      <c r="BS84" s="370">
        <v>0</v>
      </c>
      <c r="BT84" s="383" t="s">
        <v>1215</v>
      </c>
      <c r="BU84" s="370">
        <v>0</v>
      </c>
      <c r="BV84" s="370">
        <v>-600.62</v>
      </c>
    </row>
    <row r="85" spans="1:74" ht="15.75">
      <c r="A85" s="365" t="s">
        <v>1368</v>
      </c>
      <c r="B85" s="366" t="s">
        <v>1369</v>
      </c>
      <c r="C85" s="373">
        <v>42091.519999999997</v>
      </c>
      <c r="D85" s="368">
        <v>0</v>
      </c>
      <c r="E85" s="369">
        <v>101.8</v>
      </c>
      <c r="F85" s="369">
        <v>10.35</v>
      </c>
      <c r="G85" s="369">
        <v>1.07</v>
      </c>
      <c r="H85" s="369">
        <v>17.32</v>
      </c>
      <c r="I85" s="369">
        <v>17.420000000000002</v>
      </c>
      <c r="J85" s="369">
        <v>36.14</v>
      </c>
      <c r="K85" s="369">
        <v>9.5500000000000007</v>
      </c>
      <c r="L85" s="369">
        <v>170.93</v>
      </c>
      <c r="M85" s="369">
        <v>107.12</v>
      </c>
      <c r="N85" s="369">
        <v>29.09</v>
      </c>
      <c r="O85" s="369">
        <v>20.72</v>
      </c>
      <c r="P85" s="369">
        <v>4.1900000000000004</v>
      </c>
      <c r="Q85" s="369">
        <v>6.02</v>
      </c>
      <c r="R85" s="369">
        <v>31.55</v>
      </c>
      <c r="S85" s="369">
        <v>123.52</v>
      </c>
      <c r="T85" s="369">
        <v>63.27</v>
      </c>
      <c r="U85" s="369">
        <v>19.97</v>
      </c>
      <c r="V85" s="369">
        <v>57.18</v>
      </c>
      <c r="W85" s="369">
        <v>96.92</v>
      </c>
      <c r="X85" s="369">
        <v>6.61</v>
      </c>
      <c r="Y85" s="369">
        <v>26.65</v>
      </c>
      <c r="Z85" s="369">
        <v>4.37</v>
      </c>
      <c r="AA85" s="369">
        <v>25.41</v>
      </c>
      <c r="AB85" s="369">
        <v>141.07</v>
      </c>
      <c r="AC85" s="369">
        <v>27.62</v>
      </c>
      <c r="AD85" s="369">
        <v>47.19</v>
      </c>
      <c r="AE85" s="369">
        <v>57.06</v>
      </c>
      <c r="AF85" s="369">
        <v>34.590000000000003</v>
      </c>
      <c r="AG85" s="369">
        <v>7.78</v>
      </c>
      <c r="AH85" s="369">
        <v>7.21</v>
      </c>
      <c r="AI85" s="369">
        <v>126.65</v>
      </c>
      <c r="AJ85" s="369">
        <v>20.62</v>
      </c>
      <c r="AK85" s="369">
        <v>19.96</v>
      </c>
      <c r="AL85" s="369">
        <v>13.12</v>
      </c>
      <c r="AM85" s="369">
        <v>42.56</v>
      </c>
      <c r="AN85" s="369">
        <v>6.95</v>
      </c>
      <c r="AO85" s="369">
        <v>74.819999999999993</v>
      </c>
      <c r="AP85" s="369">
        <v>0</v>
      </c>
      <c r="AQ85" s="369">
        <v>0</v>
      </c>
      <c r="AR85" s="369">
        <v>1675.34</v>
      </c>
      <c r="AS85" s="369">
        <v>69.260000000000005</v>
      </c>
      <c r="AT85" s="369">
        <v>1329.66</v>
      </c>
      <c r="AU85" s="369">
        <v>15.24</v>
      </c>
      <c r="AV85" s="369">
        <v>100.05</v>
      </c>
      <c r="AW85" s="369">
        <v>219.7</v>
      </c>
      <c r="AX85" s="369">
        <v>78.540000000000006</v>
      </c>
      <c r="AY85" s="369">
        <v>76.13</v>
      </c>
      <c r="AZ85" s="369">
        <v>7.68</v>
      </c>
      <c r="BA85" s="369">
        <v>3.81</v>
      </c>
      <c r="BB85" s="369">
        <v>3123.04</v>
      </c>
      <c r="BC85" s="369">
        <v>168.17</v>
      </c>
      <c r="BD85" s="369">
        <v>363.62</v>
      </c>
      <c r="BE85" s="369">
        <v>126.13</v>
      </c>
      <c r="BF85" s="369">
        <v>4442.8100000000004</v>
      </c>
      <c r="BG85" s="369">
        <v>224.68</v>
      </c>
      <c r="BH85" s="369">
        <v>0</v>
      </c>
      <c r="BI85" s="369">
        <v>0</v>
      </c>
      <c r="BJ85" s="369">
        <v>0</v>
      </c>
      <c r="BK85" s="369">
        <v>0</v>
      </c>
      <c r="BL85" s="369">
        <v>0</v>
      </c>
      <c r="BM85" s="369">
        <v>0</v>
      </c>
      <c r="BN85" s="370">
        <v>236.71</v>
      </c>
      <c r="BO85" s="373">
        <v>13874.9</v>
      </c>
      <c r="BP85" s="374"/>
      <c r="BQ85" s="370">
        <v>28385.38</v>
      </c>
      <c r="BR85" s="370">
        <v>0</v>
      </c>
      <c r="BS85" s="370">
        <v>0</v>
      </c>
      <c r="BT85" s="370">
        <v>0</v>
      </c>
      <c r="BU85" s="370">
        <v>0</v>
      </c>
      <c r="BV85" s="370">
        <v>-168.76</v>
      </c>
    </row>
    <row r="86" spans="1:74" ht="15.75">
      <c r="A86" s="365" t="s">
        <v>1370</v>
      </c>
      <c r="B86" s="366" t="s">
        <v>1371</v>
      </c>
      <c r="C86" s="373">
        <v>58643.93</v>
      </c>
      <c r="D86" s="368">
        <v>0</v>
      </c>
      <c r="E86" s="369">
        <v>12.39</v>
      </c>
      <c r="F86" s="369">
        <v>0</v>
      </c>
      <c r="G86" s="369">
        <v>0</v>
      </c>
      <c r="H86" s="369">
        <v>30.45</v>
      </c>
      <c r="I86" s="369">
        <v>30.57</v>
      </c>
      <c r="J86" s="369">
        <v>213.08</v>
      </c>
      <c r="K86" s="369">
        <v>38.78</v>
      </c>
      <c r="L86" s="369">
        <v>142.55000000000001</v>
      </c>
      <c r="M86" s="369">
        <v>51.89</v>
      </c>
      <c r="N86" s="369">
        <v>10.07</v>
      </c>
      <c r="O86" s="369">
        <v>5.87</v>
      </c>
      <c r="P86" s="369">
        <v>3.42</v>
      </c>
      <c r="Q86" s="369">
        <v>4.42</v>
      </c>
      <c r="R86" s="369">
        <v>31.95</v>
      </c>
      <c r="S86" s="369">
        <v>50.8</v>
      </c>
      <c r="T86" s="369">
        <v>62.77</v>
      </c>
      <c r="U86" s="369">
        <v>21.87</v>
      </c>
      <c r="V86" s="369">
        <v>45.92</v>
      </c>
      <c r="W86" s="369">
        <v>59.74</v>
      </c>
      <c r="X86" s="369">
        <v>13.83</v>
      </c>
      <c r="Y86" s="369">
        <v>166.19</v>
      </c>
      <c r="Z86" s="369">
        <v>5.52</v>
      </c>
      <c r="AA86" s="369">
        <v>53.09</v>
      </c>
      <c r="AB86" s="369">
        <v>18.86</v>
      </c>
      <c r="AC86" s="369">
        <v>1.1100000000000001</v>
      </c>
      <c r="AD86" s="369">
        <v>28.32</v>
      </c>
      <c r="AE86" s="369">
        <v>93.54</v>
      </c>
      <c r="AF86" s="369">
        <v>56.88</v>
      </c>
      <c r="AG86" s="369">
        <v>12.29</v>
      </c>
      <c r="AH86" s="369">
        <v>23.68</v>
      </c>
      <c r="AI86" s="369">
        <v>43.61</v>
      </c>
      <c r="AJ86" s="369">
        <v>3.9</v>
      </c>
      <c r="AK86" s="369">
        <v>7</v>
      </c>
      <c r="AL86" s="369">
        <v>28.77</v>
      </c>
      <c r="AM86" s="369">
        <v>174.6</v>
      </c>
      <c r="AN86" s="369">
        <v>30.78</v>
      </c>
      <c r="AO86" s="369">
        <v>835.15</v>
      </c>
      <c r="AP86" s="369">
        <v>656.21</v>
      </c>
      <c r="AQ86" s="369">
        <v>338.61</v>
      </c>
      <c r="AR86" s="369">
        <v>124.35</v>
      </c>
      <c r="AS86" s="369">
        <v>419.8</v>
      </c>
      <c r="AT86" s="369">
        <v>5333.49</v>
      </c>
      <c r="AU86" s="369">
        <v>55.19</v>
      </c>
      <c r="AV86" s="369">
        <v>997.58</v>
      </c>
      <c r="AW86" s="369">
        <v>1076.8599999999999</v>
      </c>
      <c r="AX86" s="369">
        <v>468.13</v>
      </c>
      <c r="AY86" s="369">
        <v>77.03</v>
      </c>
      <c r="AZ86" s="369">
        <v>7.77</v>
      </c>
      <c r="BA86" s="369">
        <v>3.85</v>
      </c>
      <c r="BB86" s="369">
        <v>589.83000000000004</v>
      </c>
      <c r="BC86" s="369">
        <v>17.36</v>
      </c>
      <c r="BD86" s="369">
        <v>68.489999999999995</v>
      </c>
      <c r="BE86" s="369">
        <v>38.06</v>
      </c>
      <c r="BF86" s="369">
        <v>1624.9</v>
      </c>
      <c r="BG86" s="369">
        <v>1897.71</v>
      </c>
      <c r="BH86" s="369">
        <v>618.72</v>
      </c>
      <c r="BI86" s="369">
        <v>99.1</v>
      </c>
      <c r="BJ86" s="369">
        <v>7.74</v>
      </c>
      <c r="BK86" s="369">
        <v>11.01</v>
      </c>
      <c r="BL86" s="369">
        <v>162.65</v>
      </c>
      <c r="BM86" s="369">
        <v>7.11</v>
      </c>
      <c r="BN86" s="370">
        <v>969.12</v>
      </c>
      <c r="BO86" s="373">
        <v>18084.310000000001</v>
      </c>
      <c r="BP86" s="374"/>
      <c r="BQ86" s="370">
        <v>12027.39</v>
      </c>
      <c r="BR86" s="370">
        <v>28730.95</v>
      </c>
      <c r="BS86" s="370">
        <v>0</v>
      </c>
      <c r="BT86" s="370">
        <v>0</v>
      </c>
      <c r="BU86" s="370">
        <v>0</v>
      </c>
      <c r="BV86" s="370">
        <v>-198.72</v>
      </c>
    </row>
    <row r="87" spans="1:74" ht="15.75">
      <c r="A87" s="365" t="s">
        <v>1372</v>
      </c>
      <c r="B87" s="366" t="s">
        <v>1373</v>
      </c>
      <c r="C87" s="373">
        <v>69807.509999999995</v>
      </c>
      <c r="D87" s="368">
        <v>0</v>
      </c>
      <c r="E87" s="369">
        <v>0</v>
      </c>
      <c r="F87" s="369">
        <v>0</v>
      </c>
      <c r="G87" s="369">
        <v>0</v>
      </c>
      <c r="H87" s="369">
        <v>66.84</v>
      </c>
      <c r="I87" s="369">
        <v>0</v>
      </c>
      <c r="J87" s="369">
        <v>33.83</v>
      </c>
      <c r="K87" s="369">
        <v>30.7</v>
      </c>
      <c r="L87" s="369">
        <v>64.209999999999994</v>
      </c>
      <c r="M87" s="369">
        <v>42.18</v>
      </c>
      <c r="N87" s="369">
        <v>22.76</v>
      </c>
      <c r="O87" s="369">
        <v>23.13</v>
      </c>
      <c r="P87" s="369">
        <v>2.92</v>
      </c>
      <c r="Q87" s="369">
        <v>4.76</v>
      </c>
      <c r="R87" s="369">
        <v>38.630000000000003</v>
      </c>
      <c r="S87" s="369">
        <v>40.75</v>
      </c>
      <c r="T87" s="369">
        <v>121.57</v>
      </c>
      <c r="U87" s="369">
        <v>41.6</v>
      </c>
      <c r="V87" s="369">
        <v>86.56</v>
      </c>
      <c r="W87" s="369">
        <v>131.75</v>
      </c>
      <c r="X87" s="369">
        <v>9.0399999999999991</v>
      </c>
      <c r="Y87" s="369">
        <v>27.48</v>
      </c>
      <c r="Z87" s="369">
        <v>7.83</v>
      </c>
      <c r="AA87" s="369">
        <v>22.96</v>
      </c>
      <c r="AB87" s="369">
        <v>42.01</v>
      </c>
      <c r="AC87" s="369">
        <v>19.989999999999998</v>
      </c>
      <c r="AD87" s="369">
        <v>96.35</v>
      </c>
      <c r="AE87" s="369">
        <v>155.88</v>
      </c>
      <c r="AF87" s="369">
        <v>91.3</v>
      </c>
      <c r="AG87" s="369">
        <v>29.69</v>
      </c>
      <c r="AH87" s="369">
        <v>32.14</v>
      </c>
      <c r="AI87" s="369">
        <v>213.15</v>
      </c>
      <c r="AJ87" s="369">
        <v>10.69</v>
      </c>
      <c r="AK87" s="369">
        <v>18.11</v>
      </c>
      <c r="AL87" s="369">
        <v>38.19</v>
      </c>
      <c r="AM87" s="369">
        <v>124.9</v>
      </c>
      <c r="AN87" s="369">
        <v>1.61</v>
      </c>
      <c r="AO87" s="369">
        <v>418.45</v>
      </c>
      <c r="AP87" s="369">
        <v>933.71</v>
      </c>
      <c r="AQ87" s="369">
        <v>426.21</v>
      </c>
      <c r="AR87" s="369">
        <v>429.63</v>
      </c>
      <c r="AS87" s="369">
        <v>103.92</v>
      </c>
      <c r="AT87" s="369">
        <v>445.55</v>
      </c>
      <c r="AU87" s="369">
        <v>1.56</v>
      </c>
      <c r="AV87" s="369">
        <v>10.18</v>
      </c>
      <c r="AW87" s="369">
        <v>143.82</v>
      </c>
      <c r="AX87" s="369">
        <v>36.090000000000003</v>
      </c>
      <c r="AY87" s="369">
        <v>51.46</v>
      </c>
      <c r="AZ87" s="369">
        <v>5.19</v>
      </c>
      <c r="BA87" s="369">
        <v>2.57</v>
      </c>
      <c r="BB87" s="369">
        <v>532.88</v>
      </c>
      <c r="BC87" s="369">
        <v>465.73</v>
      </c>
      <c r="BD87" s="369">
        <v>112.33</v>
      </c>
      <c r="BE87" s="369">
        <v>24.16</v>
      </c>
      <c r="BF87" s="369">
        <v>2046.59</v>
      </c>
      <c r="BG87" s="369">
        <v>0</v>
      </c>
      <c r="BH87" s="369">
        <v>400.12</v>
      </c>
      <c r="BI87" s="369">
        <v>425.62</v>
      </c>
      <c r="BJ87" s="369">
        <v>3.1</v>
      </c>
      <c r="BK87" s="369">
        <v>25.22</v>
      </c>
      <c r="BL87" s="369">
        <v>177.32</v>
      </c>
      <c r="BM87" s="369">
        <v>17.82</v>
      </c>
      <c r="BN87" s="370">
        <v>300.14</v>
      </c>
      <c r="BO87" s="373">
        <v>9232.9</v>
      </c>
      <c r="BP87" s="374"/>
      <c r="BQ87" s="370">
        <v>1689.6</v>
      </c>
      <c r="BR87" s="370">
        <v>59191.57</v>
      </c>
      <c r="BS87" s="370">
        <v>0</v>
      </c>
      <c r="BT87" s="370">
        <v>0</v>
      </c>
      <c r="BU87" s="370">
        <v>0</v>
      </c>
      <c r="BV87" s="370">
        <v>-306.56</v>
      </c>
    </row>
    <row r="88" spans="1:74" ht="15.75">
      <c r="A88" s="365" t="s">
        <v>1374</v>
      </c>
      <c r="B88" s="366" t="s">
        <v>1375</v>
      </c>
      <c r="C88" s="367" t="s">
        <v>1215</v>
      </c>
      <c r="D88" s="368">
        <v>0</v>
      </c>
      <c r="E88" s="369">
        <v>0</v>
      </c>
      <c r="F88" s="369">
        <v>0</v>
      </c>
      <c r="G88" s="369">
        <v>0</v>
      </c>
      <c r="H88" s="369">
        <v>438.51</v>
      </c>
      <c r="I88" s="369">
        <v>0</v>
      </c>
      <c r="J88" s="369">
        <v>566.08000000000004</v>
      </c>
      <c r="K88" s="369">
        <v>163.58000000000001</v>
      </c>
      <c r="L88" s="369">
        <v>1339.95</v>
      </c>
      <c r="M88" s="369">
        <v>591.1</v>
      </c>
      <c r="N88" s="369">
        <v>301.06</v>
      </c>
      <c r="O88" s="369">
        <v>297.26</v>
      </c>
      <c r="P88" s="369">
        <v>26.73</v>
      </c>
      <c r="Q88" s="369">
        <v>70.63</v>
      </c>
      <c r="R88" s="369">
        <v>319.20999999999998</v>
      </c>
      <c r="S88" s="369">
        <v>311.8</v>
      </c>
      <c r="T88" s="369">
        <v>909.72</v>
      </c>
      <c r="U88" s="369">
        <v>97.72</v>
      </c>
      <c r="V88" s="369">
        <v>381.76</v>
      </c>
      <c r="W88" s="369">
        <v>1200.1300000000001</v>
      </c>
      <c r="X88" s="369">
        <v>103.62</v>
      </c>
      <c r="Y88" s="369">
        <v>282.17</v>
      </c>
      <c r="Z88" s="369">
        <v>74.930000000000007</v>
      </c>
      <c r="AA88" s="369">
        <v>252.06</v>
      </c>
      <c r="AB88" s="369">
        <v>1018.34</v>
      </c>
      <c r="AC88" s="369">
        <v>135.96</v>
      </c>
      <c r="AD88" s="369">
        <v>535.9</v>
      </c>
      <c r="AE88" s="369">
        <v>886.19</v>
      </c>
      <c r="AF88" s="369">
        <v>320.99</v>
      </c>
      <c r="AG88" s="369">
        <v>288.3</v>
      </c>
      <c r="AH88" s="369">
        <v>135.22</v>
      </c>
      <c r="AI88" s="369">
        <v>891.59</v>
      </c>
      <c r="AJ88" s="369">
        <v>166.8</v>
      </c>
      <c r="AK88" s="369">
        <v>96.42</v>
      </c>
      <c r="AL88" s="369">
        <v>117.69</v>
      </c>
      <c r="AM88" s="369">
        <v>18.34</v>
      </c>
      <c r="AN88" s="369">
        <v>519.23</v>
      </c>
      <c r="AO88" s="369">
        <v>1088.6099999999999</v>
      </c>
      <c r="AP88" s="369">
        <v>6906.05</v>
      </c>
      <c r="AQ88" s="369">
        <v>2873.05</v>
      </c>
      <c r="AR88" s="369">
        <v>2029.68</v>
      </c>
      <c r="AS88" s="369">
        <v>2449.88</v>
      </c>
      <c r="AT88" s="369">
        <v>13598.88</v>
      </c>
      <c r="AU88" s="369">
        <v>135.35</v>
      </c>
      <c r="AV88" s="369">
        <v>1331.03</v>
      </c>
      <c r="AW88" s="369">
        <v>2602.7600000000002</v>
      </c>
      <c r="AX88" s="369">
        <v>1412.88</v>
      </c>
      <c r="AY88" s="369">
        <v>554.91</v>
      </c>
      <c r="AZ88" s="369">
        <v>55.97</v>
      </c>
      <c r="BA88" s="369">
        <v>27.75</v>
      </c>
      <c r="BB88" s="369">
        <v>2080.67</v>
      </c>
      <c r="BC88" s="369">
        <v>339.65</v>
      </c>
      <c r="BD88" s="369">
        <v>1437.48</v>
      </c>
      <c r="BE88" s="369">
        <v>1073.76</v>
      </c>
      <c r="BF88" s="369">
        <v>11495.64</v>
      </c>
      <c r="BG88" s="369">
        <v>8497.56</v>
      </c>
      <c r="BH88" s="369">
        <v>0</v>
      </c>
      <c r="BI88" s="369">
        <v>0</v>
      </c>
      <c r="BJ88" s="369">
        <v>0</v>
      </c>
      <c r="BK88" s="369">
        <v>0</v>
      </c>
      <c r="BL88" s="369">
        <v>0</v>
      </c>
      <c r="BM88" s="369">
        <v>0</v>
      </c>
      <c r="BN88" s="370">
        <v>3102.59</v>
      </c>
      <c r="BO88" s="373">
        <v>75953.14</v>
      </c>
      <c r="BP88" s="374"/>
      <c r="BQ88" s="370">
        <v>17621.560000000001</v>
      </c>
      <c r="BR88" s="383" t="s">
        <v>1215</v>
      </c>
      <c r="BS88" s="370">
        <v>0</v>
      </c>
      <c r="BT88" s="370">
        <v>0</v>
      </c>
      <c r="BU88" s="370">
        <v>0</v>
      </c>
      <c r="BV88" s="370">
        <v>-712.24</v>
      </c>
    </row>
    <row r="89" spans="1:74" ht="15.75">
      <c r="A89" s="365" t="s">
        <v>1376</v>
      </c>
      <c r="B89" s="366" t="s">
        <v>1377</v>
      </c>
      <c r="C89" s="367" t="s">
        <v>1215</v>
      </c>
      <c r="D89" s="368">
        <v>0</v>
      </c>
      <c r="E89" s="369">
        <v>15190.99</v>
      </c>
      <c r="F89" s="369">
        <v>1559.2</v>
      </c>
      <c r="G89" s="369">
        <v>186.33</v>
      </c>
      <c r="H89" s="369">
        <v>2775.57</v>
      </c>
      <c r="I89" s="369">
        <v>689.67</v>
      </c>
      <c r="J89" s="369">
        <v>3012.1</v>
      </c>
      <c r="K89" s="369">
        <v>1314.92</v>
      </c>
      <c r="L89" s="369">
        <v>6011.91</v>
      </c>
      <c r="M89" s="369">
        <v>786.42</v>
      </c>
      <c r="N89" s="369">
        <v>333.2</v>
      </c>
      <c r="O89" s="369">
        <v>192.5</v>
      </c>
      <c r="P89" s="369">
        <v>26.93</v>
      </c>
      <c r="Q89" s="369">
        <v>94.42</v>
      </c>
      <c r="R89" s="369">
        <v>1330.76</v>
      </c>
      <c r="S89" s="369">
        <v>1030.05</v>
      </c>
      <c r="T89" s="369">
        <v>434.79</v>
      </c>
      <c r="U89" s="369">
        <v>315.45999999999998</v>
      </c>
      <c r="V89" s="369">
        <v>1276.27</v>
      </c>
      <c r="W89" s="369">
        <v>3209.59</v>
      </c>
      <c r="X89" s="369">
        <v>223.57</v>
      </c>
      <c r="Y89" s="369">
        <v>381.54</v>
      </c>
      <c r="Z89" s="369">
        <v>94.24</v>
      </c>
      <c r="AA89" s="369">
        <v>1373.47</v>
      </c>
      <c r="AB89" s="369">
        <v>3768.64</v>
      </c>
      <c r="AC89" s="369">
        <v>110.01</v>
      </c>
      <c r="AD89" s="369">
        <v>411.9</v>
      </c>
      <c r="AE89" s="369">
        <v>392.97</v>
      </c>
      <c r="AF89" s="369">
        <v>175.82</v>
      </c>
      <c r="AG89" s="369">
        <v>40.06</v>
      </c>
      <c r="AH89" s="369">
        <v>30.32</v>
      </c>
      <c r="AI89" s="369">
        <v>790.22</v>
      </c>
      <c r="AJ89" s="369">
        <v>17.190000000000001</v>
      </c>
      <c r="AK89" s="369">
        <v>610.95000000000005</v>
      </c>
      <c r="AL89" s="369">
        <v>299.06</v>
      </c>
      <c r="AM89" s="369">
        <v>1300.82</v>
      </c>
      <c r="AN89" s="369">
        <v>0.57999999999999996</v>
      </c>
      <c r="AO89" s="369">
        <v>384.8</v>
      </c>
      <c r="AP89" s="369">
        <v>5779.17</v>
      </c>
      <c r="AQ89" s="369">
        <v>1765.52</v>
      </c>
      <c r="AR89" s="369">
        <v>831.94</v>
      </c>
      <c r="AS89" s="369">
        <v>59.68</v>
      </c>
      <c r="AT89" s="369">
        <v>2157.92</v>
      </c>
      <c r="AU89" s="369">
        <v>2.14</v>
      </c>
      <c r="AV89" s="369">
        <v>65.36</v>
      </c>
      <c r="AW89" s="369">
        <v>1916.05</v>
      </c>
      <c r="AX89" s="369">
        <v>1753.27</v>
      </c>
      <c r="AY89" s="369">
        <v>436.37</v>
      </c>
      <c r="AZ89" s="369">
        <v>44.01</v>
      </c>
      <c r="BA89" s="369">
        <v>21.82</v>
      </c>
      <c r="BB89" s="369">
        <v>63.68</v>
      </c>
      <c r="BC89" s="369">
        <v>35.369999999999997</v>
      </c>
      <c r="BD89" s="369">
        <v>35.909999999999997</v>
      </c>
      <c r="BE89" s="369">
        <v>2.33</v>
      </c>
      <c r="BF89" s="369">
        <v>91.65</v>
      </c>
      <c r="BG89" s="369">
        <v>5318.57</v>
      </c>
      <c r="BH89" s="369">
        <v>18.96</v>
      </c>
      <c r="BI89" s="369">
        <v>136.83000000000001</v>
      </c>
      <c r="BJ89" s="369">
        <v>1.36</v>
      </c>
      <c r="BK89" s="369">
        <v>4.1500000000000004</v>
      </c>
      <c r="BL89" s="369">
        <v>34.549999999999997</v>
      </c>
      <c r="BM89" s="369">
        <v>4.6900000000000004</v>
      </c>
      <c r="BN89" s="370">
        <v>840.47</v>
      </c>
      <c r="BO89" s="373">
        <v>71599.03</v>
      </c>
      <c r="BP89" s="374"/>
      <c r="BQ89" s="370">
        <v>57659.16</v>
      </c>
      <c r="BR89" s="383" t="s">
        <v>1215</v>
      </c>
      <c r="BS89" s="370">
        <v>0</v>
      </c>
      <c r="BT89" s="370">
        <v>0</v>
      </c>
      <c r="BU89" s="370">
        <v>0</v>
      </c>
      <c r="BV89" s="370">
        <v>-605.21</v>
      </c>
    </row>
    <row r="90" spans="1:74" ht="15.75">
      <c r="A90" s="365" t="s">
        <v>1378</v>
      </c>
      <c r="B90" s="366" t="s">
        <v>1379</v>
      </c>
      <c r="C90" s="373">
        <v>91814.87</v>
      </c>
      <c r="D90" s="368">
        <v>0</v>
      </c>
      <c r="E90" s="369">
        <v>0</v>
      </c>
      <c r="F90" s="369">
        <v>0</v>
      </c>
      <c r="G90" s="369">
        <v>0</v>
      </c>
      <c r="H90" s="369">
        <v>18988.990000000002</v>
      </c>
      <c r="I90" s="369">
        <v>4718.3599999999997</v>
      </c>
      <c r="J90" s="369">
        <v>20607.189999999999</v>
      </c>
      <c r="K90" s="369">
        <v>8996.02</v>
      </c>
      <c r="L90" s="369">
        <v>1592.65</v>
      </c>
      <c r="M90" s="369">
        <v>553.32000000000005</v>
      </c>
      <c r="N90" s="369">
        <v>183.67</v>
      </c>
      <c r="O90" s="369">
        <v>177.31</v>
      </c>
      <c r="P90" s="369">
        <v>24.94</v>
      </c>
      <c r="Q90" s="369">
        <v>49.36</v>
      </c>
      <c r="R90" s="369">
        <v>267.88</v>
      </c>
      <c r="S90" s="369">
        <v>552.66999999999996</v>
      </c>
      <c r="T90" s="369">
        <v>346.98</v>
      </c>
      <c r="U90" s="369">
        <v>621.38</v>
      </c>
      <c r="V90" s="369">
        <v>488.82</v>
      </c>
      <c r="W90" s="369">
        <v>827.03</v>
      </c>
      <c r="X90" s="369">
        <v>90.05</v>
      </c>
      <c r="Y90" s="369">
        <v>146.46</v>
      </c>
      <c r="Z90" s="369">
        <v>44.61</v>
      </c>
      <c r="AA90" s="369">
        <v>238.8</v>
      </c>
      <c r="AB90" s="369">
        <v>1107.3399999999999</v>
      </c>
      <c r="AC90" s="369">
        <v>246</v>
      </c>
      <c r="AD90" s="369">
        <v>477.49</v>
      </c>
      <c r="AE90" s="369">
        <v>533.73</v>
      </c>
      <c r="AF90" s="369">
        <v>311.01</v>
      </c>
      <c r="AG90" s="369">
        <v>114.01</v>
      </c>
      <c r="AH90" s="369">
        <v>62.58</v>
      </c>
      <c r="AI90" s="369">
        <v>1299.0899999999999</v>
      </c>
      <c r="AJ90" s="369">
        <v>72.95</v>
      </c>
      <c r="AK90" s="369">
        <v>135.37</v>
      </c>
      <c r="AL90" s="369">
        <v>170.11</v>
      </c>
      <c r="AM90" s="369">
        <v>0</v>
      </c>
      <c r="AN90" s="369">
        <v>0</v>
      </c>
      <c r="AO90" s="369">
        <v>2521.5300000000002</v>
      </c>
      <c r="AP90" s="369">
        <v>1398.63</v>
      </c>
      <c r="AQ90" s="369">
        <v>1119.8399999999999</v>
      </c>
      <c r="AR90" s="369">
        <v>0</v>
      </c>
      <c r="AS90" s="369">
        <v>0</v>
      </c>
      <c r="AT90" s="369">
        <v>1197.5</v>
      </c>
      <c r="AU90" s="369">
        <v>0</v>
      </c>
      <c r="AV90" s="369">
        <v>0</v>
      </c>
      <c r="AW90" s="369">
        <v>352.7</v>
      </c>
      <c r="AX90" s="369">
        <v>0</v>
      </c>
      <c r="AY90" s="369">
        <v>0</v>
      </c>
      <c r="AZ90" s="369">
        <v>0</v>
      </c>
      <c r="BA90" s="369">
        <v>0</v>
      </c>
      <c r="BB90" s="369">
        <v>0</v>
      </c>
      <c r="BC90" s="369">
        <v>121.04</v>
      </c>
      <c r="BD90" s="369">
        <v>0</v>
      </c>
      <c r="BE90" s="369">
        <v>0</v>
      </c>
      <c r="BF90" s="369">
        <v>0</v>
      </c>
      <c r="BG90" s="369">
        <v>0</v>
      </c>
      <c r="BH90" s="369">
        <v>0</v>
      </c>
      <c r="BI90" s="369">
        <v>0</v>
      </c>
      <c r="BJ90" s="369">
        <v>0</v>
      </c>
      <c r="BK90" s="369">
        <v>0</v>
      </c>
      <c r="BL90" s="369">
        <v>0</v>
      </c>
      <c r="BM90" s="369">
        <v>0</v>
      </c>
      <c r="BN90" s="370">
        <v>6.88</v>
      </c>
      <c r="BO90" s="373">
        <v>70764.28</v>
      </c>
      <c r="BP90" s="374"/>
      <c r="BQ90" s="370">
        <v>1266.22</v>
      </c>
      <c r="BR90" s="370">
        <v>20053.84</v>
      </c>
      <c r="BS90" s="370">
        <v>0</v>
      </c>
      <c r="BT90" s="370">
        <v>0</v>
      </c>
      <c r="BU90" s="370">
        <v>0</v>
      </c>
      <c r="BV90" s="370">
        <v>-269.47000000000003</v>
      </c>
    </row>
    <row r="91" spans="1:74" ht="15.75">
      <c r="A91" s="365" t="s">
        <v>1380</v>
      </c>
      <c r="B91" s="366" t="s">
        <v>1381</v>
      </c>
      <c r="C91" s="373">
        <v>17477.77</v>
      </c>
      <c r="D91" s="368">
        <v>0</v>
      </c>
      <c r="E91" s="369">
        <v>0</v>
      </c>
      <c r="F91" s="369">
        <v>0</v>
      </c>
      <c r="G91" s="369">
        <v>0</v>
      </c>
      <c r="H91" s="369">
        <v>94.11</v>
      </c>
      <c r="I91" s="369">
        <v>15.26</v>
      </c>
      <c r="J91" s="369">
        <v>51.95</v>
      </c>
      <c r="K91" s="369">
        <v>158.22</v>
      </c>
      <c r="L91" s="369">
        <v>442.63</v>
      </c>
      <c r="M91" s="369">
        <v>138.38</v>
      </c>
      <c r="N91" s="369">
        <v>71.81</v>
      </c>
      <c r="O91" s="369">
        <v>44.6</v>
      </c>
      <c r="P91" s="369">
        <v>3.1</v>
      </c>
      <c r="Q91" s="369">
        <v>33.090000000000003</v>
      </c>
      <c r="R91" s="369">
        <v>102.35</v>
      </c>
      <c r="S91" s="369">
        <v>74.55</v>
      </c>
      <c r="T91" s="369">
        <v>367.03</v>
      </c>
      <c r="U91" s="369">
        <v>32.69</v>
      </c>
      <c r="V91" s="369">
        <v>99.32</v>
      </c>
      <c r="W91" s="369">
        <v>254.29</v>
      </c>
      <c r="X91" s="369">
        <v>14.66</v>
      </c>
      <c r="Y91" s="369">
        <v>39.57</v>
      </c>
      <c r="Z91" s="369">
        <v>36.479999999999997</v>
      </c>
      <c r="AA91" s="369">
        <v>67.34</v>
      </c>
      <c r="AB91" s="369">
        <v>62.01</v>
      </c>
      <c r="AC91" s="369">
        <v>15.79</v>
      </c>
      <c r="AD91" s="369">
        <v>75.790000000000006</v>
      </c>
      <c r="AE91" s="369">
        <v>149.87</v>
      </c>
      <c r="AF91" s="369">
        <v>101.54</v>
      </c>
      <c r="AG91" s="369">
        <v>31.87</v>
      </c>
      <c r="AH91" s="369">
        <v>63.69</v>
      </c>
      <c r="AI91" s="369">
        <v>295.91000000000003</v>
      </c>
      <c r="AJ91" s="369">
        <v>23.15</v>
      </c>
      <c r="AK91" s="369">
        <v>21.15</v>
      </c>
      <c r="AL91" s="369">
        <v>45.71</v>
      </c>
      <c r="AM91" s="369">
        <v>249.27</v>
      </c>
      <c r="AN91" s="369">
        <v>12.06</v>
      </c>
      <c r="AO91" s="369">
        <v>273.35000000000002</v>
      </c>
      <c r="AP91" s="369">
        <v>1574.1</v>
      </c>
      <c r="AQ91" s="369">
        <v>2479.9699999999998</v>
      </c>
      <c r="AR91" s="369">
        <v>773.98</v>
      </c>
      <c r="AS91" s="369">
        <v>144.94</v>
      </c>
      <c r="AT91" s="369">
        <v>363.95</v>
      </c>
      <c r="AU91" s="369">
        <v>0.39</v>
      </c>
      <c r="AV91" s="369">
        <v>13.73</v>
      </c>
      <c r="AW91" s="369">
        <v>289.41000000000003</v>
      </c>
      <c r="AX91" s="369">
        <v>328.1</v>
      </c>
      <c r="AY91" s="369">
        <v>88.55</v>
      </c>
      <c r="AZ91" s="369">
        <v>8.93</v>
      </c>
      <c r="BA91" s="369">
        <v>4.43</v>
      </c>
      <c r="BB91" s="369">
        <v>209.47</v>
      </c>
      <c r="BC91" s="369">
        <v>63.34</v>
      </c>
      <c r="BD91" s="369">
        <v>136.65</v>
      </c>
      <c r="BE91" s="369">
        <v>32.159999999999997</v>
      </c>
      <c r="BF91" s="369">
        <v>1830.32</v>
      </c>
      <c r="BG91" s="369">
        <v>0</v>
      </c>
      <c r="BH91" s="369">
        <v>363.65</v>
      </c>
      <c r="BI91" s="369">
        <v>806.92</v>
      </c>
      <c r="BJ91" s="369">
        <v>1.93</v>
      </c>
      <c r="BK91" s="369">
        <v>43.2</v>
      </c>
      <c r="BL91" s="369">
        <v>430.53</v>
      </c>
      <c r="BM91" s="369">
        <v>15.54</v>
      </c>
      <c r="BN91" s="370">
        <v>589.16</v>
      </c>
      <c r="BO91" s="373">
        <v>14155.94</v>
      </c>
      <c r="BP91" s="374"/>
      <c r="BQ91" s="370">
        <v>1259.51</v>
      </c>
      <c r="BR91" s="370">
        <v>2117.7800000000002</v>
      </c>
      <c r="BS91" s="370">
        <v>0</v>
      </c>
      <c r="BT91" s="370">
        <v>0</v>
      </c>
      <c r="BU91" s="370">
        <v>0</v>
      </c>
      <c r="BV91" s="370">
        <v>-55.46</v>
      </c>
    </row>
    <row r="92" spans="1:74" ht="15.75">
      <c r="A92" s="375" t="s">
        <v>1382</v>
      </c>
      <c r="B92" s="376" t="s">
        <v>1383</v>
      </c>
      <c r="C92" s="377" t="s">
        <v>1215</v>
      </c>
      <c r="D92" s="378">
        <v>0</v>
      </c>
      <c r="E92" s="379">
        <v>0</v>
      </c>
      <c r="F92" s="379">
        <v>0</v>
      </c>
      <c r="G92" s="379">
        <v>0</v>
      </c>
      <c r="H92" s="379">
        <v>933.92</v>
      </c>
      <c r="I92" s="379">
        <v>4.46</v>
      </c>
      <c r="J92" s="379">
        <v>9223.56</v>
      </c>
      <c r="K92" s="379">
        <v>1006.4</v>
      </c>
      <c r="L92" s="379">
        <v>3271.28</v>
      </c>
      <c r="M92" s="379">
        <v>369.84</v>
      </c>
      <c r="N92" s="379">
        <v>486.04</v>
      </c>
      <c r="O92" s="379">
        <v>260.94</v>
      </c>
      <c r="P92" s="379">
        <v>28.7</v>
      </c>
      <c r="Q92" s="379">
        <v>55.34</v>
      </c>
      <c r="R92" s="379">
        <v>496.39</v>
      </c>
      <c r="S92" s="379">
        <v>1117.8900000000001</v>
      </c>
      <c r="T92" s="379">
        <v>291.82</v>
      </c>
      <c r="U92" s="379">
        <v>929.14</v>
      </c>
      <c r="V92" s="379">
        <v>1070.95</v>
      </c>
      <c r="W92" s="379">
        <v>598.35</v>
      </c>
      <c r="X92" s="379">
        <v>235.71</v>
      </c>
      <c r="Y92" s="379">
        <v>368.28</v>
      </c>
      <c r="Z92" s="379">
        <v>226.23</v>
      </c>
      <c r="AA92" s="379">
        <v>534.98</v>
      </c>
      <c r="AB92" s="379">
        <v>6191.46</v>
      </c>
      <c r="AC92" s="379">
        <v>2862.16</v>
      </c>
      <c r="AD92" s="379">
        <v>585.51</v>
      </c>
      <c r="AE92" s="379">
        <v>402.17</v>
      </c>
      <c r="AF92" s="379">
        <v>352.26</v>
      </c>
      <c r="AG92" s="379">
        <v>62.74</v>
      </c>
      <c r="AH92" s="379">
        <v>80.03</v>
      </c>
      <c r="AI92" s="379">
        <v>765.9</v>
      </c>
      <c r="AJ92" s="379">
        <v>77.31</v>
      </c>
      <c r="AK92" s="379">
        <v>160.72999999999999</v>
      </c>
      <c r="AL92" s="379">
        <v>318.75</v>
      </c>
      <c r="AM92" s="379">
        <v>11976.47</v>
      </c>
      <c r="AN92" s="379">
        <v>379.77</v>
      </c>
      <c r="AO92" s="379">
        <v>800.79</v>
      </c>
      <c r="AP92" s="379">
        <v>1602.58</v>
      </c>
      <c r="AQ92" s="379">
        <v>2427.6</v>
      </c>
      <c r="AR92" s="379">
        <v>1072.8800000000001</v>
      </c>
      <c r="AS92" s="379">
        <v>1008.69</v>
      </c>
      <c r="AT92" s="379">
        <v>3648.32</v>
      </c>
      <c r="AU92" s="379">
        <v>9.5500000000000007</v>
      </c>
      <c r="AV92" s="379">
        <v>39.51</v>
      </c>
      <c r="AW92" s="379">
        <v>412.82</v>
      </c>
      <c r="AX92" s="379">
        <v>448.38</v>
      </c>
      <c r="AY92" s="379">
        <v>774.27</v>
      </c>
      <c r="AZ92" s="379">
        <v>78.09</v>
      </c>
      <c r="BA92" s="379">
        <v>38.71</v>
      </c>
      <c r="BB92" s="379">
        <v>9054.1200000000008</v>
      </c>
      <c r="BC92" s="379">
        <v>172.95</v>
      </c>
      <c r="BD92" s="379">
        <v>417.04</v>
      </c>
      <c r="BE92" s="379">
        <v>61.28</v>
      </c>
      <c r="BF92" s="379">
        <v>6264.83</v>
      </c>
      <c r="BG92" s="379">
        <v>1962.46</v>
      </c>
      <c r="BH92" s="379">
        <v>1267.06</v>
      </c>
      <c r="BI92" s="379">
        <v>1907.61</v>
      </c>
      <c r="BJ92" s="379">
        <v>3.28</v>
      </c>
      <c r="BK92" s="379">
        <v>56.75</v>
      </c>
      <c r="BL92" s="379">
        <v>422.87</v>
      </c>
      <c r="BM92" s="379">
        <v>101.9</v>
      </c>
      <c r="BN92" s="380">
        <v>1650.08</v>
      </c>
      <c r="BO92" s="381">
        <v>81429.929999999993</v>
      </c>
      <c r="BP92" s="382"/>
      <c r="BQ92" s="380">
        <v>0</v>
      </c>
      <c r="BR92" s="380">
        <v>96391.28</v>
      </c>
      <c r="BS92" s="380">
        <v>0</v>
      </c>
      <c r="BT92" s="380">
        <v>0</v>
      </c>
      <c r="BU92" s="380">
        <v>0</v>
      </c>
      <c r="BV92" s="380">
        <v>-526.61</v>
      </c>
    </row>
    <row r="93" spans="1:74" ht="15.75">
      <c r="A93" s="365" t="s">
        <v>1384</v>
      </c>
      <c r="B93" s="366" t="s">
        <v>1385</v>
      </c>
      <c r="C93" s="373">
        <v>64539.62</v>
      </c>
      <c r="D93" s="368">
        <v>0</v>
      </c>
      <c r="E93" s="369">
        <v>0</v>
      </c>
      <c r="F93" s="369">
        <v>0</v>
      </c>
      <c r="G93" s="369">
        <v>0</v>
      </c>
      <c r="H93" s="369">
        <v>654.74</v>
      </c>
      <c r="I93" s="369">
        <v>3.13</v>
      </c>
      <c r="J93" s="369">
        <v>6466.34</v>
      </c>
      <c r="K93" s="369">
        <v>705.55</v>
      </c>
      <c r="L93" s="369">
        <v>311.45</v>
      </c>
      <c r="M93" s="369">
        <v>35.21</v>
      </c>
      <c r="N93" s="369">
        <v>46.27</v>
      </c>
      <c r="O93" s="369">
        <v>24.84</v>
      </c>
      <c r="P93" s="369">
        <v>2.73</v>
      </c>
      <c r="Q93" s="369">
        <v>5.27</v>
      </c>
      <c r="R93" s="369">
        <v>47.26</v>
      </c>
      <c r="S93" s="369">
        <v>106.43</v>
      </c>
      <c r="T93" s="369">
        <v>27.78</v>
      </c>
      <c r="U93" s="369">
        <v>88.46</v>
      </c>
      <c r="V93" s="369">
        <v>101.96</v>
      </c>
      <c r="W93" s="369">
        <v>56.97</v>
      </c>
      <c r="X93" s="369">
        <v>22.44</v>
      </c>
      <c r="Y93" s="369">
        <v>35.06</v>
      </c>
      <c r="Z93" s="369">
        <v>21.54</v>
      </c>
      <c r="AA93" s="369">
        <v>50.93</v>
      </c>
      <c r="AB93" s="369">
        <v>589.47</v>
      </c>
      <c r="AC93" s="369">
        <v>272.5</v>
      </c>
      <c r="AD93" s="369">
        <v>55.74</v>
      </c>
      <c r="AE93" s="369">
        <v>38.29</v>
      </c>
      <c r="AF93" s="369">
        <v>33.54</v>
      </c>
      <c r="AG93" s="369">
        <v>5.97</v>
      </c>
      <c r="AH93" s="369">
        <v>7.62</v>
      </c>
      <c r="AI93" s="369">
        <v>72.92</v>
      </c>
      <c r="AJ93" s="369">
        <v>7.36</v>
      </c>
      <c r="AK93" s="369">
        <v>15.3</v>
      </c>
      <c r="AL93" s="369">
        <v>30.35</v>
      </c>
      <c r="AM93" s="369">
        <v>46.14</v>
      </c>
      <c r="AN93" s="369">
        <v>16504.03</v>
      </c>
      <c r="AO93" s="369">
        <v>171.54</v>
      </c>
      <c r="AP93" s="369">
        <v>169.72</v>
      </c>
      <c r="AQ93" s="369">
        <v>3702.6</v>
      </c>
      <c r="AR93" s="369">
        <v>919.31</v>
      </c>
      <c r="AS93" s="369">
        <v>167.29</v>
      </c>
      <c r="AT93" s="369">
        <v>781.53</v>
      </c>
      <c r="AU93" s="369">
        <v>2.0499999999999998</v>
      </c>
      <c r="AV93" s="369">
        <v>8.4600000000000009</v>
      </c>
      <c r="AW93" s="369">
        <v>88.43</v>
      </c>
      <c r="AX93" s="369">
        <v>62.62</v>
      </c>
      <c r="AY93" s="369">
        <v>125.93</v>
      </c>
      <c r="AZ93" s="369">
        <v>12.7</v>
      </c>
      <c r="BA93" s="369">
        <v>6.3</v>
      </c>
      <c r="BB93" s="369">
        <v>1939.53</v>
      </c>
      <c r="BC93" s="369">
        <v>37.049999999999997</v>
      </c>
      <c r="BD93" s="369">
        <v>89.34</v>
      </c>
      <c r="BE93" s="369">
        <v>13.13</v>
      </c>
      <c r="BF93" s="369">
        <v>1342.02</v>
      </c>
      <c r="BG93" s="369">
        <v>860.56</v>
      </c>
      <c r="BH93" s="369">
        <v>271.42</v>
      </c>
      <c r="BI93" s="369">
        <v>408.64</v>
      </c>
      <c r="BJ93" s="369">
        <v>0.7</v>
      </c>
      <c r="BK93" s="369">
        <v>12.16</v>
      </c>
      <c r="BL93" s="369">
        <v>90.59</v>
      </c>
      <c r="BM93" s="369">
        <v>21.83</v>
      </c>
      <c r="BN93" s="370">
        <v>300.57</v>
      </c>
      <c r="BO93" s="373">
        <v>38099.629999999997</v>
      </c>
      <c r="BP93" s="374"/>
      <c r="BQ93" s="370">
        <v>0</v>
      </c>
      <c r="BR93" s="370">
        <v>26666.99</v>
      </c>
      <c r="BS93" s="370">
        <v>0</v>
      </c>
      <c r="BT93" s="370">
        <v>0</v>
      </c>
      <c r="BU93" s="370">
        <v>0</v>
      </c>
      <c r="BV93" s="370">
        <v>-227</v>
      </c>
    </row>
    <row r="94" spans="1:74" ht="15.75">
      <c r="A94" s="365" t="s">
        <v>1386</v>
      </c>
      <c r="B94" s="366" t="s">
        <v>1387</v>
      </c>
      <c r="C94" s="367" t="s">
        <v>1215</v>
      </c>
      <c r="D94" s="368">
        <v>0</v>
      </c>
      <c r="E94" s="369">
        <v>10475.89</v>
      </c>
      <c r="F94" s="369">
        <v>341.94</v>
      </c>
      <c r="G94" s="369">
        <v>886.09</v>
      </c>
      <c r="H94" s="369">
        <v>1899.43</v>
      </c>
      <c r="I94" s="369">
        <v>284.14</v>
      </c>
      <c r="J94" s="369">
        <v>2542.4499999999998</v>
      </c>
      <c r="K94" s="369">
        <v>5626.01</v>
      </c>
      <c r="L94" s="369">
        <v>2023.22</v>
      </c>
      <c r="M94" s="369">
        <v>555.44000000000005</v>
      </c>
      <c r="N94" s="369">
        <v>496.64</v>
      </c>
      <c r="O94" s="369">
        <v>723.7</v>
      </c>
      <c r="P94" s="369">
        <v>169.78</v>
      </c>
      <c r="Q94" s="369">
        <v>165.57</v>
      </c>
      <c r="R94" s="369">
        <v>650.07000000000005</v>
      </c>
      <c r="S94" s="369">
        <v>255.66</v>
      </c>
      <c r="T94" s="369">
        <v>718.91</v>
      </c>
      <c r="U94" s="369">
        <v>149.19</v>
      </c>
      <c r="V94" s="369">
        <v>300.33</v>
      </c>
      <c r="W94" s="369">
        <v>2097.21</v>
      </c>
      <c r="X94" s="369">
        <v>196.16</v>
      </c>
      <c r="Y94" s="369">
        <v>593.64</v>
      </c>
      <c r="Z94" s="369">
        <v>114.89</v>
      </c>
      <c r="AA94" s="369">
        <v>570.91999999999996</v>
      </c>
      <c r="AB94" s="369">
        <v>383.25</v>
      </c>
      <c r="AC94" s="369">
        <v>316.77999999999997</v>
      </c>
      <c r="AD94" s="369">
        <v>1499.6</v>
      </c>
      <c r="AE94" s="369">
        <v>1746.52</v>
      </c>
      <c r="AF94" s="369">
        <v>510.07</v>
      </c>
      <c r="AG94" s="369">
        <v>107.51</v>
      </c>
      <c r="AH94" s="369">
        <v>676.3</v>
      </c>
      <c r="AI94" s="369">
        <v>795.61</v>
      </c>
      <c r="AJ94" s="369">
        <v>133.96</v>
      </c>
      <c r="AK94" s="369">
        <v>531.38</v>
      </c>
      <c r="AL94" s="369">
        <v>694.55</v>
      </c>
      <c r="AM94" s="369">
        <v>2487.35</v>
      </c>
      <c r="AN94" s="369">
        <v>1138.9000000000001</v>
      </c>
      <c r="AO94" s="369">
        <v>6361.68</v>
      </c>
      <c r="AP94" s="369">
        <v>11108.23</v>
      </c>
      <c r="AQ94" s="369">
        <v>16451.37</v>
      </c>
      <c r="AR94" s="369">
        <v>9860.5499999999993</v>
      </c>
      <c r="AS94" s="369">
        <v>2197.71</v>
      </c>
      <c r="AT94" s="369">
        <v>2591.06</v>
      </c>
      <c r="AU94" s="369">
        <v>116.75</v>
      </c>
      <c r="AV94" s="369">
        <v>800.57</v>
      </c>
      <c r="AW94" s="369">
        <v>4247.3599999999997</v>
      </c>
      <c r="AX94" s="369">
        <v>2288.4499999999998</v>
      </c>
      <c r="AY94" s="369">
        <v>106.05</v>
      </c>
      <c r="AZ94" s="369">
        <v>83129.990000000005</v>
      </c>
      <c r="BA94" s="369">
        <v>0.18</v>
      </c>
      <c r="BB94" s="369">
        <v>57891.78</v>
      </c>
      <c r="BC94" s="369">
        <v>5663.01</v>
      </c>
      <c r="BD94" s="369">
        <v>860.78</v>
      </c>
      <c r="BE94" s="369">
        <v>170.16</v>
      </c>
      <c r="BF94" s="369">
        <v>20711.78</v>
      </c>
      <c r="BG94" s="369">
        <v>11545.17</v>
      </c>
      <c r="BH94" s="369">
        <v>710.24</v>
      </c>
      <c r="BI94" s="369">
        <v>2385.87</v>
      </c>
      <c r="BJ94" s="369">
        <v>24.01</v>
      </c>
      <c r="BK94" s="369">
        <v>190.41</v>
      </c>
      <c r="BL94" s="369">
        <v>1031.68</v>
      </c>
      <c r="BM94" s="369">
        <v>463.21</v>
      </c>
      <c r="BN94" s="370">
        <v>250.4</v>
      </c>
      <c r="BO94" s="367" t="s">
        <v>1215</v>
      </c>
      <c r="BP94" s="374"/>
      <c r="BQ94" s="370">
        <v>1818.03</v>
      </c>
      <c r="BR94" s="370">
        <v>69775.66</v>
      </c>
      <c r="BS94" s="370">
        <v>0</v>
      </c>
      <c r="BT94" s="370">
        <v>0</v>
      </c>
      <c r="BU94" s="370">
        <v>0</v>
      </c>
      <c r="BV94" s="370">
        <v>-683.91</v>
      </c>
    </row>
    <row r="95" spans="1:74" ht="15.75">
      <c r="A95" s="365" t="s">
        <v>1388</v>
      </c>
      <c r="B95" s="366" t="s">
        <v>1389</v>
      </c>
      <c r="C95" s="367" t="s">
        <v>1215</v>
      </c>
      <c r="D95" s="368">
        <v>0</v>
      </c>
      <c r="E95" s="369">
        <v>3556.82</v>
      </c>
      <c r="F95" s="369">
        <v>365.18</v>
      </c>
      <c r="G95" s="369">
        <v>43.22</v>
      </c>
      <c r="H95" s="369">
        <v>385.21</v>
      </c>
      <c r="I95" s="369">
        <v>4.5</v>
      </c>
      <c r="J95" s="369">
        <v>1196.22</v>
      </c>
      <c r="K95" s="369">
        <v>321.25</v>
      </c>
      <c r="L95" s="369">
        <v>694.45</v>
      </c>
      <c r="M95" s="369">
        <v>163.84</v>
      </c>
      <c r="N95" s="369">
        <v>135.88</v>
      </c>
      <c r="O95" s="369">
        <v>127.46</v>
      </c>
      <c r="P95" s="369">
        <v>15.13</v>
      </c>
      <c r="Q95" s="369">
        <v>31.25</v>
      </c>
      <c r="R95" s="369">
        <v>254.25</v>
      </c>
      <c r="S95" s="369">
        <v>248.9</v>
      </c>
      <c r="T95" s="369">
        <v>233</v>
      </c>
      <c r="U95" s="369">
        <v>145.33000000000001</v>
      </c>
      <c r="V95" s="369">
        <v>277.11</v>
      </c>
      <c r="W95" s="369">
        <v>349.23</v>
      </c>
      <c r="X95" s="369">
        <v>53.56</v>
      </c>
      <c r="Y95" s="369">
        <v>137.66</v>
      </c>
      <c r="Z95" s="369">
        <v>26.9</v>
      </c>
      <c r="AA95" s="369">
        <v>108.86</v>
      </c>
      <c r="AB95" s="369">
        <v>603.33000000000004</v>
      </c>
      <c r="AC95" s="369">
        <v>98.27</v>
      </c>
      <c r="AD95" s="369">
        <v>294.14</v>
      </c>
      <c r="AE95" s="369">
        <v>361.99</v>
      </c>
      <c r="AF95" s="369">
        <v>180.58</v>
      </c>
      <c r="AG95" s="369">
        <v>48.9</v>
      </c>
      <c r="AH95" s="369">
        <v>56.55</v>
      </c>
      <c r="AI95" s="369">
        <v>306.20999999999998</v>
      </c>
      <c r="AJ95" s="369">
        <v>62.37</v>
      </c>
      <c r="AK95" s="369">
        <v>109.13</v>
      </c>
      <c r="AL95" s="369">
        <v>91.52</v>
      </c>
      <c r="AM95" s="369">
        <v>765.37</v>
      </c>
      <c r="AN95" s="369">
        <v>153.91</v>
      </c>
      <c r="AO95" s="369">
        <v>1846.73</v>
      </c>
      <c r="AP95" s="369">
        <v>2865.88</v>
      </c>
      <c r="AQ95" s="369">
        <v>1906.61</v>
      </c>
      <c r="AR95" s="369">
        <v>2191.4499999999998</v>
      </c>
      <c r="AS95" s="369">
        <v>255</v>
      </c>
      <c r="AT95" s="369">
        <v>4800.99</v>
      </c>
      <c r="AU95" s="369">
        <v>4.1100000000000003</v>
      </c>
      <c r="AV95" s="369">
        <v>265.29000000000002</v>
      </c>
      <c r="AW95" s="369">
        <v>519.55999999999995</v>
      </c>
      <c r="AX95" s="369">
        <v>720.42</v>
      </c>
      <c r="AY95" s="369">
        <v>1157.6300000000001</v>
      </c>
      <c r="AZ95" s="369">
        <v>3891.77</v>
      </c>
      <c r="BA95" s="369">
        <v>57.88</v>
      </c>
      <c r="BB95" s="369">
        <v>2400.04</v>
      </c>
      <c r="BC95" s="369">
        <v>241.16</v>
      </c>
      <c r="BD95" s="369">
        <v>104.43</v>
      </c>
      <c r="BE95" s="369">
        <v>43.63</v>
      </c>
      <c r="BF95" s="369">
        <v>3154</v>
      </c>
      <c r="BG95" s="369">
        <v>3680.8</v>
      </c>
      <c r="BH95" s="369">
        <v>193.24</v>
      </c>
      <c r="BI95" s="369">
        <v>1246.74</v>
      </c>
      <c r="BJ95" s="369">
        <v>28.48</v>
      </c>
      <c r="BK95" s="369">
        <v>24.31</v>
      </c>
      <c r="BL95" s="369">
        <v>199.92</v>
      </c>
      <c r="BM95" s="369">
        <v>56.28</v>
      </c>
      <c r="BN95" s="370">
        <v>1404.99</v>
      </c>
      <c r="BO95" s="373">
        <v>45268.86</v>
      </c>
      <c r="BP95" s="374"/>
      <c r="BQ95" s="370">
        <v>15145.47</v>
      </c>
      <c r="BR95" s="383" t="s">
        <v>1215</v>
      </c>
      <c r="BS95" s="370">
        <v>0</v>
      </c>
      <c r="BT95" s="370">
        <v>0</v>
      </c>
      <c r="BU95" s="370">
        <v>0</v>
      </c>
      <c r="BV95" s="370">
        <v>-584.07000000000005</v>
      </c>
    </row>
    <row r="96" spans="1:74" ht="15.75">
      <c r="A96" s="365" t="s">
        <v>1390</v>
      </c>
      <c r="B96" s="366" t="s">
        <v>1391</v>
      </c>
      <c r="C96" s="367" t="s">
        <v>1215</v>
      </c>
      <c r="D96" s="368">
        <v>0</v>
      </c>
      <c r="E96" s="369">
        <v>0</v>
      </c>
      <c r="F96" s="369">
        <v>0</v>
      </c>
      <c r="G96" s="369">
        <v>0</v>
      </c>
      <c r="H96" s="369">
        <v>1907.52</v>
      </c>
      <c r="I96" s="369">
        <v>251.32</v>
      </c>
      <c r="J96" s="369">
        <v>5756.05</v>
      </c>
      <c r="K96" s="369">
        <v>4955.72</v>
      </c>
      <c r="L96" s="369">
        <v>0</v>
      </c>
      <c r="M96" s="369">
        <v>0</v>
      </c>
      <c r="N96" s="369">
        <v>0</v>
      </c>
      <c r="O96" s="369">
        <v>0</v>
      </c>
      <c r="P96" s="369">
        <v>0</v>
      </c>
      <c r="Q96" s="369">
        <v>0</v>
      </c>
      <c r="R96" s="369">
        <v>0</v>
      </c>
      <c r="S96" s="369">
        <v>0</v>
      </c>
      <c r="T96" s="369">
        <v>0</v>
      </c>
      <c r="U96" s="369">
        <v>0</v>
      </c>
      <c r="V96" s="369">
        <v>0</v>
      </c>
      <c r="W96" s="369">
        <v>0</v>
      </c>
      <c r="X96" s="369">
        <v>0</v>
      </c>
      <c r="Y96" s="369">
        <v>0</v>
      </c>
      <c r="Z96" s="369">
        <v>0</v>
      </c>
      <c r="AA96" s="369">
        <v>0</v>
      </c>
      <c r="AB96" s="369">
        <v>0</v>
      </c>
      <c r="AC96" s="369">
        <v>0</v>
      </c>
      <c r="AD96" s="369">
        <v>0</v>
      </c>
      <c r="AE96" s="369">
        <v>0</v>
      </c>
      <c r="AF96" s="369">
        <v>0</v>
      </c>
      <c r="AG96" s="369">
        <v>0</v>
      </c>
      <c r="AH96" s="369">
        <v>0</v>
      </c>
      <c r="AI96" s="369">
        <v>0</v>
      </c>
      <c r="AJ96" s="369">
        <v>0</v>
      </c>
      <c r="AK96" s="369">
        <v>0</v>
      </c>
      <c r="AL96" s="369">
        <v>0</v>
      </c>
      <c r="AM96" s="369">
        <v>0</v>
      </c>
      <c r="AN96" s="369">
        <v>0</v>
      </c>
      <c r="AO96" s="369">
        <v>0</v>
      </c>
      <c r="AP96" s="369">
        <v>0</v>
      </c>
      <c r="AQ96" s="369">
        <v>0</v>
      </c>
      <c r="AR96" s="369">
        <v>0</v>
      </c>
      <c r="AS96" s="369">
        <v>0</v>
      </c>
      <c r="AT96" s="369">
        <v>0</v>
      </c>
      <c r="AU96" s="369">
        <v>0</v>
      </c>
      <c r="AV96" s="369">
        <v>0</v>
      </c>
      <c r="AW96" s="369">
        <v>0</v>
      </c>
      <c r="AX96" s="369">
        <v>0</v>
      </c>
      <c r="AY96" s="369">
        <v>61652.24</v>
      </c>
      <c r="AZ96" s="369">
        <v>6217.95</v>
      </c>
      <c r="BA96" s="384" t="s">
        <v>1215</v>
      </c>
      <c r="BB96" s="369">
        <v>0</v>
      </c>
      <c r="BC96" s="369">
        <v>0</v>
      </c>
      <c r="BD96" s="369">
        <v>0</v>
      </c>
      <c r="BE96" s="369">
        <v>0</v>
      </c>
      <c r="BF96" s="369">
        <v>0</v>
      </c>
      <c r="BG96" s="369">
        <v>0</v>
      </c>
      <c r="BH96" s="369">
        <v>0</v>
      </c>
      <c r="BI96" s="369">
        <v>0</v>
      </c>
      <c r="BJ96" s="369">
        <v>0</v>
      </c>
      <c r="BK96" s="369">
        <v>0</v>
      </c>
      <c r="BL96" s="369">
        <v>0</v>
      </c>
      <c r="BM96" s="369">
        <v>0</v>
      </c>
      <c r="BN96" s="370">
        <v>24071.200000000001</v>
      </c>
      <c r="BO96" s="367" t="s">
        <v>1215</v>
      </c>
      <c r="BP96" s="374"/>
      <c r="BQ96" s="370">
        <v>10052.35</v>
      </c>
      <c r="BR96" s="370">
        <v>549</v>
      </c>
      <c r="BS96" s="370">
        <v>0</v>
      </c>
      <c r="BT96" s="370">
        <v>0</v>
      </c>
      <c r="BU96" s="370">
        <v>0</v>
      </c>
      <c r="BV96" s="370">
        <v>-482.87</v>
      </c>
    </row>
    <row r="97" spans="1:74" ht="15.75">
      <c r="A97" s="365" t="s">
        <v>1392</v>
      </c>
      <c r="B97" s="366" t="s">
        <v>1393</v>
      </c>
      <c r="C97" s="367" t="s">
        <v>1215</v>
      </c>
      <c r="D97" s="368">
        <v>0</v>
      </c>
      <c r="E97" s="369">
        <v>83.92</v>
      </c>
      <c r="F97" s="369">
        <v>8.1199999999999992</v>
      </c>
      <c r="G97" s="369">
        <v>0</v>
      </c>
      <c r="H97" s="369">
        <v>52.4</v>
      </c>
      <c r="I97" s="369">
        <v>1076.95</v>
      </c>
      <c r="J97" s="369">
        <v>489.76</v>
      </c>
      <c r="K97" s="369">
        <v>351.89</v>
      </c>
      <c r="L97" s="369">
        <v>2917.31</v>
      </c>
      <c r="M97" s="369">
        <v>743.25</v>
      </c>
      <c r="N97" s="369">
        <v>487.68</v>
      </c>
      <c r="O97" s="369">
        <v>461.17</v>
      </c>
      <c r="P97" s="369">
        <v>46.84</v>
      </c>
      <c r="Q97" s="369">
        <v>136.75</v>
      </c>
      <c r="R97" s="369">
        <v>652.66999999999996</v>
      </c>
      <c r="S97" s="369">
        <v>873.94</v>
      </c>
      <c r="T97" s="369">
        <v>1235.6199999999999</v>
      </c>
      <c r="U97" s="369">
        <v>243.03</v>
      </c>
      <c r="V97" s="369">
        <v>676.78</v>
      </c>
      <c r="W97" s="369">
        <v>1171.3900000000001</v>
      </c>
      <c r="X97" s="369">
        <v>199.35</v>
      </c>
      <c r="Y97" s="369">
        <v>607.5</v>
      </c>
      <c r="Z97" s="369">
        <v>84.47</v>
      </c>
      <c r="AA97" s="369">
        <v>234.51</v>
      </c>
      <c r="AB97" s="369">
        <v>533.38</v>
      </c>
      <c r="AC97" s="369">
        <v>156.84</v>
      </c>
      <c r="AD97" s="369">
        <v>1365.17</v>
      </c>
      <c r="AE97" s="369">
        <v>1338.26</v>
      </c>
      <c r="AF97" s="369">
        <v>521.47</v>
      </c>
      <c r="AG97" s="369">
        <v>308.27999999999997</v>
      </c>
      <c r="AH97" s="369">
        <v>344.69</v>
      </c>
      <c r="AI97" s="369">
        <v>883.89</v>
      </c>
      <c r="AJ97" s="369">
        <v>458.73</v>
      </c>
      <c r="AK97" s="369">
        <v>565.38</v>
      </c>
      <c r="AL97" s="369">
        <v>452.18</v>
      </c>
      <c r="AM97" s="369">
        <v>202.82</v>
      </c>
      <c r="AN97" s="369">
        <v>73.11</v>
      </c>
      <c r="AO97" s="369">
        <v>4033.99</v>
      </c>
      <c r="AP97" s="369">
        <v>10224.85</v>
      </c>
      <c r="AQ97" s="369">
        <v>30868.7</v>
      </c>
      <c r="AR97" s="369">
        <v>12947.81</v>
      </c>
      <c r="AS97" s="369">
        <v>3451.78</v>
      </c>
      <c r="AT97" s="369">
        <v>5320.13</v>
      </c>
      <c r="AU97" s="369">
        <v>10.29</v>
      </c>
      <c r="AV97" s="369">
        <v>247.19</v>
      </c>
      <c r="AW97" s="369">
        <v>2044.36</v>
      </c>
      <c r="AX97" s="369">
        <v>6839.7</v>
      </c>
      <c r="AY97" s="369">
        <v>5496.13</v>
      </c>
      <c r="AZ97" s="369">
        <v>554.30999999999995</v>
      </c>
      <c r="BA97" s="369">
        <v>274.8</v>
      </c>
      <c r="BB97" s="369">
        <v>9469.68</v>
      </c>
      <c r="BC97" s="369">
        <v>552.22</v>
      </c>
      <c r="BD97" s="369">
        <v>1371.46</v>
      </c>
      <c r="BE97" s="369">
        <v>188.69</v>
      </c>
      <c r="BF97" s="369">
        <v>18105.62</v>
      </c>
      <c r="BG97" s="369">
        <v>8417.65</v>
      </c>
      <c r="BH97" s="369">
        <v>2464.35</v>
      </c>
      <c r="BI97" s="369">
        <v>9109.2900000000009</v>
      </c>
      <c r="BJ97" s="369">
        <v>23.31</v>
      </c>
      <c r="BK97" s="369">
        <v>194.24</v>
      </c>
      <c r="BL97" s="369">
        <v>1805.75</v>
      </c>
      <c r="BM97" s="369">
        <v>522.20000000000005</v>
      </c>
      <c r="BN97" s="370">
        <v>6654.08</v>
      </c>
      <c r="BO97" s="367" t="s">
        <v>1215</v>
      </c>
      <c r="BP97" s="374"/>
      <c r="BQ97" s="370">
        <v>2888.67</v>
      </c>
      <c r="BR97" s="383" t="s">
        <v>1215</v>
      </c>
      <c r="BS97" s="370">
        <v>0</v>
      </c>
      <c r="BT97" s="370">
        <v>28786.55</v>
      </c>
      <c r="BU97" s="370">
        <v>0</v>
      </c>
      <c r="BV97" s="370">
        <v>-873.71</v>
      </c>
    </row>
    <row r="98" spans="1:74" ht="15.75">
      <c r="A98" s="365" t="s">
        <v>1394</v>
      </c>
      <c r="B98" s="366" t="s">
        <v>1395</v>
      </c>
      <c r="C98" s="367" t="s">
        <v>1215</v>
      </c>
      <c r="D98" s="368">
        <v>0</v>
      </c>
      <c r="E98" s="369">
        <v>0</v>
      </c>
      <c r="F98" s="369">
        <v>0</v>
      </c>
      <c r="G98" s="369">
        <v>0</v>
      </c>
      <c r="H98" s="369">
        <v>0</v>
      </c>
      <c r="I98" s="369">
        <v>0</v>
      </c>
      <c r="J98" s="369">
        <v>0</v>
      </c>
      <c r="K98" s="369">
        <v>0</v>
      </c>
      <c r="L98" s="369">
        <v>3589.77</v>
      </c>
      <c r="M98" s="369">
        <v>429.48</v>
      </c>
      <c r="N98" s="369">
        <v>185.64</v>
      </c>
      <c r="O98" s="369">
        <v>143.86000000000001</v>
      </c>
      <c r="P98" s="369">
        <v>16.82</v>
      </c>
      <c r="Q98" s="369">
        <v>33.85</v>
      </c>
      <c r="R98" s="369">
        <v>251.25</v>
      </c>
      <c r="S98" s="369">
        <v>2595.08</v>
      </c>
      <c r="T98" s="369">
        <v>678.82</v>
      </c>
      <c r="U98" s="369">
        <v>198.69</v>
      </c>
      <c r="V98" s="369">
        <v>561.41999999999996</v>
      </c>
      <c r="W98" s="369">
        <v>793.25</v>
      </c>
      <c r="X98" s="369">
        <v>158.54</v>
      </c>
      <c r="Y98" s="369">
        <v>126.43</v>
      </c>
      <c r="Z98" s="369">
        <v>106.21</v>
      </c>
      <c r="AA98" s="369">
        <v>277.52</v>
      </c>
      <c r="AB98" s="369">
        <v>683.43</v>
      </c>
      <c r="AC98" s="369">
        <v>113.7</v>
      </c>
      <c r="AD98" s="369">
        <v>647.89</v>
      </c>
      <c r="AE98" s="369">
        <v>678.9</v>
      </c>
      <c r="AF98" s="369">
        <v>204.93</v>
      </c>
      <c r="AG98" s="369">
        <v>133.74</v>
      </c>
      <c r="AH98" s="369">
        <v>115.35</v>
      </c>
      <c r="AI98" s="369">
        <v>393.55</v>
      </c>
      <c r="AJ98" s="369">
        <v>249.42</v>
      </c>
      <c r="AK98" s="369">
        <v>137.12</v>
      </c>
      <c r="AL98" s="369">
        <v>232.26</v>
      </c>
      <c r="AM98" s="369">
        <v>166.75</v>
      </c>
      <c r="AN98" s="369">
        <v>673.09</v>
      </c>
      <c r="AO98" s="369">
        <v>16113.36</v>
      </c>
      <c r="AP98" s="369">
        <v>6093.45</v>
      </c>
      <c r="AQ98" s="369">
        <v>14479.19</v>
      </c>
      <c r="AR98" s="369">
        <v>2195.65</v>
      </c>
      <c r="AS98" s="369">
        <v>458.46</v>
      </c>
      <c r="AT98" s="369">
        <v>19621.71</v>
      </c>
      <c r="AU98" s="369">
        <v>197.64</v>
      </c>
      <c r="AV98" s="369">
        <v>6088.81</v>
      </c>
      <c r="AW98" s="369">
        <v>2713.24</v>
      </c>
      <c r="AX98" s="369">
        <v>9276.5400000000009</v>
      </c>
      <c r="AY98" s="369">
        <v>5164.37</v>
      </c>
      <c r="AZ98" s="369">
        <v>520.85</v>
      </c>
      <c r="BA98" s="369">
        <v>258.20999999999998</v>
      </c>
      <c r="BB98" s="369">
        <v>1943.15</v>
      </c>
      <c r="BC98" s="369">
        <v>3617.68</v>
      </c>
      <c r="BD98" s="369">
        <v>571.85</v>
      </c>
      <c r="BE98" s="369">
        <v>407.32</v>
      </c>
      <c r="BF98" s="369">
        <v>7854.88</v>
      </c>
      <c r="BG98" s="369">
        <v>0</v>
      </c>
      <c r="BH98" s="369">
        <v>2312.63</v>
      </c>
      <c r="BI98" s="369">
        <v>4956.4799999999996</v>
      </c>
      <c r="BJ98" s="369">
        <v>335.01</v>
      </c>
      <c r="BK98" s="369">
        <v>83.45</v>
      </c>
      <c r="BL98" s="369">
        <v>1175.6199999999999</v>
      </c>
      <c r="BM98" s="369">
        <v>75.48</v>
      </c>
      <c r="BN98" s="370">
        <v>8213.2199999999993</v>
      </c>
      <c r="BO98" s="367" t="s">
        <v>1215</v>
      </c>
      <c r="BP98" s="374"/>
      <c r="BQ98" s="370">
        <v>0</v>
      </c>
      <c r="BR98" s="370">
        <v>9986.5300000000007</v>
      </c>
      <c r="BS98" s="370">
        <v>0</v>
      </c>
      <c r="BT98" s="370">
        <v>0</v>
      </c>
      <c r="BU98" s="370">
        <v>0</v>
      </c>
      <c r="BV98" s="370">
        <v>-383.58</v>
      </c>
    </row>
    <row r="99" spans="1:74" ht="15.75">
      <c r="A99" s="365" t="s">
        <v>1396</v>
      </c>
      <c r="B99" s="366" t="s">
        <v>1397</v>
      </c>
      <c r="C99" s="373">
        <v>41715.78</v>
      </c>
      <c r="D99" s="368">
        <v>0</v>
      </c>
      <c r="E99" s="369">
        <v>0</v>
      </c>
      <c r="F99" s="369">
        <v>0</v>
      </c>
      <c r="G99" s="369">
        <v>0</v>
      </c>
      <c r="H99" s="369">
        <v>0</v>
      </c>
      <c r="I99" s="369">
        <v>0</v>
      </c>
      <c r="J99" s="369">
        <v>0</v>
      </c>
      <c r="K99" s="369">
        <v>0</v>
      </c>
      <c r="L99" s="369">
        <v>0.18</v>
      </c>
      <c r="M99" s="369">
        <v>0.05</v>
      </c>
      <c r="N99" s="369">
        <v>0.08</v>
      </c>
      <c r="O99" s="369">
        <v>0.03</v>
      </c>
      <c r="P99" s="369">
        <v>0.02</v>
      </c>
      <c r="Q99" s="369">
        <v>0.02</v>
      </c>
      <c r="R99" s="369">
        <v>0.03</v>
      </c>
      <c r="S99" s="369">
        <v>0.4</v>
      </c>
      <c r="T99" s="369">
        <v>0.49</v>
      </c>
      <c r="U99" s="369">
        <v>0.57999999999999996</v>
      </c>
      <c r="V99" s="369">
        <v>0.18</v>
      </c>
      <c r="W99" s="369">
        <v>0.53</v>
      </c>
      <c r="X99" s="369">
        <v>0.01</v>
      </c>
      <c r="Y99" s="369">
        <v>0.04</v>
      </c>
      <c r="Z99" s="369">
        <v>0.03</v>
      </c>
      <c r="AA99" s="369">
        <v>0.02</v>
      </c>
      <c r="AB99" s="369">
        <v>0.4</v>
      </c>
      <c r="AC99" s="369">
        <v>0.04</v>
      </c>
      <c r="AD99" s="369">
        <v>0.11</v>
      </c>
      <c r="AE99" s="369">
        <v>0.75</v>
      </c>
      <c r="AF99" s="369">
        <v>0.03</v>
      </c>
      <c r="AG99" s="369">
        <v>0.86</v>
      </c>
      <c r="AH99" s="369">
        <v>0.03</v>
      </c>
      <c r="AI99" s="369">
        <v>1.04</v>
      </c>
      <c r="AJ99" s="369">
        <v>0.02</v>
      </c>
      <c r="AK99" s="369">
        <v>0.02</v>
      </c>
      <c r="AL99" s="369">
        <v>0.05</v>
      </c>
      <c r="AM99" s="369">
        <v>0</v>
      </c>
      <c r="AN99" s="369">
        <v>0</v>
      </c>
      <c r="AO99" s="369">
        <v>0</v>
      </c>
      <c r="AP99" s="369">
        <v>0</v>
      </c>
      <c r="AQ99" s="369">
        <v>0</v>
      </c>
      <c r="AR99" s="369">
        <v>0.09</v>
      </c>
      <c r="AS99" s="369">
        <v>0</v>
      </c>
      <c r="AT99" s="369">
        <v>0.37</v>
      </c>
      <c r="AU99" s="369">
        <v>0</v>
      </c>
      <c r="AV99" s="369">
        <v>0.06</v>
      </c>
      <c r="AW99" s="369">
        <v>0.06</v>
      </c>
      <c r="AX99" s="369">
        <v>2.41</v>
      </c>
      <c r="AY99" s="369">
        <v>8.19</v>
      </c>
      <c r="AZ99" s="369">
        <v>0.83</v>
      </c>
      <c r="BA99" s="369">
        <v>0.41</v>
      </c>
      <c r="BB99" s="369">
        <v>0.9</v>
      </c>
      <c r="BC99" s="369">
        <v>0.25</v>
      </c>
      <c r="BD99" s="369">
        <v>0.26</v>
      </c>
      <c r="BE99" s="369">
        <v>1.63</v>
      </c>
      <c r="BF99" s="369">
        <v>0.69</v>
      </c>
      <c r="BG99" s="369">
        <v>0</v>
      </c>
      <c r="BH99" s="369">
        <v>9.57</v>
      </c>
      <c r="BI99" s="369">
        <v>20.98</v>
      </c>
      <c r="BJ99" s="369">
        <v>0.13</v>
      </c>
      <c r="BK99" s="369">
        <v>0.17</v>
      </c>
      <c r="BL99" s="369">
        <v>5.16</v>
      </c>
      <c r="BM99" s="369">
        <v>0.12</v>
      </c>
      <c r="BN99" s="370">
        <v>7.59</v>
      </c>
      <c r="BO99" s="373">
        <v>65.930000000000007</v>
      </c>
      <c r="BP99" s="374"/>
      <c r="BQ99" s="370">
        <v>198.25</v>
      </c>
      <c r="BR99" s="370">
        <v>0</v>
      </c>
      <c r="BS99" s="370">
        <v>0</v>
      </c>
      <c r="BT99" s="370">
        <v>18276</v>
      </c>
      <c r="BU99" s="370">
        <v>0</v>
      </c>
      <c r="BV99" s="370">
        <v>23175.599999999999</v>
      </c>
    </row>
    <row r="100" spans="1:74" ht="15.75">
      <c r="A100" s="365" t="s">
        <v>1398</v>
      </c>
      <c r="B100" s="366" t="s">
        <v>1399</v>
      </c>
      <c r="C100" s="373">
        <v>62389.61</v>
      </c>
      <c r="D100" s="368">
        <v>0</v>
      </c>
      <c r="E100" s="369">
        <v>0</v>
      </c>
      <c r="F100" s="369">
        <v>0</v>
      </c>
      <c r="G100" s="369">
        <v>0</v>
      </c>
      <c r="H100" s="369">
        <v>106.32</v>
      </c>
      <c r="I100" s="369">
        <v>0</v>
      </c>
      <c r="J100" s="369">
        <v>1554.13</v>
      </c>
      <c r="K100" s="369">
        <v>79.34</v>
      </c>
      <c r="L100" s="369">
        <v>776.94</v>
      </c>
      <c r="M100" s="369">
        <v>88.05</v>
      </c>
      <c r="N100" s="369">
        <v>48.37</v>
      </c>
      <c r="O100" s="369">
        <v>42.31</v>
      </c>
      <c r="P100" s="369">
        <v>10.58</v>
      </c>
      <c r="Q100" s="369">
        <v>7.74</v>
      </c>
      <c r="R100" s="369">
        <v>41.92</v>
      </c>
      <c r="S100" s="369">
        <v>42.34</v>
      </c>
      <c r="T100" s="369">
        <v>419.46</v>
      </c>
      <c r="U100" s="369">
        <v>8.09</v>
      </c>
      <c r="V100" s="369">
        <v>201.47</v>
      </c>
      <c r="W100" s="369">
        <v>1196.6400000000001</v>
      </c>
      <c r="X100" s="369">
        <v>84.41</v>
      </c>
      <c r="Y100" s="369">
        <v>17.329999999999998</v>
      </c>
      <c r="Z100" s="369">
        <v>43.04</v>
      </c>
      <c r="AA100" s="369">
        <v>98.17</v>
      </c>
      <c r="AB100" s="369">
        <v>66.31</v>
      </c>
      <c r="AC100" s="369">
        <v>35.25</v>
      </c>
      <c r="AD100" s="369">
        <v>33.57</v>
      </c>
      <c r="AE100" s="369">
        <v>131.69</v>
      </c>
      <c r="AF100" s="369">
        <v>389.45</v>
      </c>
      <c r="AG100" s="369">
        <v>48.31</v>
      </c>
      <c r="AH100" s="369">
        <v>4.63</v>
      </c>
      <c r="AI100" s="369">
        <v>971.43</v>
      </c>
      <c r="AJ100" s="369">
        <v>13.48</v>
      </c>
      <c r="AK100" s="369">
        <v>99.55</v>
      </c>
      <c r="AL100" s="369">
        <v>17.010000000000002</v>
      </c>
      <c r="AM100" s="369">
        <v>57.51</v>
      </c>
      <c r="AN100" s="369">
        <v>15.93</v>
      </c>
      <c r="AO100" s="369">
        <v>4169.1899999999996</v>
      </c>
      <c r="AP100" s="369">
        <v>1154.21</v>
      </c>
      <c r="AQ100" s="369">
        <v>620.75</v>
      </c>
      <c r="AR100" s="369">
        <v>1187.0999999999999</v>
      </c>
      <c r="AS100" s="369">
        <v>1397.26</v>
      </c>
      <c r="AT100" s="369">
        <v>160.88999999999999</v>
      </c>
      <c r="AU100" s="369">
        <v>0</v>
      </c>
      <c r="AV100" s="369">
        <v>20.3</v>
      </c>
      <c r="AW100" s="369">
        <v>36.54</v>
      </c>
      <c r="AX100" s="369">
        <v>16.78</v>
      </c>
      <c r="AY100" s="369">
        <v>2478.56</v>
      </c>
      <c r="AZ100" s="369">
        <v>249.98</v>
      </c>
      <c r="BA100" s="369">
        <v>123.93</v>
      </c>
      <c r="BB100" s="369">
        <v>258.45999999999998</v>
      </c>
      <c r="BC100" s="369">
        <v>28.08</v>
      </c>
      <c r="BD100" s="369">
        <v>641.32000000000005</v>
      </c>
      <c r="BE100" s="369">
        <v>12.16</v>
      </c>
      <c r="BF100" s="369">
        <v>586.51</v>
      </c>
      <c r="BG100" s="369">
        <v>0</v>
      </c>
      <c r="BH100" s="369">
        <v>3499.12</v>
      </c>
      <c r="BI100" s="369">
        <v>7814.69</v>
      </c>
      <c r="BJ100" s="369">
        <v>114.37</v>
      </c>
      <c r="BK100" s="369">
        <v>355.02</v>
      </c>
      <c r="BL100" s="369">
        <v>2766.83</v>
      </c>
      <c r="BM100" s="369">
        <v>176.47</v>
      </c>
      <c r="BN100" s="370">
        <v>4368.04</v>
      </c>
      <c r="BO100" s="373">
        <v>38987.31</v>
      </c>
      <c r="BP100" s="374"/>
      <c r="BQ100" s="370">
        <v>3547.35</v>
      </c>
      <c r="BR100" s="370">
        <v>12429.03</v>
      </c>
      <c r="BS100" s="370">
        <v>0</v>
      </c>
      <c r="BT100" s="370">
        <v>7652.12</v>
      </c>
      <c r="BU100" s="370">
        <v>0</v>
      </c>
      <c r="BV100" s="370">
        <v>-226.21</v>
      </c>
    </row>
    <row r="101" spans="1:74" ht="15.75">
      <c r="A101" s="365" t="s">
        <v>1400</v>
      </c>
      <c r="B101" s="366" t="s">
        <v>1401</v>
      </c>
      <c r="C101" s="367" t="s">
        <v>1215</v>
      </c>
      <c r="D101" s="368">
        <v>0</v>
      </c>
      <c r="E101" s="369">
        <v>453.74</v>
      </c>
      <c r="F101" s="369">
        <v>45.03</v>
      </c>
      <c r="G101" s="369">
        <v>6.05</v>
      </c>
      <c r="H101" s="369">
        <v>1108.18</v>
      </c>
      <c r="I101" s="369">
        <v>4808.18</v>
      </c>
      <c r="J101" s="369">
        <v>2438.3200000000002</v>
      </c>
      <c r="K101" s="369">
        <v>645.05999999999995</v>
      </c>
      <c r="L101" s="369">
        <v>7909.18</v>
      </c>
      <c r="M101" s="369">
        <v>1726.5</v>
      </c>
      <c r="N101" s="369">
        <v>279.88</v>
      </c>
      <c r="O101" s="369">
        <v>207.05</v>
      </c>
      <c r="P101" s="369">
        <v>29.3</v>
      </c>
      <c r="Q101" s="369">
        <v>101.69</v>
      </c>
      <c r="R101" s="369">
        <v>304.52999999999997</v>
      </c>
      <c r="S101" s="369">
        <v>512.42999999999995</v>
      </c>
      <c r="T101" s="369">
        <v>2130.69</v>
      </c>
      <c r="U101" s="369">
        <v>163.72</v>
      </c>
      <c r="V101" s="369">
        <v>700.1</v>
      </c>
      <c r="W101" s="369">
        <v>9281.7199999999993</v>
      </c>
      <c r="X101" s="369">
        <v>473.44</v>
      </c>
      <c r="Y101" s="369">
        <v>240.77</v>
      </c>
      <c r="Z101" s="369">
        <v>99.62</v>
      </c>
      <c r="AA101" s="369">
        <v>242</v>
      </c>
      <c r="AB101" s="369">
        <v>222.46</v>
      </c>
      <c r="AC101" s="369">
        <v>83.13</v>
      </c>
      <c r="AD101" s="369">
        <v>860.86</v>
      </c>
      <c r="AE101" s="369">
        <v>1016.91</v>
      </c>
      <c r="AF101" s="369">
        <v>646.04</v>
      </c>
      <c r="AG101" s="369">
        <v>184.74</v>
      </c>
      <c r="AH101" s="369">
        <v>159.80000000000001</v>
      </c>
      <c r="AI101" s="369">
        <v>3624.28</v>
      </c>
      <c r="AJ101" s="369">
        <v>77.7</v>
      </c>
      <c r="AK101" s="369">
        <v>387.55</v>
      </c>
      <c r="AL101" s="369">
        <v>225.75</v>
      </c>
      <c r="AM101" s="369">
        <v>94.68</v>
      </c>
      <c r="AN101" s="369">
        <v>191.54</v>
      </c>
      <c r="AO101" s="369">
        <v>23250.74</v>
      </c>
      <c r="AP101" s="369">
        <v>14374.32</v>
      </c>
      <c r="AQ101" s="369">
        <v>14103.18</v>
      </c>
      <c r="AR101" s="369">
        <v>6750.18</v>
      </c>
      <c r="AS101" s="369">
        <v>1577.05</v>
      </c>
      <c r="AT101" s="369">
        <v>3824.11</v>
      </c>
      <c r="AU101" s="369">
        <v>1.73</v>
      </c>
      <c r="AV101" s="369">
        <v>920.67</v>
      </c>
      <c r="AW101" s="369">
        <v>562.94000000000005</v>
      </c>
      <c r="AX101" s="369">
        <v>46639.82</v>
      </c>
      <c r="AY101" s="369">
        <v>3453.71</v>
      </c>
      <c r="AZ101" s="369">
        <v>348.32</v>
      </c>
      <c r="BA101" s="369">
        <v>172.68</v>
      </c>
      <c r="BB101" s="369">
        <v>5810.83</v>
      </c>
      <c r="BC101" s="369">
        <v>655.46</v>
      </c>
      <c r="BD101" s="369">
        <v>1120.42</v>
      </c>
      <c r="BE101" s="369">
        <v>65.25</v>
      </c>
      <c r="BF101" s="369">
        <v>10167.66</v>
      </c>
      <c r="BG101" s="369">
        <v>48764.55</v>
      </c>
      <c r="BH101" s="369">
        <v>13376.4</v>
      </c>
      <c r="BI101" s="369">
        <v>13411.32</v>
      </c>
      <c r="BJ101" s="369">
        <v>252.88</v>
      </c>
      <c r="BK101" s="369">
        <v>513.36</v>
      </c>
      <c r="BL101" s="369">
        <v>7628.68</v>
      </c>
      <c r="BM101" s="369">
        <v>571.54</v>
      </c>
      <c r="BN101" s="370">
        <v>9572.36</v>
      </c>
      <c r="BO101" s="367" t="s">
        <v>1215</v>
      </c>
      <c r="BP101" s="374"/>
      <c r="BQ101" s="370">
        <v>9525.85</v>
      </c>
      <c r="BR101" s="370">
        <v>11158.62</v>
      </c>
      <c r="BS101" s="370">
        <v>0</v>
      </c>
      <c r="BT101" s="370">
        <v>0</v>
      </c>
      <c r="BU101" s="370">
        <v>0</v>
      </c>
      <c r="BV101" s="370">
        <v>-771.23</v>
      </c>
    </row>
    <row r="102" spans="1:74" ht="15.75">
      <c r="A102" s="365" t="s">
        <v>1402</v>
      </c>
      <c r="B102" s="366" t="s">
        <v>1403</v>
      </c>
      <c r="C102" s="367" t="s">
        <v>1215</v>
      </c>
      <c r="D102" s="368">
        <v>0</v>
      </c>
      <c r="E102" s="369">
        <v>241.15</v>
      </c>
      <c r="F102" s="369">
        <v>22.51</v>
      </c>
      <c r="G102" s="369">
        <v>0</v>
      </c>
      <c r="H102" s="369">
        <v>169.4</v>
      </c>
      <c r="I102" s="369">
        <v>408.11</v>
      </c>
      <c r="J102" s="369">
        <v>709.85</v>
      </c>
      <c r="K102" s="369">
        <v>187.78</v>
      </c>
      <c r="L102" s="369">
        <v>801.59</v>
      </c>
      <c r="M102" s="369">
        <v>246.9</v>
      </c>
      <c r="N102" s="369">
        <v>286.89</v>
      </c>
      <c r="O102" s="369">
        <v>511.28</v>
      </c>
      <c r="P102" s="369">
        <v>34.090000000000003</v>
      </c>
      <c r="Q102" s="369">
        <v>109.75</v>
      </c>
      <c r="R102" s="369">
        <v>372.96</v>
      </c>
      <c r="S102" s="369">
        <v>404.59</v>
      </c>
      <c r="T102" s="369">
        <v>1051.4000000000001</v>
      </c>
      <c r="U102" s="369">
        <v>28.87</v>
      </c>
      <c r="V102" s="369">
        <v>641.33000000000004</v>
      </c>
      <c r="W102" s="369">
        <v>669.06</v>
      </c>
      <c r="X102" s="369">
        <v>104.52</v>
      </c>
      <c r="Y102" s="369">
        <v>294.19</v>
      </c>
      <c r="Z102" s="369">
        <v>37.79</v>
      </c>
      <c r="AA102" s="369">
        <v>177.51</v>
      </c>
      <c r="AB102" s="369">
        <v>375.59</v>
      </c>
      <c r="AC102" s="369">
        <v>121.36</v>
      </c>
      <c r="AD102" s="369">
        <v>1018.68</v>
      </c>
      <c r="AE102" s="369">
        <v>1231.1300000000001</v>
      </c>
      <c r="AF102" s="369">
        <v>380.97</v>
      </c>
      <c r="AG102" s="369">
        <v>187.73</v>
      </c>
      <c r="AH102" s="369">
        <v>246.44</v>
      </c>
      <c r="AI102" s="369">
        <v>535.66</v>
      </c>
      <c r="AJ102" s="369">
        <v>135.66</v>
      </c>
      <c r="AK102" s="369">
        <v>251.31</v>
      </c>
      <c r="AL102" s="369">
        <v>189.63</v>
      </c>
      <c r="AM102" s="369">
        <v>555.15</v>
      </c>
      <c r="AN102" s="369">
        <v>240.52</v>
      </c>
      <c r="AO102" s="369">
        <v>6511.84</v>
      </c>
      <c r="AP102" s="369">
        <v>9703.44</v>
      </c>
      <c r="AQ102" s="369">
        <v>8184.07</v>
      </c>
      <c r="AR102" s="369">
        <v>5390.18</v>
      </c>
      <c r="AS102" s="369">
        <v>3482.79</v>
      </c>
      <c r="AT102" s="369">
        <v>7094.22</v>
      </c>
      <c r="AU102" s="369">
        <v>11.23</v>
      </c>
      <c r="AV102" s="369">
        <v>164.77</v>
      </c>
      <c r="AW102" s="369">
        <v>1873.11</v>
      </c>
      <c r="AX102" s="369">
        <v>1380.45</v>
      </c>
      <c r="AY102" s="369">
        <v>8183.58</v>
      </c>
      <c r="AZ102" s="369">
        <v>825.36</v>
      </c>
      <c r="BA102" s="369">
        <v>409.17</v>
      </c>
      <c r="BB102" s="369">
        <v>5454.46</v>
      </c>
      <c r="BC102" s="369">
        <v>979.34</v>
      </c>
      <c r="BD102" s="369">
        <v>2286.59</v>
      </c>
      <c r="BE102" s="369">
        <v>456.7</v>
      </c>
      <c r="BF102" s="369">
        <v>21086.34</v>
      </c>
      <c r="BG102" s="369">
        <v>32278.94</v>
      </c>
      <c r="BH102" s="369">
        <v>2481.39</v>
      </c>
      <c r="BI102" s="369">
        <v>6943.92</v>
      </c>
      <c r="BJ102" s="369">
        <v>47.36</v>
      </c>
      <c r="BK102" s="369">
        <v>262.56</v>
      </c>
      <c r="BL102" s="369">
        <v>994.3</v>
      </c>
      <c r="BM102" s="369">
        <v>286.94</v>
      </c>
      <c r="BN102" s="370">
        <v>6802.04</v>
      </c>
      <c r="BO102" s="367" t="s">
        <v>1215</v>
      </c>
      <c r="BP102" s="374"/>
      <c r="BQ102" s="370">
        <v>9547.35</v>
      </c>
      <c r="BR102" s="370">
        <v>83483.91</v>
      </c>
      <c r="BS102" s="370">
        <v>0</v>
      </c>
      <c r="BT102" s="370">
        <v>0</v>
      </c>
      <c r="BU102" s="370">
        <v>0</v>
      </c>
      <c r="BV102" s="370">
        <v>-551.16999999999996</v>
      </c>
    </row>
    <row r="103" spans="1:74" ht="15.75">
      <c r="A103" s="365" t="s">
        <v>1404</v>
      </c>
      <c r="B103" s="366" t="s">
        <v>1405</v>
      </c>
      <c r="C103" s="367" t="s">
        <v>1215</v>
      </c>
      <c r="D103" s="368">
        <v>0</v>
      </c>
      <c r="E103" s="369">
        <v>0</v>
      </c>
      <c r="F103" s="369">
        <v>0</v>
      </c>
      <c r="G103" s="369">
        <v>0</v>
      </c>
      <c r="H103" s="369">
        <v>0</v>
      </c>
      <c r="I103" s="369">
        <v>0</v>
      </c>
      <c r="J103" s="369">
        <v>0</v>
      </c>
      <c r="K103" s="369">
        <v>0</v>
      </c>
      <c r="L103" s="369">
        <v>3954.61</v>
      </c>
      <c r="M103" s="369">
        <v>1240.94</v>
      </c>
      <c r="N103" s="369">
        <v>371.08</v>
      </c>
      <c r="O103" s="369">
        <v>248.92</v>
      </c>
      <c r="P103" s="369">
        <v>32.24</v>
      </c>
      <c r="Q103" s="369">
        <v>54.14</v>
      </c>
      <c r="R103" s="369">
        <v>1040.77</v>
      </c>
      <c r="S103" s="369">
        <v>1374.04</v>
      </c>
      <c r="T103" s="369">
        <v>519.32000000000005</v>
      </c>
      <c r="U103" s="369">
        <v>1046.68</v>
      </c>
      <c r="V103" s="369">
        <v>1564.83</v>
      </c>
      <c r="W103" s="369">
        <v>1105.27</v>
      </c>
      <c r="X103" s="369">
        <v>169.56</v>
      </c>
      <c r="Y103" s="369">
        <v>334.83</v>
      </c>
      <c r="Z103" s="369">
        <v>155.80000000000001</v>
      </c>
      <c r="AA103" s="369">
        <v>638.94000000000005</v>
      </c>
      <c r="AB103" s="369">
        <v>4283.92</v>
      </c>
      <c r="AC103" s="369">
        <v>403.54</v>
      </c>
      <c r="AD103" s="369">
        <v>687.38</v>
      </c>
      <c r="AE103" s="369">
        <v>598.47</v>
      </c>
      <c r="AF103" s="369">
        <v>543.16999999999996</v>
      </c>
      <c r="AG103" s="369">
        <v>88.71</v>
      </c>
      <c r="AH103" s="369">
        <v>78.78</v>
      </c>
      <c r="AI103" s="369">
        <v>1013.29</v>
      </c>
      <c r="AJ103" s="369">
        <v>63.52</v>
      </c>
      <c r="AK103" s="369">
        <v>199.93</v>
      </c>
      <c r="AL103" s="369">
        <v>379.93</v>
      </c>
      <c r="AM103" s="369">
        <v>4174.63</v>
      </c>
      <c r="AN103" s="369">
        <v>616.14</v>
      </c>
      <c r="AO103" s="369">
        <v>5756.05</v>
      </c>
      <c r="AP103" s="369">
        <v>4917.34</v>
      </c>
      <c r="AQ103" s="369">
        <v>5179</v>
      </c>
      <c r="AR103" s="369">
        <v>3042.85</v>
      </c>
      <c r="AS103" s="369">
        <v>1001.56</v>
      </c>
      <c r="AT103" s="369">
        <v>16770.78</v>
      </c>
      <c r="AU103" s="369">
        <v>19.82</v>
      </c>
      <c r="AV103" s="369">
        <v>340.42</v>
      </c>
      <c r="AW103" s="369">
        <v>1610.49</v>
      </c>
      <c r="AX103" s="369">
        <v>458.62</v>
      </c>
      <c r="AY103" s="369">
        <v>214.91</v>
      </c>
      <c r="AZ103" s="369">
        <v>21.67</v>
      </c>
      <c r="BA103" s="369">
        <v>10.75</v>
      </c>
      <c r="BB103" s="369">
        <v>8209.99</v>
      </c>
      <c r="BC103" s="369">
        <v>673.62</v>
      </c>
      <c r="BD103" s="369">
        <v>1381.1</v>
      </c>
      <c r="BE103" s="369">
        <v>369.03</v>
      </c>
      <c r="BF103" s="369">
        <v>4093.56</v>
      </c>
      <c r="BG103" s="369">
        <v>0</v>
      </c>
      <c r="BH103" s="369">
        <v>3725.91</v>
      </c>
      <c r="BI103" s="369">
        <v>3656.53</v>
      </c>
      <c r="BJ103" s="369">
        <v>93.31</v>
      </c>
      <c r="BK103" s="369">
        <v>142.21</v>
      </c>
      <c r="BL103" s="369">
        <v>1300.3</v>
      </c>
      <c r="BM103" s="369">
        <v>183.95</v>
      </c>
      <c r="BN103" s="370">
        <v>3419.68</v>
      </c>
      <c r="BO103" s="373">
        <v>93576.84</v>
      </c>
      <c r="BP103" s="374"/>
      <c r="BQ103" s="370">
        <v>1716.76</v>
      </c>
      <c r="BR103" s="370">
        <v>75796.08</v>
      </c>
      <c r="BS103" s="370">
        <v>0</v>
      </c>
      <c r="BT103" s="370">
        <v>0</v>
      </c>
      <c r="BU103" s="370">
        <v>0</v>
      </c>
      <c r="BV103" s="370">
        <v>-493.48</v>
      </c>
    </row>
    <row r="104" spans="1:74" ht="15.75">
      <c r="A104" s="365" t="s">
        <v>1406</v>
      </c>
      <c r="B104" s="366" t="s">
        <v>1407</v>
      </c>
      <c r="C104" s="373">
        <v>7167.87</v>
      </c>
      <c r="D104" s="368">
        <v>0</v>
      </c>
      <c r="E104" s="369">
        <v>0</v>
      </c>
      <c r="F104" s="369">
        <v>0</v>
      </c>
      <c r="G104" s="369">
        <v>0</v>
      </c>
      <c r="H104" s="369">
        <v>27.12</v>
      </c>
      <c r="I104" s="369">
        <v>0</v>
      </c>
      <c r="J104" s="369">
        <v>857.26</v>
      </c>
      <c r="K104" s="369">
        <v>219.03</v>
      </c>
      <c r="L104" s="369">
        <v>56.07</v>
      </c>
      <c r="M104" s="369">
        <v>8.52</v>
      </c>
      <c r="N104" s="369">
        <v>5.82</v>
      </c>
      <c r="O104" s="369">
        <v>7.93</v>
      </c>
      <c r="P104" s="369">
        <v>0.82</v>
      </c>
      <c r="Q104" s="369">
        <v>1.92</v>
      </c>
      <c r="R104" s="369">
        <v>7.49</v>
      </c>
      <c r="S104" s="369">
        <v>10.26</v>
      </c>
      <c r="T104" s="369">
        <v>204.83</v>
      </c>
      <c r="U104" s="369">
        <v>4.58</v>
      </c>
      <c r="V104" s="369">
        <v>15.42</v>
      </c>
      <c r="W104" s="369">
        <v>47.56</v>
      </c>
      <c r="X104" s="369">
        <v>3.08</v>
      </c>
      <c r="Y104" s="369">
        <v>12.87</v>
      </c>
      <c r="Z104" s="369">
        <v>1.75</v>
      </c>
      <c r="AA104" s="369">
        <v>4.88</v>
      </c>
      <c r="AB104" s="369">
        <v>12.92</v>
      </c>
      <c r="AC104" s="369">
        <v>2.57</v>
      </c>
      <c r="AD104" s="369">
        <v>15</v>
      </c>
      <c r="AE104" s="369">
        <v>22.07</v>
      </c>
      <c r="AF104" s="369">
        <v>9.91</v>
      </c>
      <c r="AG104" s="369">
        <v>3.09</v>
      </c>
      <c r="AH104" s="369">
        <v>4.34</v>
      </c>
      <c r="AI104" s="369">
        <v>21.11</v>
      </c>
      <c r="AJ104" s="369">
        <v>2.4300000000000002</v>
      </c>
      <c r="AK104" s="369">
        <v>5.66</v>
      </c>
      <c r="AL104" s="369">
        <v>3.63</v>
      </c>
      <c r="AM104" s="369">
        <v>5.97</v>
      </c>
      <c r="AN104" s="369">
        <v>2.52</v>
      </c>
      <c r="AO104" s="369">
        <v>28.85</v>
      </c>
      <c r="AP104" s="369">
        <v>673.38</v>
      </c>
      <c r="AQ104" s="369">
        <v>244.08</v>
      </c>
      <c r="AR104" s="369">
        <v>43.42</v>
      </c>
      <c r="AS104" s="369">
        <v>28.55</v>
      </c>
      <c r="AT104" s="369">
        <v>56.74</v>
      </c>
      <c r="AU104" s="369">
        <v>0.31</v>
      </c>
      <c r="AV104" s="369">
        <v>5.05</v>
      </c>
      <c r="AW104" s="369">
        <v>18.690000000000001</v>
      </c>
      <c r="AX104" s="369">
        <v>22.49</v>
      </c>
      <c r="AY104" s="369">
        <v>1860.56</v>
      </c>
      <c r="AZ104" s="369">
        <v>187.65</v>
      </c>
      <c r="BA104" s="369">
        <v>93.03</v>
      </c>
      <c r="BB104" s="369">
        <v>102.62</v>
      </c>
      <c r="BC104" s="369">
        <v>15.85</v>
      </c>
      <c r="BD104" s="369">
        <v>18.920000000000002</v>
      </c>
      <c r="BE104" s="369">
        <v>15.62</v>
      </c>
      <c r="BF104" s="369">
        <v>417.47</v>
      </c>
      <c r="BG104" s="369">
        <v>0</v>
      </c>
      <c r="BH104" s="369">
        <v>87.26</v>
      </c>
      <c r="BI104" s="369">
        <v>152.63999999999999</v>
      </c>
      <c r="BJ104" s="369">
        <v>0.63</v>
      </c>
      <c r="BK104" s="369">
        <v>7.63</v>
      </c>
      <c r="BL104" s="369">
        <v>17.71</v>
      </c>
      <c r="BM104" s="369">
        <v>4.13</v>
      </c>
      <c r="BN104" s="370">
        <v>773.43</v>
      </c>
      <c r="BO104" s="373">
        <v>6485.16</v>
      </c>
      <c r="BP104" s="374"/>
      <c r="BQ104" s="370">
        <v>713.52</v>
      </c>
      <c r="BR104" s="370">
        <v>0</v>
      </c>
      <c r="BS104" s="370">
        <v>0</v>
      </c>
      <c r="BT104" s="370">
        <v>0</v>
      </c>
      <c r="BU104" s="370">
        <v>0</v>
      </c>
      <c r="BV104" s="370">
        <v>-30.8</v>
      </c>
    </row>
    <row r="105" spans="1:74" ht="15.75">
      <c r="A105" s="365" t="s">
        <v>1408</v>
      </c>
      <c r="B105" s="366" t="s">
        <v>1409</v>
      </c>
      <c r="C105" s="367" t="s">
        <v>1215</v>
      </c>
      <c r="D105" s="368">
        <v>0</v>
      </c>
      <c r="E105" s="369">
        <v>0</v>
      </c>
      <c r="F105" s="369">
        <v>0</v>
      </c>
      <c r="G105" s="369">
        <v>0</v>
      </c>
      <c r="H105" s="369">
        <v>0</v>
      </c>
      <c r="I105" s="369">
        <v>0</v>
      </c>
      <c r="J105" s="369">
        <v>0</v>
      </c>
      <c r="K105" s="369">
        <v>0</v>
      </c>
      <c r="L105" s="369">
        <v>0</v>
      </c>
      <c r="M105" s="369">
        <v>0</v>
      </c>
      <c r="N105" s="369">
        <v>0</v>
      </c>
      <c r="O105" s="369">
        <v>0</v>
      </c>
      <c r="P105" s="369">
        <v>0</v>
      </c>
      <c r="Q105" s="369">
        <v>0</v>
      </c>
      <c r="R105" s="369">
        <v>0</v>
      </c>
      <c r="S105" s="369">
        <v>0</v>
      </c>
      <c r="T105" s="369">
        <v>0</v>
      </c>
      <c r="U105" s="369">
        <v>0</v>
      </c>
      <c r="V105" s="369">
        <v>0</v>
      </c>
      <c r="W105" s="369">
        <v>0</v>
      </c>
      <c r="X105" s="369">
        <v>0</v>
      </c>
      <c r="Y105" s="369">
        <v>0</v>
      </c>
      <c r="Z105" s="369">
        <v>0</v>
      </c>
      <c r="AA105" s="369">
        <v>0</v>
      </c>
      <c r="AB105" s="369">
        <v>0</v>
      </c>
      <c r="AC105" s="369">
        <v>0</v>
      </c>
      <c r="AD105" s="369">
        <v>0</v>
      </c>
      <c r="AE105" s="369">
        <v>0</v>
      </c>
      <c r="AF105" s="369">
        <v>0</v>
      </c>
      <c r="AG105" s="369">
        <v>0</v>
      </c>
      <c r="AH105" s="369">
        <v>0</v>
      </c>
      <c r="AI105" s="369">
        <v>0</v>
      </c>
      <c r="AJ105" s="369">
        <v>0</v>
      </c>
      <c r="AK105" s="369">
        <v>0</v>
      </c>
      <c r="AL105" s="369">
        <v>0</v>
      </c>
      <c r="AM105" s="369">
        <v>0</v>
      </c>
      <c r="AN105" s="369">
        <v>0</v>
      </c>
      <c r="AO105" s="369">
        <v>0</v>
      </c>
      <c r="AP105" s="369">
        <v>0</v>
      </c>
      <c r="AQ105" s="369">
        <v>0</v>
      </c>
      <c r="AR105" s="369">
        <v>0</v>
      </c>
      <c r="AS105" s="369">
        <v>0</v>
      </c>
      <c r="AT105" s="369">
        <v>980.62</v>
      </c>
      <c r="AU105" s="369">
        <v>11.24</v>
      </c>
      <c r="AV105" s="369">
        <v>73.78</v>
      </c>
      <c r="AW105" s="369">
        <v>162.03</v>
      </c>
      <c r="AX105" s="369">
        <v>57.92</v>
      </c>
      <c r="AY105" s="369">
        <v>123.2</v>
      </c>
      <c r="AZ105" s="369">
        <v>12.43</v>
      </c>
      <c r="BA105" s="369">
        <v>6.16</v>
      </c>
      <c r="BB105" s="369">
        <v>0</v>
      </c>
      <c r="BC105" s="369">
        <v>0</v>
      </c>
      <c r="BD105" s="369">
        <v>0</v>
      </c>
      <c r="BE105" s="369">
        <v>0</v>
      </c>
      <c r="BF105" s="369">
        <v>0</v>
      </c>
      <c r="BG105" s="369">
        <v>84252.68</v>
      </c>
      <c r="BH105" s="369">
        <v>0</v>
      </c>
      <c r="BI105" s="369">
        <v>11268.08</v>
      </c>
      <c r="BJ105" s="369">
        <v>0</v>
      </c>
      <c r="BK105" s="369">
        <v>0</v>
      </c>
      <c r="BL105" s="369">
        <v>0</v>
      </c>
      <c r="BM105" s="369">
        <v>0</v>
      </c>
      <c r="BN105" s="370">
        <v>159.88</v>
      </c>
      <c r="BO105" s="373">
        <v>97108.02</v>
      </c>
      <c r="BP105" s="374"/>
      <c r="BQ105" s="370">
        <v>0</v>
      </c>
      <c r="BR105" s="370">
        <v>33922.07</v>
      </c>
      <c r="BS105" s="383" t="s">
        <v>1215</v>
      </c>
      <c r="BT105" s="370">
        <v>0</v>
      </c>
      <c r="BU105" s="370">
        <v>0</v>
      </c>
      <c r="BV105" s="370">
        <v>-994.6</v>
      </c>
    </row>
    <row r="106" spans="1:74" ht="15.75">
      <c r="A106" s="365" t="s">
        <v>1410</v>
      </c>
      <c r="B106" s="366" t="s">
        <v>1411</v>
      </c>
      <c r="C106" s="373">
        <v>80300.600000000006</v>
      </c>
      <c r="D106" s="368">
        <v>0</v>
      </c>
      <c r="E106" s="369">
        <v>0</v>
      </c>
      <c r="F106" s="369">
        <v>0</v>
      </c>
      <c r="G106" s="369">
        <v>0</v>
      </c>
      <c r="H106" s="369">
        <v>0</v>
      </c>
      <c r="I106" s="369">
        <v>0</v>
      </c>
      <c r="J106" s="369">
        <v>34.270000000000003</v>
      </c>
      <c r="K106" s="369">
        <v>7.36</v>
      </c>
      <c r="L106" s="369">
        <v>186.14</v>
      </c>
      <c r="M106" s="369">
        <v>92.62</v>
      </c>
      <c r="N106" s="369">
        <v>19.84</v>
      </c>
      <c r="O106" s="369">
        <v>20.68</v>
      </c>
      <c r="P106" s="369">
        <v>4.97</v>
      </c>
      <c r="Q106" s="369">
        <v>3.96</v>
      </c>
      <c r="R106" s="369">
        <v>25.41</v>
      </c>
      <c r="S106" s="369">
        <v>104.65</v>
      </c>
      <c r="T106" s="369">
        <v>74.430000000000007</v>
      </c>
      <c r="U106" s="369">
        <v>3.17</v>
      </c>
      <c r="V106" s="369">
        <v>94.28</v>
      </c>
      <c r="W106" s="369">
        <v>173.44</v>
      </c>
      <c r="X106" s="369">
        <v>23.16</v>
      </c>
      <c r="Y106" s="369">
        <v>30.46</v>
      </c>
      <c r="Z106" s="369">
        <v>8.69</v>
      </c>
      <c r="AA106" s="369">
        <v>15.61</v>
      </c>
      <c r="AB106" s="369">
        <v>136.25</v>
      </c>
      <c r="AC106" s="369">
        <v>15.52</v>
      </c>
      <c r="AD106" s="369">
        <v>43.44</v>
      </c>
      <c r="AE106" s="369">
        <v>153.99</v>
      </c>
      <c r="AF106" s="369">
        <v>1360.13</v>
      </c>
      <c r="AG106" s="369">
        <v>19.600000000000001</v>
      </c>
      <c r="AH106" s="369">
        <v>16.989999999999998</v>
      </c>
      <c r="AI106" s="369">
        <v>74.13</v>
      </c>
      <c r="AJ106" s="369">
        <v>11.82</v>
      </c>
      <c r="AK106" s="369">
        <v>9.0399999999999991</v>
      </c>
      <c r="AL106" s="369">
        <v>9.9700000000000006</v>
      </c>
      <c r="AM106" s="369">
        <v>120.44</v>
      </c>
      <c r="AN106" s="369">
        <v>285.12</v>
      </c>
      <c r="AO106" s="369">
        <v>0</v>
      </c>
      <c r="AP106" s="369">
        <v>387.9</v>
      </c>
      <c r="AQ106" s="369">
        <v>283.64999999999998</v>
      </c>
      <c r="AR106" s="369">
        <v>447.16</v>
      </c>
      <c r="AS106" s="369">
        <v>80.94</v>
      </c>
      <c r="AT106" s="369">
        <v>1505.64</v>
      </c>
      <c r="AU106" s="369">
        <v>0.95</v>
      </c>
      <c r="AV106" s="369">
        <v>23.22</v>
      </c>
      <c r="AW106" s="369">
        <v>673.22</v>
      </c>
      <c r="AX106" s="369">
        <v>310.99</v>
      </c>
      <c r="AY106" s="369">
        <v>5008.71</v>
      </c>
      <c r="AZ106" s="369">
        <v>505.15</v>
      </c>
      <c r="BA106" s="369">
        <v>250.43</v>
      </c>
      <c r="BB106" s="369">
        <v>926.68</v>
      </c>
      <c r="BC106" s="369">
        <v>44.33</v>
      </c>
      <c r="BD106" s="369">
        <v>226.81</v>
      </c>
      <c r="BE106" s="369">
        <v>143.78</v>
      </c>
      <c r="BF106" s="369">
        <v>3490.15</v>
      </c>
      <c r="BG106" s="369">
        <v>0</v>
      </c>
      <c r="BH106" s="369">
        <v>323.52999999999997</v>
      </c>
      <c r="BI106" s="369">
        <v>352.51</v>
      </c>
      <c r="BJ106" s="369">
        <v>2.36</v>
      </c>
      <c r="BK106" s="369">
        <v>28.78</v>
      </c>
      <c r="BL106" s="369">
        <v>179.83</v>
      </c>
      <c r="BM106" s="369">
        <v>10.85</v>
      </c>
      <c r="BN106" s="370">
        <v>2349.89</v>
      </c>
      <c r="BO106" s="373">
        <v>20737.009999999998</v>
      </c>
      <c r="BP106" s="374"/>
      <c r="BQ106" s="370">
        <v>0</v>
      </c>
      <c r="BR106" s="370">
        <v>59742.32</v>
      </c>
      <c r="BS106" s="370">
        <v>0</v>
      </c>
      <c r="BT106" s="370">
        <v>0</v>
      </c>
      <c r="BU106" s="370">
        <v>0</v>
      </c>
      <c r="BV106" s="370">
        <v>-178.74</v>
      </c>
    </row>
    <row r="107" spans="1:74" ht="15.75">
      <c r="A107" s="365" t="s">
        <v>1412</v>
      </c>
      <c r="B107" s="366" t="s">
        <v>1413</v>
      </c>
      <c r="C107" s="367" t="s">
        <v>1215</v>
      </c>
      <c r="D107" s="368">
        <v>0</v>
      </c>
      <c r="E107" s="369">
        <v>5729.79</v>
      </c>
      <c r="F107" s="369">
        <v>587.16</v>
      </c>
      <c r="G107" s="369">
        <v>71.03</v>
      </c>
      <c r="H107" s="369">
        <v>0</v>
      </c>
      <c r="I107" s="369">
        <v>0</v>
      </c>
      <c r="J107" s="369">
        <v>0</v>
      </c>
      <c r="K107" s="369">
        <v>0</v>
      </c>
      <c r="L107" s="369">
        <v>0</v>
      </c>
      <c r="M107" s="369">
        <v>0</v>
      </c>
      <c r="N107" s="369">
        <v>0</v>
      </c>
      <c r="O107" s="369">
        <v>0</v>
      </c>
      <c r="P107" s="369">
        <v>0</v>
      </c>
      <c r="Q107" s="369">
        <v>0</v>
      </c>
      <c r="R107" s="369">
        <v>0</v>
      </c>
      <c r="S107" s="369">
        <v>0</v>
      </c>
      <c r="T107" s="369">
        <v>0</v>
      </c>
      <c r="U107" s="369">
        <v>0</v>
      </c>
      <c r="V107" s="369">
        <v>0</v>
      </c>
      <c r="W107" s="369">
        <v>0</v>
      </c>
      <c r="X107" s="369">
        <v>0</v>
      </c>
      <c r="Y107" s="369">
        <v>0</v>
      </c>
      <c r="Z107" s="369">
        <v>0</v>
      </c>
      <c r="AA107" s="369">
        <v>0</v>
      </c>
      <c r="AB107" s="369">
        <v>0</v>
      </c>
      <c r="AC107" s="369">
        <v>0</v>
      </c>
      <c r="AD107" s="369">
        <v>0</v>
      </c>
      <c r="AE107" s="369">
        <v>0</v>
      </c>
      <c r="AF107" s="369">
        <v>0</v>
      </c>
      <c r="AG107" s="369">
        <v>0</v>
      </c>
      <c r="AH107" s="369">
        <v>0</v>
      </c>
      <c r="AI107" s="369">
        <v>0</v>
      </c>
      <c r="AJ107" s="369">
        <v>0</v>
      </c>
      <c r="AK107" s="369">
        <v>0</v>
      </c>
      <c r="AL107" s="369">
        <v>0</v>
      </c>
      <c r="AM107" s="369">
        <v>81.33</v>
      </c>
      <c r="AN107" s="369">
        <v>0</v>
      </c>
      <c r="AO107" s="369">
        <v>0</v>
      </c>
      <c r="AP107" s="369">
        <v>0</v>
      </c>
      <c r="AQ107" s="369">
        <v>0</v>
      </c>
      <c r="AR107" s="369">
        <v>0</v>
      </c>
      <c r="AS107" s="369">
        <v>0</v>
      </c>
      <c r="AT107" s="369">
        <v>979.38</v>
      </c>
      <c r="AU107" s="369">
        <v>11.23</v>
      </c>
      <c r="AV107" s="369">
        <v>73.69</v>
      </c>
      <c r="AW107" s="369">
        <v>161.82</v>
      </c>
      <c r="AX107" s="369">
        <v>183.04</v>
      </c>
      <c r="AY107" s="369">
        <v>2790.22</v>
      </c>
      <c r="AZ107" s="369">
        <v>281.41000000000003</v>
      </c>
      <c r="BA107" s="369">
        <v>139.51</v>
      </c>
      <c r="BB107" s="369">
        <v>11077.16</v>
      </c>
      <c r="BC107" s="369">
        <v>596.47</v>
      </c>
      <c r="BD107" s="369">
        <v>1289.73</v>
      </c>
      <c r="BE107" s="369">
        <v>447.36</v>
      </c>
      <c r="BF107" s="369">
        <v>15758.26</v>
      </c>
      <c r="BG107" s="369">
        <v>15446.66</v>
      </c>
      <c r="BH107" s="369">
        <v>4124.38</v>
      </c>
      <c r="BI107" s="369">
        <v>494.09</v>
      </c>
      <c r="BJ107" s="369">
        <v>94.31</v>
      </c>
      <c r="BK107" s="369">
        <v>186.01</v>
      </c>
      <c r="BL107" s="369">
        <v>1853.96</v>
      </c>
      <c r="BM107" s="369">
        <v>133.63999999999999</v>
      </c>
      <c r="BN107" s="370">
        <v>2945.15</v>
      </c>
      <c r="BO107" s="373">
        <v>65536.78</v>
      </c>
      <c r="BP107" s="374"/>
      <c r="BQ107" s="370">
        <v>3483.91</v>
      </c>
      <c r="BR107" s="383" t="s">
        <v>1215</v>
      </c>
      <c r="BS107" s="370">
        <v>0</v>
      </c>
      <c r="BT107" s="370">
        <v>0</v>
      </c>
      <c r="BU107" s="370">
        <v>0</v>
      </c>
      <c r="BV107" s="370">
        <v>-583.88</v>
      </c>
    </row>
    <row r="108" spans="1:74" ht="15.75">
      <c r="A108" s="365" t="s">
        <v>1414</v>
      </c>
      <c r="B108" s="366" t="s">
        <v>1415</v>
      </c>
      <c r="C108" s="367" t="s">
        <v>1215</v>
      </c>
      <c r="D108" s="368">
        <v>0</v>
      </c>
      <c r="E108" s="369">
        <v>1251.8499999999999</v>
      </c>
      <c r="F108" s="369">
        <v>128.81</v>
      </c>
      <c r="G108" s="369">
        <v>14.5</v>
      </c>
      <c r="H108" s="369">
        <v>863.28</v>
      </c>
      <c r="I108" s="369">
        <v>2149.12</v>
      </c>
      <c r="J108" s="369">
        <v>2291.7399999999998</v>
      </c>
      <c r="K108" s="369">
        <v>606.24</v>
      </c>
      <c r="L108" s="369">
        <v>6138.23</v>
      </c>
      <c r="M108" s="369">
        <v>3846.71</v>
      </c>
      <c r="N108" s="369">
        <v>1044.49</v>
      </c>
      <c r="O108" s="369">
        <v>744.08</v>
      </c>
      <c r="P108" s="369">
        <v>150.5</v>
      </c>
      <c r="Q108" s="369">
        <v>216.24</v>
      </c>
      <c r="R108" s="369">
        <v>1133</v>
      </c>
      <c r="S108" s="369">
        <v>4435.71</v>
      </c>
      <c r="T108" s="369">
        <v>2272.1</v>
      </c>
      <c r="U108" s="369">
        <v>717.17</v>
      </c>
      <c r="V108" s="369">
        <v>2053.42</v>
      </c>
      <c r="W108" s="369">
        <v>3480.6</v>
      </c>
      <c r="X108" s="369">
        <v>237.51</v>
      </c>
      <c r="Y108" s="369">
        <v>956.98</v>
      </c>
      <c r="Z108" s="369">
        <v>156.96</v>
      </c>
      <c r="AA108" s="369">
        <v>912.46</v>
      </c>
      <c r="AB108" s="369">
        <v>5065.91</v>
      </c>
      <c r="AC108" s="369">
        <v>991.88</v>
      </c>
      <c r="AD108" s="369">
        <v>1694.78</v>
      </c>
      <c r="AE108" s="369">
        <v>2048.94</v>
      </c>
      <c r="AF108" s="369">
        <v>1242.27</v>
      </c>
      <c r="AG108" s="369">
        <v>279.38</v>
      </c>
      <c r="AH108" s="369">
        <v>258.83999999999997</v>
      </c>
      <c r="AI108" s="369">
        <v>4548.09</v>
      </c>
      <c r="AJ108" s="369">
        <v>740.67</v>
      </c>
      <c r="AK108" s="369">
        <v>716.68</v>
      </c>
      <c r="AL108" s="369">
        <v>470.99</v>
      </c>
      <c r="AM108" s="369">
        <v>65.52</v>
      </c>
      <c r="AN108" s="369">
        <v>53.46</v>
      </c>
      <c r="AO108" s="369">
        <v>1495.25</v>
      </c>
      <c r="AP108" s="369">
        <v>0</v>
      </c>
      <c r="AQ108" s="369">
        <v>175.97</v>
      </c>
      <c r="AR108" s="369">
        <v>592.82000000000005</v>
      </c>
      <c r="AS108" s="369">
        <v>822.73</v>
      </c>
      <c r="AT108" s="369">
        <v>4405.1000000000004</v>
      </c>
      <c r="AU108" s="369">
        <v>50.66</v>
      </c>
      <c r="AV108" s="369">
        <v>332.74</v>
      </c>
      <c r="AW108" s="369">
        <v>728.95</v>
      </c>
      <c r="AX108" s="369">
        <v>2096.1799999999998</v>
      </c>
      <c r="AY108" s="369">
        <v>234.17</v>
      </c>
      <c r="AZ108" s="369">
        <v>23.62</v>
      </c>
      <c r="BA108" s="369">
        <v>11.71</v>
      </c>
      <c r="BB108" s="369">
        <v>5717.67</v>
      </c>
      <c r="BC108" s="369">
        <v>317.73</v>
      </c>
      <c r="BD108" s="369">
        <v>710.8</v>
      </c>
      <c r="BE108" s="369">
        <v>230.48</v>
      </c>
      <c r="BF108" s="369">
        <v>8109.53</v>
      </c>
      <c r="BG108" s="369">
        <v>1168.96</v>
      </c>
      <c r="BH108" s="369">
        <v>827.77</v>
      </c>
      <c r="BI108" s="369">
        <v>316.58</v>
      </c>
      <c r="BJ108" s="369">
        <v>24.85</v>
      </c>
      <c r="BK108" s="369">
        <v>57.54</v>
      </c>
      <c r="BL108" s="369">
        <v>386.38</v>
      </c>
      <c r="BM108" s="369">
        <v>19.940000000000001</v>
      </c>
      <c r="BN108" s="370">
        <v>2213.9299999999998</v>
      </c>
      <c r="BO108" s="373">
        <v>85051.18</v>
      </c>
      <c r="BP108" s="374"/>
      <c r="BQ108" s="370">
        <v>13149.14</v>
      </c>
      <c r="BR108" s="383" t="s">
        <v>1215</v>
      </c>
      <c r="BS108" s="370">
        <v>0</v>
      </c>
      <c r="BT108" s="370">
        <v>0</v>
      </c>
      <c r="BU108" s="370">
        <v>0</v>
      </c>
      <c r="BV108" s="370">
        <v>-646.33000000000004</v>
      </c>
    </row>
    <row r="109" spans="1:74" ht="15.75">
      <c r="A109" s="365" t="s">
        <v>1416</v>
      </c>
      <c r="B109" s="366" t="s">
        <v>1417</v>
      </c>
      <c r="C109" s="373">
        <v>0</v>
      </c>
      <c r="D109" s="368">
        <v>0</v>
      </c>
      <c r="E109" s="369">
        <v>0</v>
      </c>
      <c r="F109" s="369">
        <v>0</v>
      </c>
      <c r="G109" s="369">
        <v>0</v>
      </c>
      <c r="H109" s="369">
        <v>0</v>
      </c>
      <c r="I109" s="369">
        <v>0</v>
      </c>
      <c r="J109" s="369">
        <v>0</v>
      </c>
      <c r="K109" s="369">
        <v>0</v>
      </c>
      <c r="L109" s="369">
        <v>0</v>
      </c>
      <c r="M109" s="369">
        <v>0</v>
      </c>
      <c r="N109" s="369">
        <v>0</v>
      </c>
      <c r="O109" s="369">
        <v>0</v>
      </c>
      <c r="P109" s="369">
        <v>0</v>
      </c>
      <c r="Q109" s="369">
        <v>0</v>
      </c>
      <c r="R109" s="369">
        <v>0</v>
      </c>
      <c r="S109" s="369">
        <v>0</v>
      </c>
      <c r="T109" s="369">
        <v>0</v>
      </c>
      <c r="U109" s="369">
        <v>0</v>
      </c>
      <c r="V109" s="369">
        <v>0</v>
      </c>
      <c r="W109" s="369">
        <v>0</v>
      </c>
      <c r="X109" s="369">
        <v>0</v>
      </c>
      <c r="Y109" s="369">
        <v>0</v>
      </c>
      <c r="Z109" s="369">
        <v>0</v>
      </c>
      <c r="AA109" s="369">
        <v>0</v>
      </c>
      <c r="AB109" s="369">
        <v>0</v>
      </c>
      <c r="AC109" s="369">
        <v>0</v>
      </c>
      <c r="AD109" s="369">
        <v>0</v>
      </c>
      <c r="AE109" s="369">
        <v>0</v>
      </c>
      <c r="AF109" s="369">
        <v>0</v>
      </c>
      <c r="AG109" s="369">
        <v>0</v>
      </c>
      <c r="AH109" s="369">
        <v>0</v>
      </c>
      <c r="AI109" s="369">
        <v>0</v>
      </c>
      <c r="AJ109" s="369">
        <v>0</v>
      </c>
      <c r="AK109" s="369">
        <v>0</v>
      </c>
      <c r="AL109" s="369">
        <v>0</v>
      </c>
      <c r="AM109" s="369">
        <v>0</v>
      </c>
      <c r="AN109" s="369">
        <v>0</v>
      </c>
      <c r="AO109" s="369">
        <v>0</v>
      </c>
      <c r="AP109" s="369">
        <v>0</v>
      </c>
      <c r="AQ109" s="369">
        <v>0</v>
      </c>
      <c r="AR109" s="369">
        <v>0</v>
      </c>
      <c r="AS109" s="369">
        <v>0</v>
      </c>
      <c r="AT109" s="369">
        <v>0</v>
      </c>
      <c r="AU109" s="369">
        <v>0</v>
      </c>
      <c r="AV109" s="369">
        <v>0</v>
      </c>
      <c r="AW109" s="369">
        <v>0</v>
      </c>
      <c r="AX109" s="369">
        <v>0</v>
      </c>
      <c r="AY109" s="369">
        <v>0</v>
      </c>
      <c r="AZ109" s="369">
        <v>0</v>
      </c>
      <c r="BA109" s="369">
        <v>0</v>
      </c>
      <c r="BB109" s="369">
        <v>0</v>
      </c>
      <c r="BC109" s="369">
        <v>0</v>
      </c>
      <c r="BD109" s="369">
        <v>0</v>
      </c>
      <c r="BE109" s="369">
        <v>0</v>
      </c>
      <c r="BF109" s="369">
        <v>0</v>
      </c>
      <c r="BG109" s="369">
        <v>0</v>
      </c>
      <c r="BH109" s="369">
        <v>0</v>
      </c>
      <c r="BI109" s="369">
        <v>0</v>
      </c>
      <c r="BJ109" s="369">
        <v>0</v>
      </c>
      <c r="BK109" s="369">
        <v>0</v>
      </c>
      <c r="BL109" s="369">
        <v>0</v>
      </c>
      <c r="BM109" s="369">
        <v>0</v>
      </c>
      <c r="BN109" s="370">
        <v>0</v>
      </c>
      <c r="BO109" s="373">
        <v>0</v>
      </c>
      <c r="BP109" s="374"/>
      <c r="BQ109" s="383" t="s">
        <v>1215</v>
      </c>
      <c r="BR109" s="383" t="s">
        <v>1215</v>
      </c>
      <c r="BS109" s="370">
        <v>0</v>
      </c>
      <c r="BT109" s="370">
        <v>0</v>
      </c>
      <c r="BU109" s="370">
        <v>0</v>
      </c>
      <c r="BV109" s="370">
        <v>0</v>
      </c>
    </row>
    <row r="110" spans="1:74" ht="15.75">
      <c r="A110" s="365" t="s">
        <v>1418</v>
      </c>
      <c r="B110" s="366" t="s">
        <v>1419</v>
      </c>
      <c r="C110" s="373">
        <v>58847.82</v>
      </c>
      <c r="D110" s="368">
        <v>0</v>
      </c>
      <c r="E110" s="369">
        <v>0</v>
      </c>
      <c r="F110" s="369">
        <v>0</v>
      </c>
      <c r="G110" s="369">
        <v>0</v>
      </c>
      <c r="H110" s="369">
        <v>0</v>
      </c>
      <c r="I110" s="369">
        <v>0</v>
      </c>
      <c r="J110" s="369">
        <v>0</v>
      </c>
      <c r="K110" s="369">
        <v>0</v>
      </c>
      <c r="L110" s="369">
        <v>0</v>
      </c>
      <c r="M110" s="369">
        <v>0</v>
      </c>
      <c r="N110" s="369">
        <v>0</v>
      </c>
      <c r="O110" s="369">
        <v>0</v>
      </c>
      <c r="P110" s="369">
        <v>0</v>
      </c>
      <c r="Q110" s="369">
        <v>0</v>
      </c>
      <c r="R110" s="369">
        <v>0</v>
      </c>
      <c r="S110" s="369">
        <v>0</v>
      </c>
      <c r="T110" s="369">
        <v>0</v>
      </c>
      <c r="U110" s="369">
        <v>0</v>
      </c>
      <c r="V110" s="369">
        <v>0</v>
      </c>
      <c r="W110" s="369">
        <v>0</v>
      </c>
      <c r="X110" s="369">
        <v>0</v>
      </c>
      <c r="Y110" s="369">
        <v>0</v>
      </c>
      <c r="Z110" s="369">
        <v>0</v>
      </c>
      <c r="AA110" s="369">
        <v>0</v>
      </c>
      <c r="AB110" s="369">
        <v>0</v>
      </c>
      <c r="AC110" s="369">
        <v>0</v>
      </c>
      <c r="AD110" s="369">
        <v>0</v>
      </c>
      <c r="AE110" s="369">
        <v>0</v>
      </c>
      <c r="AF110" s="369">
        <v>0</v>
      </c>
      <c r="AG110" s="369">
        <v>0</v>
      </c>
      <c r="AH110" s="369">
        <v>0</v>
      </c>
      <c r="AI110" s="369">
        <v>0</v>
      </c>
      <c r="AJ110" s="369">
        <v>0</v>
      </c>
      <c r="AK110" s="369">
        <v>0</v>
      </c>
      <c r="AL110" s="369">
        <v>0</v>
      </c>
      <c r="AM110" s="369">
        <v>0</v>
      </c>
      <c r="AN110" s="369">
        <v>0</v>
      </c>
      <c r="AO110" s="369">
        <v>0</v>
      </c>
      <c r="AP110" s="369">
        <v>0</v>
      </c>
      <c r="AQ110" s="369">
        <v>0</v>
      </c>
      <c r="AR110" s="369">
        <v>0</v>
      </c>
      <c r="AS110" s="369">
        <v>0</v>
      </c>
      <c r="AT110" s="369">
        <v>0</v>
      </c>
      <c r="AU110" s="369">
        <v>0</v>
      </c>
      <c r="AV110" s="369">
        <v>0</v>
      </c>
      <c r="AW110" s="369">
        <v>0</v>
      </c>
      <c r="AX110" s="369">
        <v>0</v>
      </c>
      <c r="AY110" s="369">
        <v>0</v>
      </c>
      <c r="AZ110" s="369">
        <v>0</v>
      </c>
      <c r="BA110" s="369">
        <v>0</v>
      </c>
      <c r="BB110" s="369">
        <v>0</v>
      </c>
      <c r="BC110" s="369">
        <v>0</v>
      </c>
      <c r="BD110" s="369">
        <v>0</v>
      </c>
      <c r="BE110" s="369">
        <v>0</v>
      </c>
      <c r="BF110" s="369">
        <v>0</v>
      </c>
      <c r="BG110" s="369">
        <v>0</v>
      </c>
      <c r="BH110" s="369">
        <v>0</v>
      </c>
      <c r="BI110" s="369">
        <v>0</v>
      </c>
      <c r="BJ110" s="369">
        <v>0</v>
      </c>
      <c r="BK110" s="369">
        <v>0</v>
      </c>
      <c r="BL110" s="369">
        <v>0</v>
      </c>
      <c r="BM110" s="369">
        <v>0</v>
      </c>
      <c r="BN110" s="370">
        <v>0</v>
      </c>
      <c r="BO110" s="373">
        <v>0</v>
      </c>
      <c r="BP110" s="374"/>
      <c r="BQ110" s="370">
        <v>0</v>
      </c>
      <c r="BR110" s="370">
        <v>58847.89</v>
      </c>
      <c r="BS110" s="370">
        <v>0</v>
      </c>
      <c r="BT110" s="370">
        <v>0</v>
      </c>
      <c r="BU110" s="370">
        <v>0</v>
      </c>
      <c r="BV110" s="370">
        <v>-7.0000000000000007E-2</v>
      </c>
    </row>
    <row r="111" spans="1:74" ht="15.75">
      <c r="A111" s="385"/>
      <c r="B111" s="386" t="s">
        <v>1420</v>
      </c>
      <c r="C111" s="387" t="s">
        <v>1215</v>
      </c>
      <c r="D111" s="24">
        <v>0</v>
      </c>
      <c r="E111" s="387" t="s">
        <v>1215</v>
      </c>
      <c r="F111" s="388">
        <v>13218.82</v>
      </c>
      <c r="G111" s="388">
        <v>2417.1799999999998</v>
      </c>
      <c r="H111" s="388">
        <v>48211.48</v>
      </c>
      <c r="I111" s="388">
        <v>34746.36</v>
      </c>
      <c r="J111" s="387" t="s">
        <v>1215</v>
      </c>
      <c r="K111" s="388">
        <v>49671.35</v>
      </c>
      <c r="L111" s="387" t="s">
        <v>1215</v>
      </c>
      <c r="M111" s="388">
        <v>69683.09</v>
      </c>
      <c r="N111" s="388">
        <v>28245.37</v>
      </c>
      <c r="O111" s="388">
        <v>21901.71</v>
      </c>
      <c r="P111" s="388">
        <v>6713.36</v>
      </c>
      <c r="Q111" s="388">
        <v>8263.36</v>
      </c>
      <c r="R111" s="388">
        <v>34041.43</v>
      </c>
      <c r="S111" s="388">
        <v>69063.3</v>
      </c>
      <c r="T111" s="388">
        <v>38624.15</v>
      </c>
      <c r="U111" s="387" t="s">
        <v>1215</v>
      </c>
      <c r="V111" s="388">
        <v>99200.58</v>
      </c>
      <c r="W111" s="387" t="s">
        <v>1215</v>
      </c>
      <c r="X111" s="388">
        <v>14623.86</v>
      </c>
      <c r="Y111" s="388">
        <v>25266.07</v>
      </c>
      <c r="Z111" s="388">
        <v>7295.22</v>
      </c>
      <c r="AA111" s="388">
        <v>38875.51</v>
      </c>
      <c r="AB111" s="387" t="s">
        <v>1215</v>
      </c>
      <c r="AC111" s="388">
        <v>39832.79</v>
      </c>
      <c r="AD111" s="388">
        <v>72043.08</v>
      </c>
      <c r="AE111" s="388">
        <v>71117.05</v>
      </c>
      <c r="AF111" s="388">
        <v>43653.65</v>
      </c>
      <c r="AG111" s="388">
        <v>11477.23</v>
      </c>
      <c r="AH111" s="388">
        <v>6661.33</v>
      </c>
      <c r="AI111" s="387" t="s">
        <v>1215</v>
      </c>
      <c r="AJ111" s="388">
        <v>13155.36</v>
      </c>
      <c r="AK111" s="388">
        <v>18810.009999999998</v>
      </c>
      <c r="AL111" s="388">
        <v>34344.49</v>
      </c>
      <c r="AM111" s="388">
        <v>83758.539999999994</v>
      </c>
      <c r="AN111" s="388">
        <v>37720</v>
      </c>
      <c r="AO111" s="387" t="s">
        <v>1215</v>
      </c>
      <c r="AP111" s="387" t="s">
        <v>1215</v>
      </c>
      <c r="AQ111" s="387" t="s">
        <v>1215</v>
      </c>
      <c r="AR111" s="388">
        <v>67468.039999999994</v>
      </c>
      <c r="AS111" s="388">
        <v>55103.22</v>
      </c>
      <c r="AT111" s="387" t="s">
        <v>1215</v>
      </c>
      <c r="AU111" s="388">
        <v>3230.76</v>
      </c>
      <c r="AV111" s="388">
        <v>31136.080000000002</v>
      </c>
      <c r="AW111" s="388">
        <v>47896.41</v>
      </c>
      <c r="AX111" s="387" t="s">
        <v>1215</v>
      </c>
      <c r="AY111" s="387" t="s">
        <v>1215</v>
      </c>
      <c r="AZ111" s="388">
        <v>97385.78</v>
      </c>
      <c r="BA111" s="387" t="s">
        <v>1215</v>
      </c>
      <c r="BB111" s="387" t="s">
        <v>1215</v>
      </c>
      <c r="BC111" s="388">
        <v>19825</v>
      </c>
      <c r="BD111" s="388">
        <v>28532</v>
      </c>
      <c r="BE111" s="388">
        <v>5878</v>
      </c>
      <c r="BF111" s="387" t="s">
        <v>1215</v>
      </c>
      <c r="BG111" s="387" t="s">
        <v>1215</v>
      </c>
      <c r="BH111" s="388">
        <v>51763.83</v>
      </c>
      <c r="BI111" s="387" t="s">
        <v>1215</v>
      </c>
      <c r="BJ111" s="388">
        <v>1341.09</v>
      </c>
      <c r="BK111" s="388">
        <v>2985.21</v>
      </c>
      <c r="BL111" s="388">
        <v>34940.639999999999</v>
      </c>
      <c r="BM111" s="388">
        <v>4228.33</v>
      </c>
      <c r="BN111" s="389" t="s">
        <v>1215</v>
      </c>
      <c r="BO111" s="387" t="s">
        <v>1215</v>
      </c>
      <c r="BP111" s="390"/>
      <c r="BQ111" s="389" t="s">
        <v>1215</v>
      </c>
      <c r="BR111" s="389" t="s">
        <v>1215</v>
      </c>
      <c r="BS111" s="389" t="s">
        <v>1215</v>
      </c>
      <c r="BT111" s="389" t="s">
        <v>1215</v>
      </c>
      <c r="BU111" s="391">
        <v>1939.37</v>
      </c>
      <c r="BV111" s="391">
        <v>-5656.91</v>
      </c>
    </row>
    <row r="112" spans="1:74" ht="15.75">
      <c r="A112" s="392"/>
      <c r="B112" s="393"/>
      <c r="C112" s="394"/>
      <c r="D112" s="368">
        <v>0</v>
      </c>
      <c r="E112" s="394"/>
      <c r="F112" s="394"/>
      <c r="G112" s="394"/>
      <c r="H112" s="394"/>
      <c r="I112" s="394"/>
      <c r="J112" s="394"/>
      <c r="K112" s="394"/>
      <c r="L112" s="394"/>
      <c r="M112" s="394"/>
      <c r="N112" s="394"/>
      <c r="O112" s="394"/>
      <c r="P112" s="394"/>
      <c r="Q112" s="394"/>
      <c r="R112" s="394"/>
      <c r="S112" s="394"/>
      <c r="T112" s="394"/>
      <c r="U112" s="394"/>
      <c r="V112" s="394"/>
      <c r="W112" s="394"/>
      <c r="X112" s="394"/>
      <c r="Y112" s="394"/>
      <c r="Z112" s="394"/>
      <c r="AA112" s="394"/>
      <c r="AB112" s="394"/>
      <c r="AC112" s="394"/>
      <c r="AD112" s="394"/>
      <c r="AE112" s="394"/>
      <c r="AF112" s="394"/>
      <c r="AG112" s="394"/>
      <c r="AH112" s="394"/>
      <c r="AI112" s="394"/>
      <c r="AJ112" s="394"/>
      <c r="AK112" s="394"/>
      <c r="AL112" s="394"/>
      <c r="AM112" s="394"/>
      <c r="AN112" s="394"/>
      <c r="AO112" s="394"/>
      <c r="AP112" s="394"/>
      <c r="AQ112" s="394"/>
      <c r="AR112" s="394"/>
      <c r="AS112" s="394"/>
      <c r="AT112" s="394"/>
      <c r="AU112" s="394"/>
      <c r="AV112" s="394"/>
      <c r="AW112" s="394"/>
      <c r="AX112" s="394"/>
      <c r="AY112" s="394"/>
      <c r="AZ112" s="394"/>
      <c r="BA112" s="394"/>
      <c r="BB112" s="394"/>
      <c r="BC112" s="394"/>
      <c r="BD112" s="394"/>
      <c r="BE112" s="394"/>
      <c r="BF112" s="394"/>
      <c r="BG112" s="394"/>
      <c r="BH112" s="394"/>
      <c r="BI112" s="394"/>
      <c r="BJ112" s="394"/>
      <c r="BK112" s="394"/>
      <c r="BL112" s="394"/>
      <c r="BM112" s="394"/>
      <c r="BN112" s="393"/>
      <c r="BO112" s="394"/>
      <c r="BP112" s="374"/>
      <c r="BQ112" s="395"/>
      <c r="BR112" s="395"/>
      <c r="BS112" s="395"/>
      <c r="BT112" s="395"/>
      <c r="BU112" s="395"/>
      <c r="BV112" s="395"/>
    </row>
    <row r="113" spans="1:74" ht="15.75">
      <c r="A113" s="365" t="s">
        <v>1421</v>
      </c>
      <c r="B113" s="366" t="s">
        <v>1422</v>
      </c>
      <c r="C113" s="395"/>
      <c r="D113" s="365" t="s">
        <v>1215</v>
      </c>
      <c r="E113" s="373">
        <v>94675</v>
      </c>
      <c r="F113" s="373">
        <v>7412.41</v>
      </c>
      <c r="G113" s="373">
        <v>7375.63</v>
      </c>
      <c r="H113" s="373">
        <v>84244.36</v>
      </c>
      <c r="I113" s="373">
        <v>55235.45</v>
      </c>
      <c r="J113" s="367" t="s">
        <v>1215</v>
      </c>
      <c r="K113" s="373">
        <v>49904.66</v>
      </c>
      <c r="L113" s="367" t="s">
        <v>1215</v>
      </c>
      <c r="M113" s="373">
        <v>37515.64</v>
      </c>
      <c r="N113" s="373">
        <v>6074.79</v>
      </c>
      <c r="O113" s="373">
        <v>6325.12</v>
      </c>
      <c r="P113" s="373">
        <v>1912.06</v>
      </c>
      <c r="Q113" s="373">
        <v>1824.06</v>
      </c>
      <c r="R113" s="373">
        <v>22995.25</v>
      </c>
      <c r="S113" s="373">
        <v>21734.19</v>
      </c>
      <c r="T113" s="373">
        <v>15667.23</v>
      </c>
      <c r="U113" s="373">
        <v>42737.16</v>
      </c>
      <c r="V113" s="373">
        <v>21805.05</v>
      </c>
      <c r="W113" s="373">
        <v>32368.57</v>
      </c>
      <c r="X113" s="373">
        <v>6189.49</v>
      </c>
      <c r="Y113" s="373">
        <v>14159.18</v>
      </c>
      <c r="Z113" s="373">
        <v>3428.42</v>
      </c>
      <c r="AA113" s="373">
        <v>12741.29</v>
      </c>
      <c r="AB113" s="373">
        <v>20516.240000000002</v>
      </c>
      <c r="AC113" s="373">
        <v>11900.17</v>
      </c>
      <c r="AD113" s="373">
        <v>30155.91</v>
      </c>
      <c r="AE113" s="373">
        <v>34923.93</v>
      </c>
      <c r="AF113" s="373">
        <v>8776.66</v>
      </c>
      <c r="AG113" s="373">
        <v>4795.1400000000003</v>
      </c>
      <c r="AH113" s="373">
        <v>3239.37</v>
      </c>
      <c r="AI113" s="373">
        <v>35840.39</v>
      </c>
      <c r="AJ113" s="373">
        <v>6505.92</v>
      </c>
      <c r="AK113" s="373">
        <v>5585.73</v>
      </c>
      <c r="AL113" s="373">
        <v>22819.02</v>
      </c>
      <c r="AM113" s="367" t="s">
        <v>1215</v>
      </c>
      <c r="AN113" s="373">
        <v>32949</v>
      </c>
      <c r="AO113" s="367" t="s">
        <v>1215</v>
      </c>
      <c r="AP113" s="367" t="s">
        <v>1215</v>
      </c>
      <c r="AQ113" s="367" t="s">
        <v>1215</v>
      </c>
      <c r="AR113" s="373">
        <v>84038.28</v>
      </c>
      <c r="AS113" s="373">
        <v>36466.97</v>
      </c>
      <c r="AT113" s="367" t="s">
        <v>1215</v>
      </c>
      <c r="AU113" s="373">
        <v>2468.15</v>
      </c>
      <c r="AV113" s="373">
        <v>18382.2</v>
      </c>
      <c r="AW113" s="373">
        <v>47700.26</v>
      </c>
      <c r="AX113" s="373">
        <v>77206.179999999993</v>
      </c>
      <c r="AY113" s="367" t="s">
        <v>1215</v>
      </c>
      <c r="AZ113" s="373">
        <v>93015.97</v>
      </c>
      <c r="BA113" s="367" t="s">
        <v>1215</v>
      </c>
      <c r="BB113" s="367" t="s">
        <v>1215</v>
      </c>
      <c r="BC113" s="373">
        <v>9140</v>
      </c>
      <c r="BD113" s="373">
        <v>9368</v>
      </c>
      <c r="BE113" s="373">
        <v>12613</v>
      </c>
      <c r="BF113" s="367" t="s">
        <v>1215</v>
      </c>
      <c r="BG113" s="367" t="s">
        <v>1215</v>
      </c>
      <c r="BH113" s="373">
        <v>43632.05</v>
      </c>
      <c r="BI113" s="373">
        <v>83210.27</v>
      </c>
      <c r="BJ113" s="373">
        <v>1134.79</v>
      </c>
      <c r="BK113" s="373">
        <v>2129.42</v>
      </c>
      <c r="BL113" s="373">
        <v>12753.47</v>
      </c>
      <c r="BM113" s="373">
        <v>1841.01</v>
      </c>
      <c r="BN113" s="396" t="s">
        <v>1215</v>
      </c>
      <c r="BO113" s="367" t="s">
        <v>1215</v>
      </c>
      <c r="BP113" s="397" t="s">
        <v>1215</v>
      </c>
      <c r="BQ113" s="394"/>
      <c r="BR113" s="394"/>
      <c r="BS113" s="394"/>
      <c r="BT113" s="394"/>
      <c r="BU113" s="394"/>
      <c r="BV113" s="394"/>
    </row>
    <row r="114" spans="1:74" ht="15.75">
      <c r="A114" s="365" t="s">
        <v>1423</v>
      </c>
      <c r="B114" s="366" t="s">
        <v>1424</v>
      </c>
      <c r="C114" s="395"/>
      <c r="D114" s="368">
        <v>0</v>
      </c>
      <c r="E114" s="369">
        <v>24695</v>
      </c>
      <c r="F114" s="369">
        <v>3656.6</v>
      </c>
      <c r="G114" s="369">
        <v>1905.4</v>
      </c>
      <c r="H114" s="369">
        <v>21205.360000000001</v>
      </c>
      <c r="I114" s="369">
        <v>42571.45</v>
      </c>
      <c r="J114" s="369">
        <v>67458.53</v>
      </c>
      <c r="K114" s="369">
        <v>20872.66</v>
      </c>
      <c r="L114" s="369">
        <v>54195</v>
      </c>
      <c r="M114" s="369">
        <v>19759.64</v>
      </c>
      <c r="N114" s="369">
        <v>5338.79</v>
      </c>
      <c r="O114" s="369">
        <v>5989.12</v>
      </c>
      <c r="P114" s="369">
        <v>769.06</v>
      </c>
      <c r="Q114" s="369">
        <v>1488.06</v>
      </c>
      <c r="R114" s="369">
        <v>12394.25</v>
      </c>
      <c r="S114" s="369">
        <v>12741.19</v>
      </c>
      <c r="T114" s="369">
        <v>14826.23</v>
      </c>
      <c r="U114" s="369">
        <v>8843.14</v>
      </c>
      <c r="V114" s="369">
        <v>18101.07</v>
      </c>
      <c r="W114" s="369">
        <v>29670.57</v>
      </c>
      <c r="X114" s="369">
        <v>4138.49</v>
      </c>
      <c r="Y114" s="369">
        <v>12996.18</v>
      </c>
      <c r="Z114" s="369">
        <v>3384.42</v>
      </c>
      <c r="AA114" s="369">
        <v>6948.29</v>
      </c>
      <c r="AB114" s="369">
        <v>15905.24</v>
      </c>
      <c r="AC114" s="369">
        <v>8093.17</v>
      </c>
      <c r="AD114" s="369">
        <v>28093.91</v>
      </c>
      <c r="AE114" s="369">
        <v>26868.93</v>
      </c>
      <c r="AF114" s="369">
        <v>8067.66</v>
      </c>
      <c r="AG114" s="369">
        <v>3782.14</v>
      </c>
      <c r="AH114" s="369">
        <v>1581.37</v>
      </c>
      <c r="AI114" s="369">
        <v>29656.39</v>
      </c>
      <c r="AJ114" s="369">
        <v>5793.92</v>
      </c>
      <c r="AK114" s="369">
        <v>4375.7299999999996</v>
      </c>
      <c r="AL114" s="369">
        <v>5853.6</v>
      </c>
      <c r="AM114" s="369">
        <v>37273.839999999997</v>
      </c>
      <c r="AN114" s="369">
        <v>10066</v>
      </c>
      <c r="AO114" s="369">
        <v>69309</v>
      </c>
      <c r="AP114" s="384" t="s">
        <v>1215</v>
      </c>
      <c r="AQ114" s="369">
        <v>85451.42</v>
      </c>
      <c r="AR114" s="369">
        <v>49015.28</v>
      </c>
      <c r="AS114" s="369">
        <v>16524.97</v>
      </c>
      <c r="AT114" s="369">
        <v>71022.210000000006</v>
      </c>
      <c r="AU114" s="369">
        <v>168.15</v>
      </c>
      <c r="AV114" s="369">
        <v>5767.2</v>
      </c>
      <c r="AW114" s="369">
        <v>24028.26</v>
      </c>
      <c r="AX114" s="369">
        <v>31049.18</v>
      </c>
      <c r="AY114" s="384" t="s">
        <v>1215</v>
      </c>
      <c r="AZ114" s="369">
        <v>42085.59</v>
      </c>
      <c r="BA114" s="369">
        <v>70859</v>
      </c>
      <c r="BB114" s="369">
        <v>17667</v>
      </c>
      <c r="BC114" s="369">
        <v>4323</v>
      </c>
      <c r="BD114" s="369">
        <v>8308</v>
      </c>
      <c r="BE114" s="369">
        <v>4711</v>
      </c>
      <c r="BF114" s="384" t="s">
        <v>1215</v>
      </c>
      <c r="BG114" s="384" t="s">
        <v>1215</v>
      </c>
      <c r="BH114" s="369">
        <v>18397.12</v>
      </c>
      <c r="BI114" s="369">
        <v>42154.080000000002</v>
      </c>
      <c r="BJ114" s="369">
        <v>452.81</v>
      </c>
      <c r="BK114" s="369">
        <v>1005.63</v>
      </c>
      <c r="BL114" s="369">
        <v>7066.69</v>
      </c>
      <c r="BM114" s="369">
        <v>984.68</v>
      </c>
      <c r="BN114" s="383" t="s">
        <v>1215</v>
      </c>
      <c r="BO114" s="367" t="s">
        <v>1215</v>
      </c>
      <c r="BP114" s="397" t="s">
        <v>1215</v>
      </c>
      <c r="BQ114" s="394"/>
      <c r="BR114" s="394"/>
      <c r="BS114" s="394"/>
      <c r="BT114" s="394"/>
      <c r="BU114" s="394"/>
      <c r="BV114" s="395"/>
    </row>
    <row r="115" spans="1:74" ht="15.75">
      <c r="A115" s="365" t="s">
        <v>1425</v>
      </c>
      <c r="B115" s="366" t="s">
        <v>1426</v>
      </c>
      <c r="C115" s="395"/>
      <c r="D115" s="365" t="s">
        <v>1215</v>
      </c>
      <c r="E115" s="373">
        <v>186.54</v>
      </c>
      <c r="F115" s="373">
        <v>247.19</v>
      </c>
      <c r="G115" s="373">
        <v>29.65</v>
      </c>
      <c r="H115" s="373">
        <v>1042.3599999999999</v>
      </c>
      <c r="I115" s="373">
        <v>1396.63</v>
      </c>
      <c r="J115" s="373">
        <v>1110.8699999999999</v>
      </c>
      <c r="K115" s="373">
        <v>498.12</v>
      </c>
      <c r="L115" s="373">
        <v>512.88</v>
      </c>
      <c r="M115" s="373">
        <v>862.76</v>
      </c>
      <c r="N115" s="373">
        <v>119.21</v>
      </c>
      <c r="O115" s="373">
        <v>179.49</v>
      </c>
      <c r="P115" s="373">
        <v>-0.2</v>
      </c>
      <c r="Q115" s="373">
        <v>90.49</v>
      </c>
      <c r="R115" s="373">
        <v>227.01</v>
      </c>
      <c r="S115" s="373">
        <v>100.99</v>
      </c>
      <c r="T115" s="373">
        <v>433.55</v>
      </c>
      <c r="U115" s="373">
        <v>903.14</v>
      </c>
      <c r="V115" s="373">
        <v>-1095.3499999999999</v>
      </c>
      <c r="W115" s="373">
        <v>744.07</v>
      </c>
      <c r="X115" s="373">
        <v>33.729999999999997</v>
      </c>
      <c r="Y115" s="373">
        <v>-30.55</v>
      </c>
      <c r="Z115" s="373">
        <v>66.08</v>
      </c>
      <c r="AA115" s="373">
        <v>155.88999999999999</v>
      </c>
      <c r="AB115" s="373">
        <v>572.46</v>
      </c>
      <c r="AC115" s="373">
        <v>111.16</v>
      </c>
      <c r="AD115" s="373">
        <v>111.38</v>
      </c>
      <c r="AE115" s="373">
        <v>46.42</v>
      </c>
      <c r="AF115" s="373">
        <v>279.61</v>
      </c>
      <c r="AG115" s="373">
        <v>20.99</v>
      </c>
      <c r="AH115" s="373">
        <v>102</v>
      </c>
      <c r="AI115" s="373">
        <v>96.68</v>
      </c>
      <c r="AJ115" s="373">
        <v>78.3</v>
      </c>
      <c r="AK115" s="373">
        <v>78.41</v>
      </c>
      <c r="AL115" s="373">
        <v>191.94</v>
      </c>
      <c r="AM115" s="373">
        <v>226.2</v>
      </c>
      <c r="AN115" s="373">
        <v>-279.47000000000003</v>
      </c>
      <c r="AO115" s="373">
        <v>1706.87</v>
      </c>
      <c r="AP115" s="373">
        <v>4808.5</v>
      </c>
      <c r="AQ115" s="373">
        <v>3932.76</v>
      </c>
      <c r="AR115" s="373">
        <v>1577.29</v>
      </c>
      <c r="AS115" s="373">
        <v>1113.01</v>
      </c>
      <c r="AT115" s="373">
        <v>3800.77</v>
      </c>
      <c r="AU115" s="373">
        <v>68.099999999999994</v>
      </c>
      <c r="AV115" s="373">
        <v>264.08999999999997</v>
      </c>
      <c r="AW115" s="373">
        <v>637.15</v>
      </c>
      <c r="AX115" s="373">
        <v>1350.3</v>
      </c>
      <c r="AY115" s="373">
        <v>3100.54</v>
      </c>
      <c r="AZ115" s="373">
        <v>2077.9899999999998</v>
      </c>
      <c r="BA115" s="373">
        <v>1217.76</v>
      </c>
      <c r="BB115" s="373">
        <v>31942.18</v>
      </c>
      <c r="BC115" s="373">
        <v>197.64</v>
      </c>
      <c r="BD115" s="373">
        <v>178.41</v>
      </c>
      <c r="BE115" s="373">
        <v>-6.65</v>
      </c>
      <c r="BF115" s="373">
        <v>1179.67</v>
      </c>
      <c r="BG115" s="373">
        <v>8692.14</v>
      </c>
      <c r="BH115" s="373">
        <v>1808.26</v>
      </c>
      <c r="BI115" s="373">
        <v>2192</v>
      </c>
      <c r="BJ115" s="373">
        <v>-224.47</v>
      </c>
      <c r="BK115" s="373">
        <v>151.66999999999999</v>
      </c>
      <c r="BL115" s="373">
        <v>1049.42</v>
      </c>
      <c r="BM115" s="373">
        <v>154.99</v>
      </c>
      <c r="BN115" s="369">
        <v>0</v>
      </c>
      <c r="BO115" s="398">
        <v>82420.98</v>
      </c>
      <c r="BP115" s="397" t="s">
        <v>1215</v>
      </c>
      <c r="BQ115" s="394"/>
      <c r="BR115" s="394"/>
      <c r="BS115" s="394"/>
      <c r="BT115" s="394"/>
      <c r="BU115" s="394"/>
      <c r="BV115" s="394"/>
    </row>
    <row r="116" spans="1:74" ht="15.75">
      <c r="A116" s="365" t="s">
        <v>1427</v>
      </c>
      <c r="B116" s="366" t="s">
        <v>1428</v>
      </c>
      <c r="C116" s="395"/>
      <c r="D116" s="374"/>
      <c r="E116" s="369">
        <v>0</v>
      </c>
      <c r="F116" s="369">
        <v>0</v>
      </c>
      <c r="G116" s="369">
        <v>0</v>
      </c>
      <c r="H116" s="369">
        <v>0</v>
      </c>
      <c r="I116" s="369">
        <v>0</v>
      </c>
      <c r="J116" s="369">
        <v>0</v>
      </c>
      <c r="K116" s="369">
        <v>0</v>
      </c>
      <c r="L116" s="369">
        <v>0</v>
      </c>
      <c r="M116" s="369">
        <v>0</v>
      </c>
      <c r="N116" s="369">
        <v>0</v>
      </c>
      <c r="O116" s="369">
        <v>0</v>
      </c>
      <c r="P116" s="369">
        <v>0</v>
      </c>
      <c r="Q116" s="369">
        <v>0</v>
      </c>
      <c r="R116" s="369">
        <v>0</v>
      </c>
      <c r="S116" s="369">
        <v>0</v>
      </c>
      <c r="T116" s="369">
        <v>0</v>
      </c>
      <c r="U116" s="369">
        <v>0</v>
      </c>
      <c r="V116" s="369">
        <v>0</v>
      </c>
      <c r="W116" s="369">
        <v>0</v>
      </c>
      <c r="X116" s="369">
        <v>0</v>
      </c>
      <c r="Y116" s="369">
        <v>0</v>
      </c>
      <c r="Z116" s="369">
        <v>0</v>
      </c>
      <c r="AA116" s="369">
        <v>0</v>
      </c>
      <c r="AB116" s="369">
        <v>0</v>
      </c>
      <c r="AC116" s="369">
        <v>0</v>
      </c>
      <c r="AD116" s="369">
        <v>0</v>
      </c>
      <c r="AE116" s="369">
        <v>0</v>
      </c>
      <c r="AF116" s="369">
        <v>0</v>
      </c>
      <c r="AG116" s="369">
        <v>0</v>
      </c>
      <c r="AH116" s="369">
        <v>0</v>
      </c>
      <c r="AI116" s="369">
        <v>0</v>
      </c>
      <c r="AJ116" s="369">
        <v>0</v>
      </c>
      <c r="AK116" s="369">
        <v>0</v>
      </c>
      <c r="AL116" s="369">
        <v>0</v>
      </c>
      <c r="AM116" s="369">
        <v>0</v>
      </c>
      <c r="AN116" s="369">
        <v>0</v>
      </c>
      <c r="AO116" s="369">
        <v>0</v>
      </c>
      <c r="AP116" s="369">
        <v>0</v>
      </c>
      <c r="AQ116" s="369">
        <v>0</v>
      </c>
      <c r="AR116" s="369">
        <v>0</v>
      </c>
      <c r="AS116" s="369">
        <v>0</v>
      </c>
      <c r="AT116" s="369">
        <v>0</v>
      </c>
      <c r="AU116" s="369">
        <v>0</v>
      </c>
      <c r="AV116" s="369">
        <v>0</v>
      </c>
      <c r="AW116" s="369">
        <v>0</v>
      </c>
      <c r="AX116" s="369">
        <v>0</v>
      </c>
      <c r="AY116" s="369">
        <v>0</v>
      </c>
      <c r="AZ116" s="369">
        <v>0</v>
      </c>
      <c r="BA116" s="369">
        <v>0</v>
      </c>
      <c r="BB116" s="369">
        <v>0</v>
      </c>
      <c r="BC116" s="369">
        <v>0</v>
      </c>
      <c r="BD116" s="369">
        <v>0</v>
      </c>
      <c r="BE116" s="369">
        <v>0</v>
      </c>
      <c r="BF116" s="369">
        <v>0</v>
      </c>
      <c r="BG116" s="369">
        <v>0</v>
      </c>
      <c r="BH116" s="369">
        <v>0</v>
      </c>
      <c r="BI116" s="369">
        <v>0</v>
      </c>
      <c r="BJ116" s="369">
        <v>0</v>
      </c>
      <c r="BK116" s="369">
        <v>0</v>
      </c>
      <c r="BL116" s="369">
        <v>0</v>
      </c>
      <c r="BM116" s="369">
        <v>0</v>
      </c>
      <c r="BN116" s="369">
        <v>0</v>
      </c>
      <c r="BO116" s="398">
        <v>0</v>
      </c>
      <c r="BP116" s="397" t="s">
        <v>1215</v>
      </c>
      <c r="BQ116" s="394"/>
      <c r="BR116" s="394"/>
      <c r="BS116" s="394"/>
      <c r="BT116" s="394"/>
      <c r="BU116" s="394"/>
      <c r="BV116" s="395"/>
    </row>
    <row r="117" spans="1:74" ht="15.75">
      <c r="A117" s="365" t="s">
        <v>1429</v>
      </c>
      <c r="B117" s="366" t="s">
        <v>1430</v>
      </c>
      <c r="C117" s="395"/>
      <c r="D117" s="374"/>
      <c r="E117" s="369">
        <v>0</v>
      </c>
      <c r="F117" s="369">
        <v>0</v>
      </c>
      <c r="G117" s="369">
        <v>0</v>
      </c>
      <c r="H117" s="369">
        <v>0</v>
      </c>
      <c r="I117" s="369">
        <v>0</v>
      </c>
      <c r="J117" s="369">
        <v>0</v>
      </c>
      <c r="K117" s="369">
        <v>0</v>
      </c>
      <c r="L117" s="369">
        <v>0</v>
      </c>
      <c r="M117" s="369">
        <v>0</v>
      </c>
      <c r="N117" s="369">
        <v>0</v>
      </c>
      <c r="O117" s="369">
        <v>0</v>
      </c>
      <c r="P117" s="369">
        <v>0</v>
      </c>
      <c r="Q117" s="369">
        <v>0</v>
      </c>
      <c r="R117" s="369">
        <v>0</v>
      </c>
      <c r="S117" s="369">
        <v>0</v>
      </c>
      <c r="T117" s="369">
        <v>0</v>
      </c>
      <c r="U117" s="369">
        <v>0</v>
      </c>
      <c r="V117" s="369">
        <v>0</v>
      </c>
      <c r="W117" s="369">
        <v>0</v>
      </c>
      <c r="X117" s="369">
        <v>0</v>
      </c>
      <c r="Y117" s="369">
        <v>0</v>
      </c>
      <c r="Z117" s="369">
        <v>0</v>
      </c>
      <c r="AA117" s="369">
        <v>0</v>
      </c>
      <c r="AB117" s="369">
        <v>0</v>
      </c>
      <c r="AC117" s="369">
        <v>0</v>
      </c>
      <c r="AD117" s="369">
        <v>0</v>
      </c>
      <c r="AE117" s="369">
        <v>0</v>
      </c>
      <c r="AF117" s="369">
        <v>0</v>
      </c>
      <c r="AG117" s="369">
        <v>0</v>
      </c>
      <c r="AH117" s="369">
        <v>0</v>
      </c>
      <c r="AI117" s="369">
        <v>0</v>
      </c>
      <c r="AJ117" s="369">
        <v>0</v>
      </c>
      <c r="AK117" s="369">
        <v>0</v>
      </c>
      <c r="AL117" s="369">
        <v>0</v>
      </c>
      <c r="AM117" s="369">
        <v>0</v>
      </c>
      <c r="AN117" s="369">
        <v>0</v>
      </c>
      <c r="AO117" s="369">
        <v>0</v>
      </c>
      <c r="AP117" s="369">
        <v>0</v>
      </c>
      <c r="AQ117" s="369">
        <v>0</v>
      </c>
      <c r="AR117" s="369">
        <v>0</v>
      </c>
      <c r="AS117" s="369">
        <v>0</v>
      </c>
      <c r="AT117" s="369">
        <v>0</v>
      </c>
      <c r="AU117" s="369">
        <v>0</v>
      </c>
      <c r="AV117" s="369">
        <v>0</v>
      </c>
      <c r="AW117" s="369">
        <v>0</v>
      </c>
      <c r="AX117" s="369">
        <v>0</v>
      </c>
      <c r="AY117" s="369">
        <v>0</v>
      </c>
      <c r="AZ117" s="369">
        <v>0</v>
      </c>
      <c r="BA117" s="369">
        <v>0</v>
      </c>
      <c r="BB117" s="369">
        <v>0</v>
      </c>
      <c r="BC117" s="369">
        <v>0</v>
      </c>
      <c r="BD117" s="369">
        <v>0</v>
      </c>
      <c r="BE117" s="369">
        <v>0</v>
      </c>
      <c r="BF117" s="369">
        <v>0</v>
      </c>
      <c r="BG117" s="369">
        <v>0</v>
      </c>
      <c r="BH117" s="369">
        <v>0</v>
      </c>
      <c r="BI117" s="369">
        <v>0</v>
      </c>
      <c r="BJ117" s="369">
        <v>0</v>
      </c>
      <c r="BK117" s="369">
        <v>0</v>
      </c>
      <c r="BL117" s="369">
        <v>0</v>
      </c>
      <c r="BM117" s="369">
        <v>0</v>
      </c>
      <c r="BN117" s="369">
        <v>0</v>
      </c>
      <c r="BO117" s="398">
        <v>0</v>
      </c>
      <c r="BP117" s="399">
        <v>-15270</v>
      </c>
      <c r="BQ117" s="394"/>
      <c r="BR117" s="394"/>
      <c r="BS117" s="394"/>
      <c r="BT117" s="394"/>
      <c r="BU117" s="394"/>
      <c r="BV117" s="395"/>
    </row>
    <row r="118" spans="1:74" ht="15.75">
      <c r="A118" s="365" t="s">
        <v>1431</v>
      </c>
      <c r="B118" s="366" t="s">
        <v>1432</v>
      </c>
      <c r="C118" s="395"/>
      <c r="D118" s="374"/>
      <c r="E118" s="369">
        <v>186.54</v>
      </c>
      <c r="F118" s="369">
        <v>247.19</v>
      </c>
      <c r="G118" s="369">
        <v>29.65</v>
      </c>
      <c r="H118" s="369">
        <v>1042.3599999999999</v>
      </c>
      <c r="I118" s="369">
        <v>1396.63</v>
      </c>
      <c r="J118" s="369">
        <v>1110.8699999999999</v>
      </c>
      <c r="K118" s="369">
        <v>498.12</v>
      </c>
      <c r="L118" s="369">
        <v>512.88</v>
      </c>
      <c r="M118" s="369">
        <v>862.76</v>
      </c>
      <c r="N118" s="369">
        <v>119.21</v>
      </c>
      <c r="O118" s="369">
        <v>179.49</v>
      </c>
      <c r="P118" s="369">
        <v>-0.2</v>
      </c>
      <c r="Q118" s="369">
        <v>90.49</v>
      </c>
      <c r="R118" s="369">
        <v>227.01</v>
      </c>
      <c r="S118" s="369">
        <v>100.99</v>
      </c>
      <c r="T118" s="369">
        <v>433.55</v>
      </c>
      <c r="U118" s="369">
        <v>903.14</v>
      </c>
      <c r="V118" s="369">
        <v>-1095.3499999999999</v>
      </c>
      <c r="W118" s="369">
        <v>744.07</v>
      </c>
      <c r="X118" s="369">
        <v>33.729999999999997</v>
      </c>
      <c r="Y118" s="369">
        <v>-30.55</v>
      </c>
      <c r="Z118" s="369">
        <v>66.08</v>
      </c>
      <c r="AA118" s="369">
        <v>155.88999999999999</v>
      </c>
      <c r="AB118" s="369">
        <v>572.46</v>
      </c>
      <c r="AC118" s="369">
        <v>111.16</v>
      </c>
      <c r="AD118" s="369">
        <v>111.38</v>
      </c>
      <c r="AE118" s="369">
        <v>46.42</v>
      </c>
      <c r="AF118" s="369">
        <v>279.61</v>
      </c>
      <c r="AG118" s="369">
        <v>20.99</v>
      </c>
      <c r="AH118" s="369">
        <v>102</v>
      </c>
      <c r="AI118" s="369">
        <v>96.68</v>
      </c>
      <c r="AJ118" s="369">
        <v>78.3</v>
      </c>
      <c r="AK118" s="369">
        <v>78.41</v>
      </c>
      <c r="AL118" s="369">
        <v>191.94</v>
      </c>
      <c r="AM118" s="369">
        <v>226.2</v>
      </c>
      <c r="AN118" s="369">
        <v>-279.47000000000003</v>
      </c>
      <c r="AO118" s="369">
        <v>1706.87</v>
      </c>
      <c r="AP118" s="369">
        <v>4808.5</v>
      </c>
      <c r="AQ118" s="369">
        <v>3932.76</v>
      </c>
      <c r="AR118" s="369">
        <v>1577.29</v>
      </c>
      <c r="AS118" s="369">
        <v>1113.01</v>
      </c>
      <c r="AT118" s="369">
        <v>3800.77</v>
      </c>
      <c r="AU118" s="369">
        <v>68.099999999999994</v>
      </c>
      <c r="AV118" s="369">
        <v>264.08999999999997</v>
      </c>
      <c r="AW118" s="369">
        <v>637.15</v>
      </c>
      <c r="AX118" s="369">
        <v>1350.3</v>
      </c>
      <c r="AY118" s="369">
        <v>3100.54</v>
      </c>
      <c r="AZ118" s="369">
        <v>2077.9899999999998</v>
      </c>
      <c r="BA118" s="369">
        <v>1217.76</v>
      </c>
      <c r="BB118" s="369">
        <v>31942.18</v>
      </c>
      <c r="BC118" s="369">
        <v>197.64</v>
      </c>
      <c r="BD118" s="369">
        <v>178.41</v>
      </c>
      <c r="BE118" s="369">
        <v>-6.65</v>
      </c>
      <c r="BF118" s="369">
        <v>1179.67</v>
      </c>
      <c r="BG118" s="369">
        <v>8692.14</v>
      </c>
      <c r="BH118" s="369">
        <v>1808.26</v>
      </c>
      <c r="BI118" s="369">
        <v>2192</v>
      </c>
      <c r="BJ118" s="369">
        <v>-224.47</v>
      </c>
      <c r="BK118" s="369">
        <v>151.66999999999999</v>
      </c>
      <c r="BL118" s="369">
        <v>1049.42</v>
      </c>
      <c r="BM118" s="369">
        <v>154.99</v>
      </c>
      <c r="BN118" s="369">
        <v>0</v>
      </c>
      <c r="BO118" s="398">
        <v>82420.98</v>
      </c>
      <c r="BP118" s="399">
        <v>85518.98</v>
      </c>
      <c r="BQ118" s="394"/>
      <c r="BR118" s="394"/>
      <c r="BS118" s="394"/>
      <c r="BT118" s="394"/>
      <c r="BU118" s="394"/>
      <c r="BV118" s="395"/>
    </row>
    <row r="119" spans="1:74" ht="15.75">
      <c r="A119" s="365" t="s">
        <v>1433</v>
      </c>
      <c r="B119" s="366" t="s">
        <v>1434</v>
      </c>
      <c r="C119" s="395"/>
      <c r="D119" s="374"/>
      <c r="E119" s="369">
        <v>69793.460000000006</v>
      </c>
      <c r="F119" s="369">
        <v>3508.62</v>
      </c>
      <c r="G119" s="369">
        <v>5440.58</v>
      </c>
      <c r="H119" s="369">
        <v>61996.639999999999</v>
      </c>
      <c r="I119" s="369">
        <v>11267.37</v>
      </c>
      <c r="J119" s="369">
        <v>85297.13</v>
      </c>
      <c r="K119" s="369">
        <v>28533.88</v>
      </c>
      <c r="L119" s="369">
        <v>57980.12</v>
      </c>
      <c r="M119" s="369">
        <v>16893.240000000002</v>
      </c>
      <c r="N119" s="369">
        <v>616.79</v>
      </c>
      <c r="O119" s="369">
        <v>156.51</v>
      </c>
      <c r="P119" s="369">
        <v>1143.2</v>
      </c>
      <c r="Q119" s="369">
        <v>245.51</v>
      </c>
      <c r="R119" s="369">
        <v>10373.99</v>
      </c>
      <c r="S119" s="369">
        <v>8892.01</v>
      </c>
      <c r="T119" s="369">
        <v>407.45</v>
      </c>
      <c r="U119" s="369">
        <v>32990.879999999997</v>
      </c>
      <c r="V119" s="369">
        <v>4799.33</v>
      </c>
      <c r="W119" s="369">
        <v>1953.93</v>
      </c>
      <c r="X119" s="369">
        <v>2017.27</v>
      </c>
      <c r="Y119" s="369">
        <v>1193.55</v>
      </c>
      <c r="Z119" s="369">
        <v>-22.08</v>
      </c>
      <c r="AA119" s="369">
        <v>5637.11</v>
      </c>
      <c r="AB119" s="369">
        <v>4038.54</v>
      </c>
      <c r="AC119" s="369">
        <v>3695.84</v>
      </c>
      <c r="AD119" s="369">
        <v>1950.62</v>
      </c>
      <c r="AE119" s="369">
        <v>8008.58</v>
      </c>
      <c r="AF119" s="369">
        <v>429.39</v>
      </c>
      <c r="AG119" s="369">
        <v>992.01</v>
      </c>
      <c r="AH119" s="369">
        <v>1556</v>
      </c>
      <c r="AI119" s="369">
        <v>6087.32</v>
      </c>
      <c r="AJ119" s="369">
        <v>633.70000000000005</v>
      </c>
      <c r="AK119" s="369">
        <v>1131.5899999999999</v>
      </c>
      <c r="AL119" s="369">
        <v>16773.48</v>
      </c>
      <c r="AM119" s="369">
        <v>87331.96</v>
      </c>
      <c r="AN119" s="369">
        <v>23162.47</v>
      </c>
      <c r="AO119" s="369">
        <v>64295.13</v>
      </c>
      <c r="AP119" s="369">
        <v>92687.5</v>
      </c>
      <c r="AQ119" s="369">
        <v>83988.24</v>
      </c>
      <c r="AR119" s="369">
        <v>33445.71</v>
      </c>
      <c r="AS119" s="369">
        <v>18828.990000000002</v>
      </c>
      <c r="AT119" s="384" t="s">
        <v>1215</v>
      </c>
      <c r="AU119" s="369">
        <v>2231.9</v>
      </c>
      <c r="AV119" s="369">
        <v>12350.91</v>
      </c>
      <c r="AW119" s="369">
        <v>23034.85</v>
      </c>
      <c r="AX119" s="369">
        <v>44806.7</v>
      </c>
      <c r="AY119" s="369">
        <v>73601.13</v>
      </c>
      <c r="AZ119" s="369">
        <v>48852.39</v>
      </c>
      <c r="BA119" s="369">
        <v>32732.240000000002</v>
      </c>
      <c r="BB119" s="384" t="s">
        <v>1215</v>
      </c>
      <c r="BC119" s="369">
        <v>4619.3599999999997</v>
      </c>
      <c r="BD119" s="369">
        <v>881.59</v>
      </c>
      <c r="BE119" s="369">
        <v>7908.65</v>
      </c>
      <c r="BF119" s="369">
        <v>36106.33</v>
      </c>
      <c r="BG119" s="369">
        <v>86896</v>
      </c>
      <c r="BH119" s="369">
        <v>23426.68</v>
      </c>
      <c r="BI119" s="369">
        <v>38864.19</v>
      </c>
      <c r="BJ119" s="369">
        <v>906.46</v>
      </c>
      <c r="BK119" s="369">
        <v>972.12</v>
      </c>
      <c r="BL119" s="369">
        <v>4637.3599999999997</v>
      </c>
      <c r="BM119" s="369">
        <v>701.34</v>
      </c>
      <c r="BN119" s="383" t="s">
        <v>1215</v>
      </c>
      <c r="BO119" s="367" t="s">
        <v>1215</v>
      </c>
      <c r="BP119" s="397" t="s">
        <v>1215</v>
      </c>
      <c r="BQ119" s="394"/>
      <c r="BR119" s="394"/>
      <c r="BS119" s="394"/>
      <c r="BT119" s="394"/>
      <c r="BU119" s="394"/>
      <c r="BV119" s="395"/>
    </row>
    <row r="120" spans="1:74" ht="15.75">
      <c r="A120" s="400"/>
      <c r="B120" s="372"/>
      <c r="C120" s="395"/>
      <c r="D120" s="401"/>
      <c r="E120" s="402"/>
      <c r="F120" s="402"/>
      <c r="G120" s="402"/>
      <c r="H120" s="402"/>
      <c r="I120" s="402"/>
      <c r="J120" s="402"/>
      <c r="K120" s="402"/>
      <c r="L120" s="402"/>
      <c r="M120" s="395"/>
      <c r="N120" s="395"/>
      <c r="O120" s="402"/>
      <c r="P120" s="402"/>
      <c r="Q120" s="402"/>
      <c r="R120" s="402"/>
      <c r="S120" s="402"/>
      <c r="T120" s="402"/>
      <c r="U120" s="402"/>
      <c r="V120" s="402"/>
      <c r="W120" s="402"/>
      <c r="X120" s="402"/>
      <c r="Y120" s="402"/>
      <c r="Z120" s="402"/>
      <c r="AA120" s="402"/>
      <c r="AB120" s="402"/>
      <c r="AC120" s="402"/>
      <c r="AD120" s="402"/>
      <c r="AE120" s="402"/>
      <c r="AF120" s="402"/>
      <c r="AG120" s="402"/>
      <c r="AH120" s="402"/>
      <c r="AI120" s="402"/>
      <c r="AJ120" s="402"/>
      <c r="AK120" s="402"/>
      <c r="AL120" s="402"/>
      <c r="AM120" s="402"/>
      <c r="AN120" s="402"/>
      <c r="AO120" s="402"/>
      <c r="AP120" s="402"/>
      <c r="AQ120" s="402"/>
      <c r="AR120" s="402"/>
      <c r="AS120" s="402"/>
      <c r="AT120" s="402"/>
      <c r="AU120" s="402"/>
      <c r="AV120" s="402"/>
      <c r="AW120" s="402"/>
      <c r="AX120" s="402"/>
      <c r="AY120" s="402"/>
      <c r="AZ120" s="402"/>
      <c r="BA120" s="402"/>
      <c r="BB120" s="402"/>
      <c r="BC120" s="402"/>
      <c r="BD120" s="402"/>
      <c r="BE120" s="402"/>
      <c r="BF120" s="402"/>
      <c r="BG120" s="402"/>
      <c r="BH120" s="402"/>
      <c r="BI120" s="402"/>
      <c r="BJ120" s="402"/>
      <c r="BK120" s="402"/>
      <c r="BL120" s="402"/>
      <c r="BM120" s="402"/>
      <c r="BN120" s="403"/>
      <c r="BO120" s="404"/>
      <c r="BP120" s="405"/>
      <c r="BQ120" s="394"/>
      <c r="BR120" s="394"/>
      <c r="BS120" s="394"/>
      <c r="BT120" s="394"/>
      <c r="BU120" s="394"/>
      <c r="BV120" s="395"/>
    </row>
    <row r="121" spans="1:74" ht="15.75">
      <c r="A121" s="385"/>
      <c r="B121" s="386" t="s">
        <v>1435</v>
      </c>
      <c r="C121" s="406"/>
      <c r="D121" s="401"/>
      <c r="E121" s="407" t="s">
        <v>1215</v>
      </c>
      <c r="F121" s="408">
        <v>20631.23</v>
      </c>
      <c r="G121" s="408">
        <v>9792.81</v>
      </c>
      <c r="H121" s="407" t="s">
        <v>1215</v>
      </c>
      <c r="I121" s="408">
        <v>89981.81</v>
      </c>
      <c r="J121" s="407" t="s">
        <v>1215</v>
      </c>
      <c r="K121" s="408">
        <v>99576</v>
      </c>
      <c r="L121" s="407" t="s">
        <v>1215</v>
      </c>
      <c r="M121" s="387" t="s">
        <v>1215</v>
      </c>
      <c r="N121" s="388">
        <v>34320.15</v>
      </c>
      <c r="O121" s="408">
        <v>28226.84</v>
      </c>
      <c r="P121" s="408">
        <v>8625.42</v>
      </c>
      <c r="Q121" s="408">
        <v>10087.42</v>
      </c>
      <c r="R121" s="408">
        <v>57036.68</v>
      </c>
      <c r="S121" s="408">
        <v>90797.5</v>
      </c>
      <c r="T121" s="408">
        <v>54291.38</v>
      </c>
      <c r="U121" s="407" t="s">
        <v>1215</v>
      </c>
      <c r="V121" s="407" t="s">
        <v>1215</v>
      </c>
      <c r="W121" s="407" t="s">
        <v>1215</v>
      </c>
      <c r="X121" s="408">
        <v>20813.349999999999</v>
      </c>
      <c r="Y121" s="408">
        <v>39425.26</v>
      </c>
      <c r="Z121" s="408">
        <v>10723.64</v>
      </c>
      <c r="AA121" s="408">
        <v>51616.800000000003</v>
      </c>
      <c r="AB121" s="407" t="s">
        <v>1215</v>
      </c>
      <c r="AC121" s="408">
        <v>51732.959999999999</v>
      </c>
      <c r="AD121" s="407" t="s">
        <v>1215</v>
      </c>
      <c r="AE121" s="407" t="s">
        <v>1215</v>
      </c>
      <c r="AF121" s="408">
        <v>52430.32</v>
      </c>
      <c r="AG121" s="408">
        <v>16272.37</v>
      </c>
      <c r="AH121" s="408">
        <v>9900.7000000000007</v>
      </c>
      <c r="AI121" s="407" t="s">
        <v>1215</v>
      </c>
      <c r="AJ121" s="408">
        <v>19661.29</v>
      </c>
      <c r="AK121" s="408">
        <v>24395.73</v>
      </c>
      <c r="AL121" s="408">
        <v>57163.51</v>
      </c>
      <c r="AM121" s="407" t="s">
        <v>1215</v>
      </c>
      <c r="AN121" s="408">
        <v>70669</v>
      </c>
      <c r="AO121" s="407" t="s">
        <v>1215</v>
      </c>
      <c r="AP121" s="407" t="s">
        <v>1215</v>
      </c>
      <c r="AQ121" s="407" t="s">
        <v>1215</v>
      </c>
      <c r="AR121" s="407" t="s">
        <v>1215</v>
      </c>
      <c r="AS121" s="408">
        <v>91570.19</v>
      </c>
      <c r="AT121" s="407" t="s">
        <v>1215</v>
      </c>
      <c r="AU121" s="408">
        <v>5698.91</v>
      </c>
      <c r="AV121" s="408">
        <v>49518.29</v>
      </c>
      <c r="AW121" s="408">
        <v>95596.67</v>
      </c>
      <c r="AX121" s="407" t="s">
        <v>1215</v>
      </c>
      <c r="AY121" s="407" t="s">
        <v>1215</v>
      </c>
      <c r="AZ121" s="407" t="s">
        <v>1215</v>
      </c>
      <c r="BA121" s="407" t="s">
        <v>1215</v>
      </c>
      <c r="BB121" s="407" t="s">
        <v>1215</v>
      </c>
      <c r="BC121" s="408">
        <v>28965</v>
      </c>
      <c r="BD121" s="408">
        <v>37900</v>
      </c>
      <c r="BE121" s="408">
        <v>18491</v>
      </c>
      <c r="BF121" s="407" t="s">
        <v>1215</v>
      </c>
      <c r="BG121" s="407" t="s">
        <v>1215</v>
      </c>
      <c r="BH121" s="408">
        <v>95395.88</v>
      </c>
      <c r="BI121" s="407" t="s">
        <v>1215</v>
      </c>
      <c r="BJ121" s="408">
        <v>2475.89</v>
      </c>
      <c r="BK121" s="408">
        <v>5114.63</v>
      </c>
      <c r="BL121" s="408">
        <v>47694.11</v>
      </c>
      <c r="BM121" s="408">
        <v>6069.34</v>
      </c>
      <c r="BN121" s="409" t="s">
        <v>1215</v>
      </c>
      <c r="BO121" s="407" t="s">
        <v>1215</v>
      </c>
      <c r="BP121" s="410"/>
      <c r="BQ121" s="395"/>
      <c r="BR121" s="394"/>
      <c r="BS121" s="394"/>
      <c r="BT121" s="395"/>
      <c r="BU121" s="395"/>
      <c r="BV121" s="395"/>
    </row>
  </sheetData>
  <mergeCells count="2">
    <mergeCell ref="BN1:BO1"/>
    <mergeCell ref="BU1:BV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AD95"/>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1.21875" defaultRowHeight="15" customHeight="1"/>
  <cols>
    <col min="1" max="2" width="18.6640625" customWidth="1"/>
    <col min="11" max="11" width="12.33203125" customWidth="1"/>
  </cols>
  <sheetData>
    <row r="1" spans="1:28">
      <c r="C1" s="14" t="s">
        <v>4</v>
      </c>
    </row>
    <row r="2" spans="1:28">
      <c r="C2" s="14" t="s">
        <v>1436</v>
      </c>
      <c r="D2" s="14" t="s">
        <v>1437</v>
      </c>
      <c r="E2" s="14" t="s">
        <v>1438</v>
      </c>
      <c r="F2" s="14" t="s">
        <v>1437</v>
      </c>
      <c r="G2" s="14" t="s">
        <v>1439</v>
      </c>
      <c r="H2" s="14" t="s">
        <v>426</v>
      </c>
      <c r="I2" s="14" t="s">
        <v>1440</v>
      </c>
      <c r="J2" s="14" t="s">
        <v>1441</v>
      </c>
      <c r="K2" s="14" t="s">
        <v>427</v>
      </c>
      <c r="L2" s="14" t="s">
        <v>427</v>
      </c>
      <c r="M2" s="14" t="s">
        <v>1442</v>
      </c>
      <c r="N2" s="14"/>
    </row>
    <row r="3" spans="1:28">
      <c r="C3" s="14" t="s">
        <v>1443</v>
      </c>
      <c r="D3" s="14" t="s">
        <v>1444</v>
      </c>
      <c r="E3" s="14" t="s">
        <v>1445</v>
      </c>
      <c r="F3" s="14" t="s">
        <v>1446</v>
      </c>
      <c r="G3" s="14" t="s">
        <v>302</v>
      </c>
      <c r="H3" s="14" t="s">
        <v>302</v>
      </c>
      <c r="I3" s="14"/>
      <c r="J3" s="14" t="s">
        <v>302</v>
      </c>
      <c r="K3" s="14" t="s">
        <v>302</v>
      </c>
      <c r="L3" s="14" t="s">
        <v>1447</v>
      </c>
      <c r="M3" s="14"/>
      <c r="N3" s="14"/>
    </row>
    <row r="4" spans="1:28">
      <c r="A4" s="14"/>
      <c r="B4" s="14" t="s">
        <v>1448</v>
      </c>
      <c r="G4" s="48">
        <f t="shared" ref="G4:I4" si="0">G5+G8</f>
        <v>4683698.8200236503</v>
      </c>
      <c r="H4" s="48">
        <f t="shared" si="0"/>
        <v>5739379.1699999999</v>
      </c>
      <c r="I4" s="48">
        <f t="shared" si="0"/>
        <v>5180250.07</v>
      </c>
      <c r="K4" s="48">
        <f>K5+K8</f>
        <v>5347709.2626229413</v>
      </c>
      <c r="L4" s="48">
        <f t="shared" ref="L4:M4" si="1">L5+L8+L9</f>
        <v>252360.37752701622</v>
      </c>
      <c r="M4" s="48">
        <f t="shared" si="1"/>
        <v>255021.03186931158</v>
      </c>
      <c r="Q4" s="48"/>
    </row>
    <row r="5" spans="1:28">
      <c r="B5" s="14" t="s">
        <v>1449</v>
      </c>
      <c r="G5" s="48">
        <f t="shared" ref="G5:I5" si="2">G6+G19</f>
        <v>2728133.7136406717</v>
      </c>
      <c r="H5" s="48">
        <f t="shared" si="2"/>
        <v>3774544.0999999996</v>
      </c>
      <c r="I5" s="48">
        <f t="shared" si="2"/>
        <v>3215415</v>
      </c>
      <c r="K5" s="48">
        <f t="shared" ref="K5:M5" si="3">K6+K19</f>
        <v>3620709.2626229418</v>
      </c>
      <c r="L5" s="48">
        <f t="shared" si="3"/>
        <v>175025.42100527708</v>
      </c>
      <c r="M5" s="48">
        <f t="shared" si="3"/>
        <v>179934.07534757245</v>
      </c>
      <c r="N5" s="48">
        <f>M5-L5</f>
        <v>4908.6543422953691</v>
      </c>
    </row>
    <row r="6" spans="1:28">
      <c r="A6" s="14"/>
      <c r="B6" s="14" t="s">
        <v>1450</v>
      </c>
      <c r="G6" s="48">
        <f t="shared" ref="G6:I6" si="4">SUM(G40:G44)+G22</f>
        <v>442679.33864067157</v>
      </c>
      <c r="H6" s="48">
        <f t="shared" si="4"/>
        <v>439731.44</v>
      </c>
      <c r="I6" s="48">
        <f t="shared" si="4"/>
        <v>644836</v>
      </c>
      <c r="K6" s="48">
        <f t="shared" ref="K6:M6" si="5">SUM(K40:K44)+K22</f>
        <v>419344.6609834673</v>
      </c>
      <c r="L6" s="48">
        <f t="shared" si="5"/>
        <v>16690.022583814192</v>
      </c>
      <c r="M6" s="48">
        <f t="shared" si="5"/>
        <v>25389.957000000002</v>
      </c>
    </row>
    <row r="7" spans="1:28">
      <c r="A7" s="179"/>
      <c r="N7" s="14"/>
    </row>
    <row r="8" spans="1:28">
      <c r="A8" s="179" t="str">
        <f>B8</f>
        <v>Exports</v>
      </c>
      <c r="B8" s="179" t="s">
        <v>68</v>
      </c>
      <c r="C8" s="20">
        <f>SUMIF('SUT2017'!$E$1:$BT$1,B8,'SUT2017'!$E$9:$BT$9)</f>
        <v>45955.78</v>
      </c>
      <c r="D8" s="14">
        <v>23.5</v>
      </c>
      <c r="E8" s="42">
        <v>23</v>
      </c>
      <c r="F8" s="20">
        <f>D8*E8</f>
        <v>540.5</v>
      </c>
      <c r="G8" s="20">
        <f>C8/D8*1000</f>
        <v>1955565.1063829786</v>
      </c>
      <c r="H8" s="48">
        <f>-'DMRE 2017EB'!B6</f>
        <v>1964835.07</v>
      </c>
      <c r="I8" s="48">
        <f>H8</f>
        <v>1964835.07</v>
      </c>
      <c r="K8" s="14">
        <v>1727000</v>
      </c>
      <c r="L8" s="48">
        <f>K8/E8</f>
        <v>75086.956521739135</v>
      </c>
      <c r="M8" s="48">
        <f>L8</f>
        <v>75086.956521739135</v>
      </c>
    </row>
    <row r="9" spans="1:28">
      <c r="B9" s="179" t="s">
        <v>1451</v>
      </c>
      <c r="C9" s="20"/>
      <c r="D9" s="14"/>
      <c r="E9" s="20">
        <f>E12</f>
        <v>19.87</v>
      </c>
      <c r="F9" s="20"/>
      <c r="G9" s="20"/>
      <c r="H9" s="48"/>
      <c r="K9" s="48">
        <f>L9*E9</f>
        <v>44667.759999999813</v>
      </c>
      <c r="L9" s="48">
        <f>AB19*1000</f>
        <v>2247.9999999999905</v>
      </c>
      <c r="Q9" s="48"/>
    </row>
    <row r="10" spans="1:28">
      <c r="A10" s="45" t="s">
        <v>72</v>
      </c>
      <c r="B10" s="179" t="s">
        <v>1452</v>
      </c>
      <c r="C10" s="20">
        <f>SUMIF('SUT2017'!$E$1:$BT$1,B10,'SUT2017'!$E$9:$BT$9)</f>
        <v>0</v>
      </c>
      <c r="D10" s="14">
        <v>15</v>
      </c>
      <c r="E10" s="20">
        <v>20.84</v>
      </c>
      <c r="F10" s="20">
        <f>D10*E10</f>
        <v>312.60000000000002</v>
      </c>
      <c r="G10" s="20">
        <f>C10/D10*1000</f>
        <v>0</v>
      </c>
      <c r="H10" s="48">
        <f>-'DMRE 2017EB'!B25</f>
        <v>861176.88</v>
      </c>
      <c r="I10" s="48">
        <f>295678</f>
        <v>295678</v>
      </c>
      <c r="J10" s="48">
        <f>O55</f>
        <v>0</v>
      </c>
      <c r="K10" s="48">
        <f>261403-K18</f>
        <v>206949</v>
      </c>
      <c r="L10" s="48">
        <f>K10/E10</f>
        <v>9930.3742802303259</v>
      </c>
      <c r="N10" s="14" t="s">
        <v>1453</v>
      </c>
      <c r="O10" s="48"/>
      <c r="P10" s="10">
        <f>261403/18</f>
        <v>14522.388888888889</v>
      </c>
    </row>
    <row r="11" spans="1:28">
      <c r="A11" s="45" t="s">
        <v>71</v>
      </c>
      <c r="B11" s="179" t="s">
        <v>1454</v>
      </c>
      <c r="C11" s="20"/>
      <c r="D11" s="14"/>
      <c r="E11" s="190">
        <f>E10</f>
        <v>20.84</v>
      </c>
      <c r="F11" s="20"/>
      <c r="G11" s="20"/>
      <c r="H11" s="48"/>
      <c r="I11" s="20"/>
      <c r="K11" s="48">
        <f>L11*E11</f>
        <v>575857.29230769223</v>
      </c>
      <c r="L11" s="20">
        <f>17961/0.65</f>
        <v>27632.307692307691</v>
      </c>
      <c r="M11" s="20">
        <f>P26*1000</f>
        <v>39000</v>
      </c>
      <c r="N11" s="48">
        <f>L11+L10+L18</f>
        <v>40175.637826664701</v>
      </c>
    </row>
    <row r="12" spans="1:28">
      <c r="A12" s="179" t="str">
        <f t="shared" ref="A12:A13" si="6">B12</f>
        <v>Power</v>
      </c>
      <c r="B12" s="179" t="s">
        <v>70</v>
      </c>
      <c r="C12" s="20">
        <f>SUMIF('SUT2017'!$E$1:$BT$1,B12,'SUT2017'!$E$9:$BT$9)</f>
        <v>36567.269999999997</v>
      </c>
      <c r="D12" s="14">
        <v>16</v>
      </c>
      <c r="E12" s="190">
        <f>AB21</f>
        <v>19.87</v>
      </c>
      <c r="F12" s="20">
        <f>D12*E12</f>
        <v>317.92</v>
      </c>
      <c r="G12" s="20">
        <f>C12/D12*1000</f>
        <v>2285454.375</v>
      </c>
      <c r="H12" s="48">
        <f>-'DMRE 2017EB'!B14</f>
        <v>2466073.75</v>
      </c>
      <c r="I12" s="20">
        <v>2266621</v>
      </c>
      <c r="J12" s="48">
        <f>O54</f>
        <v>0</v>
      </c>
      <c r="K12" s="48">
        <f>AB18*E12*1000+NERSA2018!M150</f>
        <v>2295861.6315662651</v>
      </c>
      <c r="L12" s="48">
        <f>K12/E12</f>
        <v>115544.11834757247</v>
      </c>
      <c r="M12" s="42">
        <f>L12</f>
        <v>115544.11834757247</v>
      </c>
    </row>
    <row r="13" spans="1:28">
      <c r="A13" s="179" t="str">
        <f t="shared" si="6"/>
        <v>Autoproducer Electricity Plant</v>
      </c>
      <c r="B13" s="179" t="s">
        <v>114</v>
      </c>
      <c r="C13" s="20"/>
      <c r="D13" s="14"/>
      <c r="E13" s="20"/>
      <c r="F13" s="20"/>
      <c r="G13" s="20"/>
      <c r="H13" s="48">
        <f>-SUMIF('DMRE 2017EB'!$A$4:$A$100,B13,'DMRE 2017EB'!$B$4:$B$100)</f>
        <v>7562.03</v>
      </c>
      <c r="I13" s="48">
        <v>8280</v>
      </c>
      <c r="O13" s="14" t="s">
        <v>1455</v>
      </c>
      <c r="R13" s="14" t="s">
        <v>1456</v>
      </c>
    </row>
    <row r="14" spans="1:28">
      <c r="A14" s="179"/>
      <c r="B14" s="14" t="s">
        <v>42</v>
      </c>
      <c r="C14" s="20"/>
      <c r="D14" s="14"/>
      <c r="E14" s="20"/>
      <c r="F14" s="20"/>
      <c r="K14" s="14">
        <v>0</v>
      </c>
      <c r="L14" s="14">
        <v>0</v>
      </c>
    </row>
    <row r="15" spans="1:28">
      <c r="A15" s="179"/>
      <c r="B15" s="179" t="s">
        <v>1457</v>
      </c>
      <c r="C15" s="20"/>
      <c r="D15" s="14"/>
      <c r="E15" s="20">
        <f t="shared" ref="E15:E16" si="7">$E$21</f>
        <v>27</v>
      </c>
      <c r="F15" s="20"/>
      <c r="G15" s="20"/>
      <c r="H15" s="48"/>
      <c r="K15" s="48">
        <f>J29</f>
        <v>54802</v>
      </c>
      <c r="L15" s="48">
        <f t="shared" ref="L15:L18" si="8">K15/E15</f>
        <v>2029.7037037037037</v>
      </c>
    </row>
    <row r="16" spans="1:28">
      <c r="B16" s="14" t="s">
        <v>1458</v>
      </c>
      <c r="E16" s="20">
        <f t="shared" si="7"/>
        <v>27</v>
      </c>
      <c r="K16" s="411">
        <f>NERSA2018!N147</f>
        <v>5390</v>
      </c>
      <c r="L16" s="48">
        <f t="shared" si="8"/>
        <v>199.62962962962962</v>
      </c>
      <c r="AB16" s="14">
        <v>2017</v>
      </c>
    </row>
    <row r="17" spans="1:30">
      <c r="A17" s="173"/>
      <c r="B17" s="179" t="s">
        <v>1068</v>
      </c>
      <c r="C17" s="20"/>
      <c r="E17" s="20">
        <f>E18</f>
        <v>20.84</v>
      </c>
      <c r="G17" s="20"/>
      <c r="H17" s="20"/>
      <c r="I17" s="20"/>
      <c r="J17" s="20"/>
      <c r="K17" s="411">
        <f>NERSA2018!M138</f>
        <v>8050.67776551724</v>
      </c>
      <c r="L17" s="48">
        <f t="shared" si="8"/>
        <v>386.30891389238195</v>
      </c>
      <c r="AA17" s="14" t="s">
        <v>1459</v>
      </c>
      <c r="AB17" s="10">
        <f>9/12*115.3+3/12*120.3</f>
        <v>116.55</v>
      </c>
    </row>
    <row r="18" spans="1:30">
      <c r="A18" s="173"/>
      <c r="B18" s="179" t="s">
        <v>1460</v>
      </c>
      <c r="C18" s="20"/>
      <c r="E18" s="20">
        <f>E10</f>
        <v>20.84</v>
      </c>
      <c r="G18" s="20"/>
      <c r="H18" s="20"/>
      <c r="I18" s="20"/>
      <c r="J18" s="20"/>
      <c r="K18" s="20">
        <f>54454</f>
        <v>54454</v>
      </c>
      <c r="L18" s="48">
        <f t="shared" si="8"/>
        <v>2612.9558541266797</v>
      </c>
      <c r="AA18" s="14" t="s">
        <v>1461</v>
      </c>
      <c r="AB18" s="14">
        <v>114.30200000000001</v>
      </c>
    </row>
    <row r="19" spans="1:30">
      <c r="A19" s="173"/>
      <c r="B19" s="179" t="s">
        <v>1462</v>
      </c>
      <c r="C19" s="20"/>
      <c r="G19" s="20">
        <f t="shared" ref="G19:J19" si="9">SUM(G10:G13)</f>
        <v>2285454.375</v>
      </c>
      <c r="H19" s="20">
        <f t="shared" si="9"/>
        <v>3334812.6599999997</v>
      </c>
      <c r="I19" s="20">
        <f t="shared" si="9"/>
        <v>2570579</v>
      </c>
      <c r="J19" s="20">
        <f t="shared" si="9"/>
        <v>0</v>
      </c>
      <c r="K19" s="20">
        <f t="shared" ref="K19:M19" si="10">SUM(K10:K18)</f>
        <v>3201364.6016394743</v>
      </c>
      <c r="L19" s="20">
        <f t="shared" si="10"/>
        <v>158335.39842146289</v>
      </c>
      <c r="M19" s="20">
        <f t="shared" si="10"/>
        <v>154544.11834757245</v>
      </c>
      <c r="AA19" s="14" t="s">
        <v>1463</v>
      </c>
      <c r="AB19" s="10">
        <f>AB17-AB18</f>
        <v>2.2479999999999905</v>
      </c>
    </row>
    <row r="20" spans="1:30">
      <c r="A20" s="179"/>
      <c r="B20" s="179"/>
      <c r="C20" s="20"/>
    </row>
    <row r="21" spans="1:30">
      <c r="A21" s="179" t="s">
        <v>1464</v>
      </c>
      <c r="B21" s="179" t="s">
        <v>1465</v>
      </c>
      <c r="C21" s="20"/>
      <c r="E21" s="20">
        <v>27</v>
      </c>
      <c r="G21" s="48">
        <f>G22-K15-K16-K17</f>
        <v>333679.21359651902</v>
      </c>
      <c r="K21" s="412" t="s">
        <v>1466</v>
      </c>
      <c r="L21" s="48">
        <f>L22+L17+L16+L15+L41+L42</f>
        <v>19229.564831039908</v>
      </c>
      <c r="AA21" s="14" t="s">
        <v>1467</v>
      </c>
      <c r="AB21" s="10">
        <f>19.81*9/12+20.05*3/12</f>
        <v>19.87</v>
      </c>
    </row>
    <row r="22" spans="1:30">
      <c r="A22" s="14" t="s">
        <v>1420</v>
      </c>
      <c r="B22" s="14" t="s">
        <v>1420</v>
      </c>
      <c r="G22" s="48">
        <f>SUM(G23:G38)-G23</f>
        <v>401921.89136203629</v>
      </c>
      <c r="H22" s="48">
        <f>SUM(H23:H38)</f>
        <v>309637.64</v>
      </c>
      <c r="I22" s="20">
        <v>322366</v>
      </c>
      <c r="K22" s="48">
        <f t="shared" ref="K22:M22" si="11">SUM(K23:K38)</f>
        <v>375074.6609834673</v>
      </c>
      <c r="L22" s="48">
        <f t="shared" si="11"/>
        <v>15048.292954184562</v>
      </c>
      <c r="M22" s="48">
        <f t="shared" si="11"/>
        <v>25318.057000000001</v>
      </c>
    </row>
    <row r="23" spans="1:30">
      <c r="A23" s="179"/>
      <c r="B23" s="179" t="s">
        <v>371</v>
      </c>
      <c r="C23" s="20">
        <f>SUMIF('SUT2017'!$E$1:$BT$1,B23,'SUT2017'!$E$9:$BT$9)</f>
        <v>4789.6099999999997</v>
      </c>
      <c r="F23" s="20"/>
      <c r="G23" s="20"/>
      <c r="H23" s="20">
        <f>'DMRE 2017EB'!B41</f>
        <v>1409.08</v>
      </c>
      <c r="I23" s="20"/>
      <c r="J23" s="20"/>
      <c r="K23" s="20"/>
      <c r="L23" s="20"/>
      <c r="M23" s="20"/>
      <c r="N23" s="20"/>
      <c r="O23" s="20" t="s">
        <v>1468</v>
      </c>
      <c r="P23" s="413"/>
      <c r="Q23" s="20"/>
      <c r="R23" s="20"/>
      <c r="T23" s="14" t="s">
        <v>1469</v>
      </c>
    </row>
    <row r="24" spans="1:30">
      <c r="A24" s="179" t="str">
        <f>B72</f>
        <v>Mining2</v>
      </c>
      <c r="B24" s="179" t="s">
        <v>1470</v>
      </c>
      <c r="C24" s="20">
        <f>C23-C25</f>
        <v>1739.33</v>
      </c>
      <c r="D24" s="414">
        <f>AB34+10</f>
        <v>45.592592592592595</v>
      </c>
      <c r="E24" s="20">
        <f>$E$21</f>
        <v>27</v>
      </c>
      <c r="F24" s="20">
        <f t="shared" ref="F24:F37" si="12">D24*E24</f>
        <v>1231</v>
      </c>
      <c r="G24" s="20">
        <f>C24/D24*1000</f>
        <v>38149.398862713242</v>
      </c>
      <c r="H24" s="20">
        <f>SUMIF('DMRE 2017EB'!$A$4:$A$100,B24,'DMRE 2017EB'!$B$4:$B$100)</f>
        <v>0</v>
      </c>
      <c r="I24" s="20"/>
      <c r="J24" s="20"/>
      <c r="K24" s="20">
        <f>G24</f>
        <v>38149.398862713242</v>
      </c>
      <c r="L24" s="48">
        <f t="shared" ref="L24:L37" si="13">K24/E24</f>
        <v>1412.940698619009</v>
      </c>
      <c r="M24" s="20">
        <f>P35*1000</f>
        <v>47.1</v>
      </c>
      <c r="O24" s="415" t="s">
        <v>1471</v>
      </c>
      <c r="P24" s="415" t="s">
        <v>1472</v>
      </c>
      <c r="Q24" s="416" t="s">
        <v>1473</v>
      </c>
      <c r="R24" s="415" t="s">
        <v>1474</v>
      </c>
      <c r="S24" s="415" t="s">
        <v>1475</v>
      </c>
      <c r="Y24" s="14" t="s">
        <v>1476</v>
      </c>
      <c r="Z24" s="14" t="s">
        <v>1477</v>
      </c>
      <c r="AA24" s="14" t="s">
        <v>1478</v>
      </c>
      <c r="AB24" s="14" t="s">
        <v>1479</v>
      </c>
      <c r="AC24" s="14" t="s">
        <v>1480</v>
      </c>
      <c r="AD24" s="14" t="s">
        <v>1481</v>
      </c>
    </row>
    <row r="25" spans="1:30">
      <c r="A25" s="10" t="str">
        <f t="shared" ref="A25:A27" si="14">B68</f>
        <v>FerroAlloys</v>
      </c>
      <c r="B25" s="179" t="s">
        <v>1482</v>
      </c>
      <c r="C25" s="20">
        <f>D25*G25/1000</f>
        <v>3050.2799999999997</v>
      </c>
      <c r="D25" s="14">
        <v>66.599999999999994</v>
      </c>
      <c r="E25" s="20">
        <v>28</v>
      </c>
      <c r="F25" s="20">
        <f t="shared" si="12"/>
        <v>1864.7999999999997</v>
      </c>
      <c r="G25" s="20">
        <f>J25</f>
        <v>45800</v>
      </c>
      <c r="H25" s="20">
        <f>SUMIF('DMRE 2017EB'!$A$4:$A$100,B25,'DMRE 2017EB'!$B$4:$B$100)</f>
        <v>0</v>
      </c>
      <c r="I25" s="20"/>
      <c r="J25" s="417">
        <v>45800</v>
      </c>
      <c r="K25" s="20">
        <f>J25</f>
        <v>45800</v>
      </c>
      <c r="L25" s="48">
        <f t="shared" si="13"/>
        <v>1635.7142857142858</v>
      </c>
      <c r="M25" s="20">
        <f>Y31*1000</f>
        <v>1600</v>
      </c>
      <c r="O25" s="418" t="s">
        <v>8</v>
      </c>
      <c r="P25" s="419">
        <v>115.3</v>
      </c>
      <c r="Q25" s="420">
        <v>37930</v>
      </c>
      <c r="R25" s="421">
        <v>329</v>
      </c>
      <c r="S25" s="41">
        <f t="shared" ref="S25:S37" si="15">R25*P25</f>
        <v>37933.699999999997</v>
      </c>
      <c r="X25" s="14" t="s">
        <v>264</v>
      </c>
      <c r="Y25" s="14">
        <v>112</v>
      </c>
      <c r="AA25" s="14">
        <v>333</v>
      </c>
      <c r="AD25" s="14">
        <v>0.89300000000000002</v>
      </c>
    </row>
    <row r="26" spans="1:30">
      <c r="A26" s="10" t="str">
        <f t="shared" si="14"/>
        <v>Food_Bev_Tob30</v>
      </c>
      <c r="B26" s="179" t="s">
        <v>1075</v>
      </c>
      <c r="C26" s="20">
        <f>SUMIF('SUT2017'!$E$1:$BT$1,B26,'SUT2017'!$E$9:$BT$9)</f>
        <v>741.88000000000011</v>
      </c>
      <c r="D26" s="422">
        <f>D24</f>
        <v>45.592592592592595</v>
      </c>
      <c r="E26" s="20">
        <f>$E$21</f>
        <v>27</v>
      </c>
      <c r="F26" s="20">
        <f t="shared" si="12"/>
        <v>1231</v>
      </c>
      <c r="G26" s="20">
        <f t="shared" ref="G26:G37" si="16">C26/D26*1000</f>
        <v>16271.941510966695</v>
      </c>
      <c r="H26" s="20">
        <f>SUMIF('DMRE 2017EB'!$A$4:$A$100,B26,'DMRE 2017EB'!$B$4:$B$100)</f>
        <v>0</v>
      </c>
      <c r="I26" s="20"/>
      <c r="J26" s="20"/>
      <c r="K26" s="20">
        <f>G26-K16</f>
        <v>10881.941510966695</v>
      </c>
      <c r="L26" s="48">
        <f t="shared" si="13"/>
        <v>403.03487077654427</v>
      </c>
      <c r="M26" s="20"/>
      <c r="O26" s="418" t="s">
        <v>1483</v>
      </c>
      <c r="P26" s="419">
        <v>39</v>
      </c>
      <c r="Q26" s="420">
        <v>15160</v>
      </c>
      <c r="R26" s="421">
        <v>389</v>
      </c>
      <c r="S26" s="41">
        <f t="shared" si="15"/>
        <v>15171</v>
      </c>
      <c r="X26" s="14" t="s">
        <v>1484</v>
      </c>
      <c r="Y26" s="14">
        <v>38.9</v>
      </c>
      <c r="Z26" s="48">
        <f>Q40</f>
        <v>20.84</v>
      </c>
      <c r="AA26" s="14">
        <v>392</v>
      </c>
      <c r="AB26" s="414">
        <f>AA26/Z26</f>
        <v>18.809980806142036</v>
      </c>
      <c r="AC26" s="10">
        <f>AD26*AB26</f>
        <v>16.797312859884837</v>
      </c>
      <c r="AD26" s="14">
        <v>0.89300000000000002</v>
      </c>
    </row>
    <row r="27" spans="1:30">
      <c r="A27" s="10" t="str">
        <f t="shared" si="14"/>
        <v>IndOther</v>
      </c>
      <c r="B27" s="179" t="s">
        <v>1076</v>
      </c>
      <c r="C27" s="20">
        <f>SUMIF('SUT2017'!$E$1:$BT$1,B27,'SUT2017'!$E$9:$BT$9)</f>
        <v>317.64</v>
      </c>
      <c r="D27" s="422">
        <f t="shared" ref="D27:D29" si="17">D26</f>
        <v>45.592592592592595</v>
      </c>
      <c r="E27" s="20">
        <v>25</v>
      </c>
      <c r="F27" s="20">
        <f t="shared" si="12"/>
        <v>1139.8148148148148</v>
      </c>
      <c r="G27" s="20">
        <f t="shared" si="16"/>
        <v>6966.9212022745733</v>
      </c>
      <c r="H27" s="20">
        <f>SUMIF('DMRE 2017EB'!$A$4:$A$100,B27,'DMRE 2017EB'!$B$4:$B$100)</f>
        <v>0</v>
      </c>
      <c r="I27" s="20"/>
      <c r="J27" s="20"/>
      <c r="K27" s="20">
        <f t="shared" ref="K27:K28" si="18">G27</f>
        <v>6966.9212022745733</v>
      </c>
      <c r="L27" s="48">
        <f t="shared" si="13"/>
        <v>278.67684809098296</v>
      </c>
      <c r="M27" s="20"/>
      <c r="O27" s="418" t="s">
        <v>1485</v>
      </c>
      <c r="P27" s="419">
        <v>12.3</v>
      </c>
      <c r="Q27" s="420">
        <v>5718.3</v>
      </c>
      <c r="R27" s="421">
        <v>465</v>
      </c>
      <c r="S27" s="41">
        <f t="shared" si="15"/>
        <v>5719.5</v>
      </c>
      <c r="X27" s="14" t="s">
        <v>1486</v>
      </c>
      <c r="Y27" s="14">
        <v>12.8</v>
      </c>
      <c r="AA27" s="14">
        <v>482</v>
      </c>
      <c r="AB27" s="414"/>
      <c r="AD27" s="14">
        <v>0.89300000000000002</v>
      </c>
    </row>
    <row r="28" spans="1:30">
      <c r="A28" s="10" t="str">
        <f>A27</f>
        <v>IndOther</v>
      </c>
      <c r="B28" s="179" t="s">
        <v>139</v>
      </c>
      <c r="C28" s="20">
        <f>SUMIF('SUT2017'!$E$1:$BT$1,B28,'SUT2017'!$E$9:$BT$9)</f>
        <v>163.19999999999999</v>
      </c>
      <c r="D28" s="22">
        <f t="shared" si="17"/>
        <v>45.592592592592595</v>
      </c>
      <c r="E28" s="20">
        <v>25</v>
      </c>
      <c r="F28" s="20">
        <f t="shared" si="12"/>
        <v>1139.8148148148148</v>
      </c>
      <c r="G28" s="20">
        <f t="shared" si="16"/>
        <v>3579.5288383428101</v>
      </c>
      <c r="H28" s="20">
        <f>SUMIF('DMRE 2017EB'!$A$4:$A$100,B28,'DMRE 2017EB'!$B$4:$B$100)</f>
        <v>0</v>
      </c>
      <c r="I28" s="20"/>
      <c r="J28" s="20"/>
      <c r="K28" s="20">
        <f t="shared" si="18"/>
        <v>3579.5288383428101</v>
      </c>
      <c r="L28" s="48">
        <f t="shared" si="13"/>
        <v>143.1811535337124</v>
      </c>
      <c r="M28" s="20"/>
      <c r="O28" s="418" t="s">
        <v>1487</v>
      </c>
      <c r="P28" s="419">
        <v>4.9400000000000004</v>
      </c>
      <c r="Q28" s="420">
        <v>2756.2</v>
      </c>
      <c r="R28" s="421">
        <v>558</v>
      </c>
      <c r="S28" s="41">
        <f t="shared" si="15"/>
        <v>2756.5200000000004</v>
      </c>
      <c r="X28" s="14" t="s">
        <v>1488</v>
      </c>
      <c r="Y28" s="14">
        <v>4.8</v>
      </c>
      <c r="Z28" s="48">
        <f>Q42</f>
        <v>24</v>
      </c>
      <c r="AA28" s="14">
        <v>577</v>
      </c>
      <c r="AB28" s="414">
        <f>AA28/Z28</f>
        <v>24.041666666666668</v>
      </c>
      <c r="AC28" s="10">
        <f>AD28*AB28</f>
        <v>21.469208333333334</v>
      </c>
      <c r="AD28" s="14">
        <v>0.89300000000000002</v>
      </c>
    </row>
    <row r="29" spans="1:30">
      <c r="A29" s="10" t="str">
        <f>B75</f>
        <v>Pulp_Paper323</v>
      </c>
      <c r="B29" s="179" t="s">
        <v>138</v>
      </c>
      <c r="C29" s="20">
        <f>SUMIF('SUT2017'!$E$1:$BT$1,B29,'SUT2017'!$E$9:$BT$9)</f>
        <v>3224.23</v>
      </c>
      <c r="D29" s="422">
        <f t="shared" si="17"/>
        <v>45.592592592592595</v>
      </c>
      <c r="E29" s="20">
        <v>27</v>
      </c>
      <c r="F29" s="20">
        <f t="shared" si="12"/>
        <v>1231</v>
      </c>
      <c r="G29" s="20">
        <f t="shared" si="16"/>
        <v>70718.285946385047</v>
      </c>
      <c r="H29" s="20">
        <f>SUMIF('DMRE 2017EB'!$A$4:$A$100,B29,'DMRE 2017EB'!$B$4:$B$100)</f>
        <v>0</v>
      </c>
      <c r="I29" s="20"/>
      <c r="J29" s="20">
        <v>54802</v>
      </c>
      <c r="K29" s="20">
        <v>0</v>
      </c>
      <c r="L29" s="48">
        <f t="shared" si="13"/>
        <v>0</v>
      </c>
      <c r="M29" s="20">
        <f>P28*1000</f>
        <v>4940</v>
      </c>
      <c r="O29" s="418" t="s">
        <v>1489</v>
      </c>
      <c r="P29" s="419">
        <v>2.91</v>
      </c>
      <c r="Q29" s="420">
        <v>2150.6</v>
      </c>
      <c r="R29" s="421">
        <v>739</v>
      </c>
      <c r="S29" s="41">
        <f t="shared" si="15"/>
        <v>2150.4900000000002</v>
      </c>
      <c r="X29" s="14" t="s">
        <v>1490</v>
      </c>
      <c r="Y29" s="14">
        <v>3.1</v>
      </c>
      <c r="AA29" s="14">
        <v>788</v>
      </c>
      <c r="AB29" s="411"/>
      <c r="AD29" s="14">
        <v>0.89300000000000002</v>
      </c>
    </row>
    <row r="30" spans="1:30">
      <c r="A30" s="10" t="str">
        <f>B67</f>
        <v>Chemicals33</v>
      </c>
      <c r="B30" s="179" t="s">
        <v>130</v>
      </c>
      <c r="C30" s="20">
        <f>SUMIF('SUT2017'!$E$1:$BT$1,B30,'SUT2017'!$E$9:$BT$9)</f>
        <v>486.27</v>
      </c>
      <c r="D30" s="422">
        <v>15</v>
      </c>
      <c r="E30" s="20">
        <v>20</v>
      </c>
      <c r="F30" s="20">
        <f t="shared" si="12"/>
        <v>300</v>
      </c>
      <c r="G30" s="20">
        <f t="shared" si="16"/>
        <v>32418</v>
      </c>
      <c r="H30" s="20">
        <f>SUMIF('DMRE 2017EB'!$A$4:$A$100,B30,'DMRE 2017EB'!$B$4:$B$100)</f>
        <v>49487.03</v>
      </c>
      <c r="I30" s="20"/>
      <c r="J30" s="20"/>
      <c r="K30" s="20">
        <f>G30-K17</f>
        <v>24367.322234482759</v>
      </c>
      <c r="L30" s="48">
        <f t="shared" si="13"/>
        <v>1218.3661117241379</v>
      </c>
      <c r="M30" s="20">
        <f>P31*1000</f>
        <v>1249.357</v>
      </c>
      <c r="O30" s="418" t="s">
        <v>1491</v>
      </c>
      <c r="P30" s="419">
        <v>2.7</v>
      </c>
      <c r="Q30" s="420">
        <v>2852.4</v>
      </c>
      <c r="R30" s="421">
        <v>1041</v>
      </c>
      <c r="S30" s="41">
        <f t="shared" si="15"/>
        <v>2810.7000000000003</v>
      </c>
      <c r="X30" s="14" t="s">
        <v>1492</v>
      </c>
      <c r="Y30" s="14">
        <v>1.7</v>
      </c>
      <c r="Z30" s="48">
        <f>Z26</f>
        <v>20.84</v>
      </c>
      <c r="AA30" s="14">
        <v>501</v>
      </c>
      <c r="AB30" s="414">
        <f t="shared" ref="AB30:AB31" si="19">AA30/Z30</f>
        <v>24.040307101727446</v>
      </c>
      <c r="AC30" s="10">
        <f t="shared" ref="AC30:AC31" si="20">AD30*AB30</f>
        <v>21.467994241842611</v>
      </c>
      <c r="AD30" s="14">
        <v>0.89300000000000002</v>
      </c>
    </row>
    <row r="31" spans="1:30">
      <c r="A31" s="10" t="str">
        <f>B73</f>
        <v>NMMProducts34</v>
      </c>
      <c r="B31" s="179" t="s">
        <v>133</v>
      </c>
      <c r="C31" s="20">
        <f>SUMIF('SUT2017'!$E$1:$BT$1,B31,'SUT2017'!$E$9:$BT$9)</f>
        <v>1192.8</v>
      </c>
      <c r="D31" s="422">
        <v>20</v>
      </c>
      <c r="E31" s="20">
        <v>20</v>
      </c>
      <c r="F31" s="20">
        <f t="shared" si="12"/>
        <v>400</v>
      </c>
      <c r="G31" s="20">
        <f t="shared" si="16"/>
        <v>59640</v>
      </c>
      <c r="H31" s="20">
        <f>SUMIF('DMRE 2017EB'!$A$4:$A$100,B31,'DMRE 2017EB'!$B$4:$B$100)</f>
        <v>43902.3</v>
      </c>
      <c r="I31" s="20"/>
      <c r="J31" s="417">
        <v>48900</v>
      </c>
      <c r="K31" s="20">
        <f t="shared" ref="K31:K32" si="21">J31</f>
        <v>48900</v>
      </c>
      <c r="L31" s="48">
        <f t="shared" si="13"/>
        <v>2445</v>
      </c>
      <c r="M31" s="20">
        <f>(P32+P33)*1000</f>
        <v>1579.5</v>
      </c>
      <c r="O31" s="418" t="s">
        <v>1493</v>
      </c>
      <c r="P31" s="423">
        <v>1.2493570000000001</v>
      </c>
      <c r="Q31" s="420">
        <v>486</v>
      </c>
      <c r="R31" s="41">
        <v>389</v>
      </c>
      <c r="S31" s="41">
        <f t="shared" si="15"/>
        <v>485.99987300000004</v>
      </c>
      <c r="X31" s="14" t="s">
        <v>1494</v>
      </c>
      <c r="Y31" s="14">
        <v>1.6</v>
      </c>
      <c r="Z31" s="48">
        <f>Q44</f>
        <v>28</v>
      </c>
      <c r="AA31" s="14">
        <v>1266</v>
      </c>
      <c r="AB31" s="414">
        <f t="shared" si="19"/>
        <v>45.214285714285715</v>
      </c>
      <c r="AC31" s="10">
        <f t="shared" si="20"/>
        <v>40.376357142857145</v>
      </c>
      <c r="AD31" s="14">
        <v>0.89300000000000002</v>
      </c>
    </row>
    <row r="32" spans="1:30">
      <c r="A32" s="10" t="str">
        <f>B71</f>
        <v>Iron_Steel351</v>
      </c>
      <c r="B32" s="179" t="s">
        <v>129</v>
      </c>
      <c r="C32" s="20">
        <f>SUMIF('SUT2017'!$E$1:$BT$1,B32,'SUT2017'!$E$9:$BT$9)</f>
        <v>3630.4700000000003</v>
      </c>
      <c r="D32" s="422">
        <v>75</v>
      </c>
      <c r="E32" s="20">
        <v>28</v>
      </c>
      <c r="F32" s="20">
        <f t="shared" si="12"/>
        <v>2100</v>
      </c>
      <c r="G32" s="20">
        <f t="shared" si="16"/>
        <v>48406.26666666667</v>
      </c>
      <c r="H32" s="20">
        <f>SUMIF('DMRE 2017EB'!$A$4:$A$100,B32,'DMRE 2017EB'!$B$4:$B$100)</f>
        <v>81157.259999999995</v>
      </c>
      <c r="I32" s="20"/>
      <c r="J32" s="417">
        <v>80400</v>
      </c>
      <c r="K32" s="20">
        <f t="shared" si="21"/>
        <v>80400</v>
      </c>
      <c r="L32" s="48">
        <f t="shared" si="13"/>
        <v>2871.4285714285716</v>
      </c>
      <c r="M32" s="20">
        <f>Y29*1000</f>
        <v>3100</v>
      </c>
      <c r="O32" s="418" t="s">
        <v>1495</v>
      </c>
      <c r="P32" s="423">
        <v>1.236</v>
      </c>
      <c r="Q32" s="420">
        <v>595.70000000000005</v>
      </c>
      <c r="R32" s="421">
        <v>482</v>
      </c>
      <c r="S32" s="41">
        <f t="shared" si="15"/>
        <v>595.75199999999995</v>
      </c>
      <c r="X32" s="14" t="s">
        <v>639</v>
      </c>
      <c r="Y32" s="14">
        <v>1.3</v>
      </c>
      <c r="AA32" s="14">
        <v>517</v>
      </c>
      <c r="AB32" s="411"/>
      <c r="AD32" s="14">
        <v>0.89300000000000002</v>
      </c>
    </row>
    <row r="33" spans="1:30">
      <c r="A33" s="10" t="str">
        <f>B74</f>
        <v>PNFMetals352</v>
      </c>
      <c r="B33" s="179" t="s">
        <v>132</v>
      </c>
      <c r="C33" s="20">
        <f>SUMIF('SUT2017'!$E$1:$BT$1,B33,'SUT2017'!$E$9:$BT$9)</f>
        <v>18.95</v>
      </c>
      <c r="D33" s="422">
        <f>D24</f>
        <v>45.592592592592595</v>
      </c>
      <c r="E33" s="20">
        <f>$E$21</f>
        <v>27</v>
      </c>
      <c r="F33" s="20">
        <f t="shared" si="12"/>
        <v>1231</v>
      </c>
      <c r="G33" s="20">
        <f t="shared" si="16"/>
        <v>415.63769293257508</v>
      </c>
      <c r="H33" s="20">
        <f>SUMIF('DMRE 2017EB'!$A$4:$A$100,B33,'DMRE 2017EB'!$B$4:$B$100)</f>
        <v>3481.19</v>
      </c>
      <c r="I33" s="20"/>
      <c r="J33" s="20"/>
      <c r="K33" s="20">
        <f t="shared" ref="K33:K36" si="22">G33</f>
        <v>415.63769293257508</v>
      </c>
      <c r="L33" s="48">
        <f t="shared" si="13"/>
        <v>15.39398862713241</v>
      </c>
      <c r="M33" s="20"/>
      <c r="O33" s="418" t="s">
        <v>1496</v>
      </c>
      <c r="P33" s="423">
        <v>0.34350000000000003</v>
      </c>
      <c r="Q33" s="420">
        <v>93.4</v>
      </c>
      <c r="R33" s="421">
        <v>272</v>
      </c>
      <c r="S33" s="41">
        <f t="shared" si="15"/>
        <v>93.432000000000002</v>
      </c>
      <c r="X33" s="14" t="s">
        <v>1497</v>
      </c>
      <c r="Y33" s="14">
        <v>0.4</v>
      </c>
      <c r="AA33" s="14">
        <v>261</v>
      </c>
      <c r="AB33" s="411"/>
      <c r="AD33" s="14">
        <v>0.89300000000000002</v>
      </c>
    </row>
    <row r="34" spans="1:30">
      <c r="A34" s="10" t="str">
        <f>A28</f>
        <v>IndOther</v>
      </c>
      <c r="B34" s="179" t="s">
        <v>135</v>
      </c>
      <c r="C34" s="20">
        <f>SUMIF('SUT2017'!$E$1:$BT$1,B34,'SUT2017'!$E$9:$BT$9)</f>
        <v>44.489999999999995</v>
      </c>
      <c r="D34" s="22">
        <f t="shared" ref="D34:D36" si="23">D33</f>
        <v>45.592592592592595</v>
      </c>
      <c r="E34" s="20">
        <v>25</v>
      </c>
      <c r="F34" s="20">
        <f t="shared" si="12"/>
        <v>1139.8148148148148</v>
      </c>
      <c r="G34" s="20">
        <f t="shared" si="16"/>
        <v>975.81640942323304</v>
      </c>
      <c r="H34" s="20">
        <f>SUMIF('DMRE 2017EB'!$A$4:$A$100,B34,'DMRE 2017EB'!$B$4:$B$100)</f>
        <v>0</v>
      </c>
      <c r="I34" s="20"/>
      <c r="J34" s="20"/>
      <c r="K34" s="20">
        <f t="shared" si="22"/>
        <v>975.81640942323304</v>
      </c>
      <c r="L34" s="48">
        <f t="shared" si="13"/>
        <v>39.032656376929324</v>
      </c>
      <c r="M34" s="20"/>
      <c r="O34" s="418" t="s">
        <v>41</v>
      </c>
      <c r="P34" s="423">
        <v>6.9800000000000001E-2</v>
      </c>
      <c r="Q34" s="420">
        <v>60.3</v>
      </c>
      <c r="R34" s="421">
        <v>864</v>
      </c>
      <c r="S34" s="41">
        <f t="shared" si="15"/>
        <v>60.307200000000002</v>
      </c>
      <c r="X34" s="14" t="s">
        <v>1498</v>
      </c>
      <c r="Y34" s="14">
        <v>7.0000000000000007E-2</v>
      </c>
      <c r="Z34" s="14">
        <v>27</v>
      </c>
      <c r="AA34" s="14">
        <v>961</v>
      </c>
      <c r="AB34" s="414">
        <f>AA34/Z34</f>
        <v>35.592592592592595</v>
      </c>
      <c r="AC34" s="10">
        <f>AD34*AB34</f>
        <v>31.784185185185187</v>
      </c>
      <c r="AD34" s="14">
        <v>0.89300000000000002</v>
      </c>
    </row>
    <row r="35" spans="1:30">
      <c r="A35" s="10" t="str">
        <f t="shared" ref="A35:A37" si="24">A34</f>
        <v>IndOther</v>
      </c>
      <c r="B35" s="179" t="s">
        <v>1079</v>
      </c>
      <c r="C35" s="20">
        <f>SUMIF('SUT2017'!$E$1:$BT$1,B35,'SUT2017'!$E$9:$BT$9)</f>
        <v>4.29</v>
      </c>
      <c r="D35" s="22">
        <f t="shared" si="23"/>
        <v>45.592592592592595</v>
      </c>
      <c r="E35" s="417">
        <v>25</v>
      </c>
      <c r="F35" s="20">
        <f t="shared" si="12"/>
        <v>1139.8148148148148</v>
      </c>
      <c r="G35" s="20">
        <f t="shared" si="16"/>
        <v>94.094232331437851</v>
      </c>
      <c r="H35" s="20">
        <f>SUMIF('DMRE 2017EB'!$A$4:$A$100,B35,'DMRE 2017EB'!$B$4:$B$100)</f>
        <v>0</v>
      </c>
      <c r="I35" s="20"/>
      <c r="J35" s="20"/>
      <c r="K35" s="20">
        <f t="shared" si="22"/>
        <v>94.094232331437851</v>
      </c>
      <c r="L35" s="48">
        <f t="shared" si="13"/>
        <v>3.7637692932575142</v>
      </c>
      <c r="M35" s="20">
        <f>P36*1000</f>
        <v>2.1</v>
      </c>
      <c r="O35" s="418" t="s">
        <v>1499</v>
      </c>
      <c r="P35" s="423">
        <v>4.7100000000000003E-2</v>
      </c>
      <c r="Q35" s="420">
        <v>39.1</v>
      </c>
      <c r="R35" s="421">
        <v>830</v>
      </c>
      <c r="S35" s="41">
        <f t="shared" si="15"/>
        <v>39.093000000000004</v>
      </c>
      <c r="X35" s="14" t="s">
        <v>1500</v>
      </c>
      <c r="Y35" s="14">
        <v>0.06</v>
      </c>
      <c r="AA35" s="14">
        <v>935</v>
      </c>
      <c r="AD35" s="14">
        <v>0.89300000000000002</v>
      </c>
    </row>
    <row r="36" spans="1:30">
      <c r="A36" s="10" t="str">
        <f t="shared" si="24"/>
        <v>IndOther</v>
      </c>
      <c r="B36" s="179" t="s">
        <v>140</v>
      </c>
      <c r="C36" s="20">
        <f>SUMIF('SUT2017'!$E$1:$BT$1,B36,'SUT2017'!$E$9:$BT$9)</f>
        <v>0</v>
      </c>
      <c r="D36" s="22">
        <f t="shared" si="23"/>
        <v>45.592592592592595</v>
      </c>
      <c r="E36" s="417">
        <v>25</v>
      </c>
      <c r="F36" s="20">
        <f t="shared" si="12"/>
        <v>1139.8148148148148</v>
      </c>
      <c r="G36" s="20">
        <f t="shared" si="16"/>
        <v>0</v>
      </c>
      <c r="H36" s="20">
        <f>SUMIF('DMRE 2017EB'!$A$4:$A$100,B36,'DMRE 2017EB'!$B$4:$B$100)</f>
        <v>0</v>
      </c>
      <c r="I36" s="20"/>
      <c r="J36" s="20"/>
      <c r="K36" s="20">
        <f t="shared" si="22"/>
        <v>0</v>
      </c>
      <c r="L36" s="48">
        <f t="shared" si="13"/>
        <v>0</v>
      </c>
      <c r="M36" s="20"/>
      <c r="O36" s="418" t="s">
        <v>57</v>
      </c>
      <c r="P36" s="423">
        <v>2.0999999999999999E-3</v>
      </c>
      <c r="Q36" s="420">
        <v>2.4</v>
      </c>
      <c r="R36" s="421">
        <v>1140</v>
      </c>
      <c r="S36" s="41">
        <f t="shared" si="15"/>
        <v>2.3939999999999997</v>
      </c>
      <c r="X36" s="14" t="s">
        <v>24</v>
      </c>
      <c r="Y36" s="10">
        <f>SUM(Y25:Y35)</f>
        <v>176.73000000000002</v>
      </c>
    </row>
    <row r="37" spans="1:30">
      <c r="A37" s="10" t="str">
        <f t="shared" si="24"/>
        <v>IndOther</v>
      </c>
      <c r="B37" s="179" t="s">
        <v>1078</v>
      </c>
      <c r="C37" s="20">
        <f>SUMIF('SUT2017'!$E$1:$BT$1,B37,'SUT2017'!$E$9:$BT$9)</f>
        <v>1569.72</v>
      </c>
      <c r="D37" s="422">
        <v>20</v>
      </c>
      <c r="E37" s="417">
        <v>25</v>
      </c>
      <c r="F37" s="20">
        <f t="shared" si="12"/>
        <v>500</v>
      </c>
      <c r="G37" s="20">
        <f t="shared" si="16"/>
        <v>78486</v>
      </c>
      <c r="H37" s="20">
        <f>SUMIF('DMRE 2017EB'!$A$4:$A$100,B37,'DMRE 2017EB'!$B$4:$B$100)</f>
        <v>0</v>
      </c>
      <c r="I37" s="20"/>
      <c r="J37" s="20"/>
      <c r="K37" s="20">
        <f>G37+25318+10740</f>
        <v>114544</v>
      </c>
      <c r="L37" s="48">
        <f t="shared" si="13"/>
        <v>4581.76</v>
      </c>
      <c r="M37" s="20">
        <f>Y27*1000</f>
        <v>12800</v>
      </c>
      <c r="O37" s="418" t="s">
        <v>1501</v>
      </c>
      <c r="P37" s="421">
        <f t="shared" ref="P37:Q37" si="25">SUM(P25:P36)</f>
        <v>180.097857</v>
      </c>
      <c r="Q37" s="420">
        <f t="shared" si="25"/>
        <v>67844.399999999994</v>
      </c>
      <c r="R37" s="421">
        <f>Q37/P37</f>
        <v>376.7085357378794</v>
      </c>
      <c r="S37" s="41">
        <f t="shared" si="15"/>
        <v>67844.399999999994</v>
      </c>
    </row>
    <row r="38" spans="1:30">
      <c r="B38" s="179" t="s">
        <v>142</v>
      </c>
      <c r="C38" s="20"/>
      <c r="D38" s="22"/>
      <c r="E38" s="20"/>
      <c r="F38" s="20"/>
      <c r="G38" s="20"/>
      <c r="H38" s="20">
        <f>SUMIF('DMRE 2017EB'!$A$4:$A$100,B38,'DMRE 2017EB'!$B$4:$B$100)</f>
        <v>130200.78</v>
      </c>
      <c r="I38" s="20"/>
      <c r="K38" s="20"/>
      <c r="L38" s="20"/>
      <c r="M38" s="20"/>
      <c r="N38" s="20"/>
      <c r="O38" s="20"/>
      <c r="P38" s="413"/>
      <c r="Q38" s="20" t="s">
        <v>1445</v>
      </c>
      <c r="R38" s="20" t="s">
        <v>1479</v>
      </c>
      <c r="S38" s="14" t="s">
        <v>1480</v>
      </c>
      <c r="T38" s="14" t="s">
        <v>1481</v>
      </c>
    </row>
    <row r="39" spans="1:30">
      <c r="B39" s="179"/>
      <c r="C39" s="20"/>
      <c r="D39" s="22"/>
      <c r="E39" s="20"/>
      <c r="F39" s="20"/>
      <c r="G39" s="20"/>
      <c r="H39" s="20"/>
      <c r="I39" s="20"/>
      <c r="K39" s="20"/>
      <c r="L39" s="20"/>
      <c r="M39" s="20"/>
      <c r="N39" s="20"/>
      <c r="O39" s="20" t="str">
        <f t="shared" ref="O39:O50" si="26">O25</f>
        <v>Electricity</v>
      </c>
      <c r="P39" s="413"/>
      <c r="Q39" s="20"/>
      <c r="R39" s="20"/>
    </row>
    <row r="40" spans="1:30">
      <c r="A40" s="10" t="str">
        <f t="shared" ref="A40:A43" si="27">B77</f>
        <v>Agriculture</v>
      </c>
      <c r="B40" s="179" t="s">
        <v>41</v>
      </c>
      <c r="C40" s="20">
        <f>SUMIF('SUT2017'!$E$1:$BT$1,B40,'SUT2017'!$E$9:$BT$9)</f>
        <v>23.08</v>
      </c>
      <c r="D40" s="22">
        <f>D26</f>
        <v>45.592592592592595</v>
      </c>
      <c r="E40" s="20">
        <f t="shared" ref="E40:E43" si="28">$E$21</f>
        <v>27</v>
      </c>
      <c r="F40" s="20">
        <f t="shared" ref="F40:F43" si="29">D40*E40</f>
        <v>1231</v>
      </c>
      <c r="G40" s="20">
        <f t="shared" ref="G40:G43" si="30">C40/D40*1000</f>
        <v>506.22258326563764</v>
      </c>
      <c r="H40" s="20">
        <f>SUMIF('DMRE 2017EB'!$A$4:$A$100,B40,'DMRE 2017EB'!$B$4:$B$100)</f>
        <v>1998.24</v>
      </c>
      <c r="I40" s="20">
        <v>1400</v>
      </c>
      <c r="J40" s="20">
        <v>1998</v>
      </c>
      <c r="K40" s="20">
        <f>J40</f>
        <v>1998</v>
      </c>
      <c r="L40" s="48">
        <f t="shared" ref="L40:L42" si="31">K40/E40</f>
        <v>74</v>
      </c>
      <c r="M40" s="20">
        <f>P34*1000</f>
        <v>69.8</v>
      </c>
      <c r="N40" s="20"/>
      <c r="O40" s="20" t="str">
        <f t="shared" si="26"/>
        <v>Synfuels</v>
      </c>
      <c r="P40" s="413"/>
      <c r="Q40" s="20">
        <f>E11</f>
        <v>20.84</v>
      </c>
      <c r="R40" s="20">
        <f>R26/Q40</f>
        <v>18.666026871401151</v>
      </c>
      <c r="S40" s="10">
        <f>T40*R40</f>
        <v>16.668761996161226</v>
      </c>
      <c r="T40" s="14">
        <v>0.89300000000000002</v>
      </c>
      <c r="U40" s="10">
        <f>392*T40</f>
        <v>350.05599999999998</v>
      </c>
    </row>
    <row r="41" spans="1:30">
      <c r="A41" s="10" t="str">
        <f t="shared" si="27"/>
        <v>Commerce</v>
      </c>
      <c r="B41" s="179" t="s">
        <v>1080</v>
      </c>
      <c r="C41" s="20">
        <f>SUMIF('SUT2017'!$E$1:$BT$1,B41,'SUT2017'!$E$9:$BT$9)</f>
        <v>899.16</v>
      </c>
      <c r="D41" s="22">
        <f>D40</f>
        <v>45.592592592592595</v>
      </c>
      <c r="E41" s="20">
        <f t="shared" si="28"/>
        <v>27</v>
      </c>
      <c r="F41" s="20">
        <f t="shared" si="29"/>
        <v>1231</v>
      </c>
      <c r="G41" s="20">
        <f t="shared" si="30"/>
        <v>19721.624695369617</v>
      </c>
      <c r="H41" s="20">
        <f>'DMRE 2017EB'!B60</f>
        <v>16510.89</v>
      </c>
      <c r="I41" s="41">
        <v>26655</v>
      </c>
      <c r="J41" s="20"/>
      <c r="K41" s="20">
        <f>I41</f>
        <v>26655</v>
      </c>
      <c r="L41" s="48">
        <f t="shared" si="31"/>
        <v>987.22222222222217</v>
      </c>
      <c r="M41" s="20"/>
      <c r="N41" s="20"/>
      <c r="O41" s="20" t="str">
        <f t="shared" si="26"/>
        <v>Merchant&amp;Domestic</v>
      </c>
      <c r="P41" s="413"/>
      <c r="Q41" s="20">
        <f>S41</f>
        <v>0</v>
      </c>
      <c r="R41" s="20"/>
      <c r="T41" s="14">
        <v>0.89300000000000002</v>
      </c>
      <c r="U41" s="10">
        <f>U40/19</f>
        <v>18.423999999999999</v>
      </c>
    </row>
    <row r="42" spans="1:30">
      <c r="A42" s="10" t="str">
        <f t="shared" si="27"/>
        <v>Residential</v>
      </c>
      <c r="B42" s="179" t="s">
        <v>56</v>
      </c>
      <c r="C42" s="20">
        <f>SUMIF('SUT2017'!$E$1:$BT$1,B42,'SUT2017'!$E$9:$BT$9)</f>
        <v>2677.53</v>
      </c>
      <c r="D42" s="422">
        <v>150</v>
      </c>
      <c r="E42" s="20">
        <f t="shared" si="28"/>
        <v>27</v>
      </c>
      <c r="F42" s="20">
        <f t="shared" si="29"/>
        <v>4050</v>
      </c>
      <c r="G42" s="20">
        <f t="shared" si="30"/>
        <v>17850.2</v>
      </c>
      <c r="H42" s="20">
        <f>SUMIF('DMRE 2017EB'!$A$4:$A$100,B42,'DMRE 2017EB'!$B$4:$B$100)</f>
        <v>16587.599999999999</v>
      </c>
      <c r="I42" s="41">
        <v>294415</v>
      </c>
      <c r="J42" s="20">
        <v>15617</v>
      </c>
      <c r="K42" s="20">
        <f>J42</f>
        <v>15617</v>
      </c>
      <c r="L42" s="48">
        <f t="shared" si="31"/>
        <v>578.40740740740739</v>
      </c>
      <c r="M42" s="20"/>
      <c r="N42" s="20"/>
      <c r="O42" s="20" t="str">
        <f t="shared" si="26"/>
        <v>Industries</v>
      </c>
      <c r="P42" s="413"/>
      <c r="Q42" s="20">
        <v>24</v>
      </c>
      <c r="R42" s="20">
        <f>R28/Q42</f>
        <v>23.25</v>
      </c>
      <c r="S42" s="10">
        <f>T42*R42</f>
        <v>20.762250000000002</v>
      </c>
      <c r="T42" s="14">
        <v>0.89300000000000002</v>
      </c>
    </row>
    <row r="43" spans="1:30">
      <c r="A43" s="10" t="str">
        <f t="shared" si="27"/>
        <v>Transport</v>
      </c>
      <c r="B43" s="179" t="s">
        <v>57</v>
      </c>
      <c r="C43" s="20">
        <f>SUMIF('SUT2017'!$E$1:$BT$1,B43,'SUT2017'!$E$9:$BT$9)</f>
        <v>133.97</v>
      </c>
      <c r="D43" s="422">
        <v>50</v>
      </c>
      <c r="E43" s="20">
        <f t="shared" si="28"/>
        <v>27</v>
      </c>
      <c r="F43" s="20">
        <f t="shared" si="29"/>
        <v>1350</v>
      </c>
      <c r="G43" s="20">
        <f t="shared" si="30"/>
        <v>2679.3999999999996</v>
      </c>
      <c r="H43" s="20">
        <f>'DMRE 2017EB'!B49</f>
        <v>42.93</v>
      </c>
      <c r="I43" s="20"/>
      <c r="J43" s="20"/>
      <c r="K43" s="20">
        <v>0</v>
      </c>
      <c r="L43" s="48">
        <f>M43</f>
        <v>2.1</v>
      </c>
      <c r="M43" s="20">
        <f>P36*1000</f>
        <v>2.1</v>
      </c>
      <c r="N43" s="20"/>
      <c r="O43" s="20" t="str">
        <f t="shared" si="26"/>
        <v>Steel</v>
      </c>
      <c r="P43" s="413"/>
      <c r="Q43" s="20"/>
      <c r="T43" s="14">
        <v>0.89300000000000002</v>
      </c>
    </row>
    <row r="44" spans="1:30">
      <c r="A44" s="179"/>
      <c r="B44" s="179" t="s">
        <v>58</v>
      </c>
      <c r="H44" s="20">
        <f>SUMIF('DMRE 2017EB'!$A$4:$A$100,B44,'DMRE 2017EB'!$B$4:$B$100)</f>
        <v>94954.14</v>
      </c>
      <c r="L44" s="48"/>
      <c r="O44" s="20" t="str">
        <f t="shared" si="26"/>
        <v>Metallurgical</v>
      </c>
      <c r="Q44" s="20">
        <v>28</v>
      </c>
      <c r="R44" s="20">
        <f>R30/Q44</f>
        <v>37.178571428571431</v>
      </c>
      <c r="S44" s="10">
        <f>T44*R44</f>
        <v>33.20046428571429</v>
      </c>
      <c r="T44" s="14">
        <v>0.89300000000000002</v>
      </c>
    </row>
    <row r="45" spans="1:30">
      <c r="O45" s="20" t="str">
        <f t="shared" si="26"/>
        <v>Chemical</v>
      </c>
      <c r="T45" s="14">
        <v>0.89300000000000002</v>
      </c>
    </row>
    <row r="46" spans="1:30">
      <c r="B46" s="14" t="s">
        <v>1502</v>
      </c>
      <c r="O46" s="20" t="str">
        <f t="shared" si="26"/>
        <v>Cement</v>
      </c>
      <c r="T46" s="14">
        <v>0.89300000000000002</v>
      </c>
    </row>
    <row r="47" spans="1:30">
      <c r="B47" s="14" t="s">
        <v>1503</v>
      </c>
      <c r="K47" s="48">
        <f t="shared" ref="K47:L47" si="32">K48+K51+K50</f>
        <v>5062731.3448574245</v>
      </c>
      <c r="L47" s="48">
        <f t="shared" si="32"/>
        <v>252360.37752701622</v>
      </c>
      <c r="O47" s="20" t="str">
        <f t="shared" si="26"/>
        <v>Brick&amp;Tile</v>
      </c>
      <c r="T47" s="14">
        <v>0.89300000000000002</v>
      </c>
    </row>
    <row r="48" spans="1:30">
      <c r="B48" s="14" t="s">
        <v>1449</v>
      </c>
      <c r="K48" s="48">
        <f>K49+K55+K54</f>
        <v>3291063.5848574247</v>
      </c>
      <c r="L48" s="48">
        <f>L49+L63</f>
        <v>175025.42100527708</v>
      </c>
      <c r="O48" s="20" t="str">
        <f t="shared" si="26"/>
        <v>Agriculture</v>
      </c>
      <c r="Q48" s="14">
        <v>24</v>
      </c>
      <c r="R48" s="20">
        <f>R34/Q48</f>
        <v>36</v>
      </c>
      <c r="S48" s="10">
        <f>T48*R48</f>
        <v>32.148000000000003</v>
      </c>
      <c r="T48" s="14">
        <v>0.89300000000000002</v>
      </c>
    </row>
    <row r="49" spans="2:20">
      <c r="B49" s="14" t="s">
        <v>1450</v>
      </c>
      <c r="K49" s="48">
        <f t="shared" ref="K49:L49" si="33">SUM(K77:K80)+K66</f>
        <v>419344.6609834673</v>
      </c>
      <c r="L49" s="48">
        <f t="shared" si="33"/>
        <v>16690.022583814192</v>
      </c>
      <c r="O49" s="20" t="str">
        <f t="shared" si="26"/>
        <v>Mines</v>
      </c>
      <c r="T49" s="14">
        <v>0.89300000000000002</v>
      </c>
    </row>
    <row r="50" spans="2:20">
      <c r="B50" s="14" t="s">
        <v>109</v>
      </c>
      <c r="K50" s="48">
        <f t="shared" ref="K50:L50" si="34">K9</f>
        <v>44667.759999999813</v>
      </c>
      <c r="L50" s="48">
        <f t="shared" si="34"/>
        <v>2247.9999999999905</v>
      </c>
      <c r="M50" s="14"/>
      <c r="N50" s="14"/>
      <c r="O50" s="20" t="str">
        <f t="shared" si="26"/>
        <v>Transport</v>
      </c>
      <c r="T50" s="14">
        <v>0.89300000000000002</v>
      </c>
    </row>
    <row r="51" spans="2:20">
      <c r="B51" s="15" t="s">
        <v>68</v>
      </c>
      <c r="K51" s="48">
        <f>SUMIF($A$8:$A$43,B51,$K$8:$K$43)</f>
        <v>1727000</v>
      </c>
      <c r="L51" s="48">
        <f>SUMIF($A$8:$A$43,B51,$L$8:$L$43)</f>
        <v>75086.956521739135</v>
      </c>
      <c r="M51" s="20"/>
      <c r="N51" s="20"/>
      <c r="O51" s="20"/>
      <c r="P51" s="20"/>
    </row>
    <row r="52" spans="2:20">
      <c r="B52" s="14"/>
      <c r="K52" s="48"/>
      <c r="L52" s="48"/>
      <c r="M52" s="20"/>
      <c r="N52" s="20"/>
      <c r="O52" s="20"/>
      <c r="P52" s="20"/>
    </row>
    <row r="53" spans="2:20">
      <c r="B53" s="15" t="s">
        <v>69</v>
      </c>
      <c r="K53" s="48"/>
      <c r="L53" s="48"/>
      <c r="M53" s="20"/>
      <c r="N53" s="20"/>
      <c r="O53" s="20"/>
      <c r="P53" s="20"/>
    </row>
    <row r="54" spans="2:20">
      <c r="B54" s="14" t="s">
        <v>70</v>
      </c>
      <c r="K54" s="48">
        <f t="shared" ref="K54:K56" si="35">SUMIF($A$8:$A$43,B54,$K$8:$K$43)</f>
        <v>2295861.6315662651</v>
      </c>
      <c r="L54" s="48">
        <f t="shared" ref="L54:L56" si="36">SUMIF($A$8:$A$43,B54,$L$8:$L$43)</f>
        <v>115544.11834757247</v>
      </c>
      <c r="M54" s="20">
        <f>K54/L54</f>
        <v>19.87</v>
      </c>
      <c r="N54" s="20"/>
      <c r="O54" s="20"/>
      <c r="P54" s="20"/>
    </row>
    <row r="55" spans="2:20">
      <c r="B55" s="45" t="s">
        <v>71</v>
      </c>
      <c r="K55" s="48">
        <f t="shared" si="35"/>
        <v>575857.29230769223</v>
      </c>
      <c r="L55" s="48">
        <f t="shared" si="36"/>
        <v>27632.307692307691</v>
      </c>
      <c r="M55" s="20"/>
      <c r="N55" s="20"/>
      <c r="O55" s="20"/>
      <c r="P55" s="20"/>
    </row>
    <row r="56" spans="2:20">
      <c r="B56" s="45" t="s">
        <v>72</v>
      </c>
      <c r="K56" s="48">
        <f t="shared" si="35"/>
        <v>206949</v>
      </c>
      <c r="L56" s="48">
        <f t="shared" si="36"/>
        <v>9930.3742802303259</v>
      </c>
    </row>
    <row r="57" spans="2:20">
      <c r="B57" s="14" t="s">
        <v>1504</v>
      </c>
      <c r="K57" s="48"/>
      <c r="L57" s="48"/>
    </row>
    <row r="58" spans="2:20">
      <c r="B58" s="14" t="s">
        <v>76</v>
      </c>
      <c r="K58" s="48">
        <f t="shared" ref="K58:L58" si="37">K14</f>
        <v>0</v>
      </c>
      <c r="L58" s="48">
        <f t="shared" si="37"/>
        <v>0</v>
      </c>
    </row>
    <row r="59" spans="2:20">
      <c r="B59" s="179" t="s">
        <v>77</v>
      </c>
      <c r="K59" s="48">
        <f t="shared" ref="K59:L59" si="38">K15</f>
        <v>54802</v>
      </c>
      <c r="L59" s="48">
        <f t="shared" si="38"/>
        <v>2029.7037037037037</v>
      </c>
    </row>
    <row r="60" spans="2:20">
      <c r="B60" s="14" t="s">
        <v>78</v>
      </c>
      <c r="K60" s="48">
        <f t="shared" ref="K60:L60" si="39">K16</f>
        <v>5390</v>
      </c>
      <c r="L60" s="48">
        <f t="shared" si="39"/>
        <v>199.62962962962962</v>
      </c>
    </row>
    <row r="61" spans="2:20">
      <c r="B61" s="179" t="s">
        <v>79</v>
      </c>
      <c r="K61" s="48">
        <f t="shared" ref="K61:L61" si="40">K17</f>
        <v>8050.67776551724</v>
      </c>
      <c r="L61" s="48">
        <f t="shared" si="40"/>
        <v>386.30891389238195</v>
      </c>
    </row>
    <row r="62" spans="2:20">
      <c r="B62" s="179" t="s">
        <v>80</v>
      </c>
      <c r="K62" s="48">
        <f t="shared" ref="K62:L62" si="41">K18</f>
        <v>54454</v>
      </c>
      <c r="L62" s="48">
        <f t="shared" si="41"/>
        <v>2612.9558541266797</v>
      </c>
    </row>
    <row r="63" spans="2:20">
      <c r="B63" s="179" t="s">
        <v>1462</v>
      </c>
      <c r="K63" s="48">
        <f t="shared" ref="K63:L63" si="42">K19</f>
        <v>3201364.6016394743</v>
      </c>
      <c r="L63" s="48">
        <f t="shared" si="42"/>
        <v>158335.39842146289</v>
      </c>
    </row>
    <row r="64" spans="2:20">
      <c r="K64" s="48"/>
    </row>
    <row r="65" spans="2:16">
      <c r="B65" s="15" t="s">
        <v>1505</v>
      </c>
      <c r="K65" s="48"/>
    </row>
    <row r="66" spans="2:16">
      <c r="B66" s="14" t="s">
        <v>1420</v>
      </c>
      <c r="K66" s="48">
        <f t="shared" ref="K66:L66" si="43">SUM(K67:K75)</f>
        <v>375074.6609834673</v>
      </c>
      <c r="L66" s="48">
        <f t="shared" si="43"/>
        <v>15048.292954184564</v>
      </c>
      <c r="M66" s="48"/>
      <c r="N66" s="48"/>
      <c r="O66" s="48">
        <f t="shared" ref="O66:P66" si="44">SUM(O67:O75)</f>
        <v>385074</v>
      </c>
      <c r="P66" s="48">
        <f t="shared" si="44"/>
        <v>344654</v>
      </c>
    </row>
    <row r="67" spans="2:16">
      <c r="B67" s="14" t="s">
        <v>48</v>
      </c>
      <c r="K67" s="48">
        <f t="shared" ref="K67:K75" si="45">SUMIF($A$8:$A$43,B67,$K$8:$K$43)</f>
        <v>24367.322234482759</v>
      </c>
      <c r="L67" s="48">
        <f t="shared" ref="L67:L75" si="46">SUMIF($A$8:$A$43,B67,$L$8:$L$43)</f>
        <v>1218.3661117241379</v>
      </c>
      <c r="M67" s="20"/>
      <c r="N67" s="20"/>
      <c r="O67" s="20">
        <v>42522</v>
      </c>
      <c r="P67" s="20">
        <v>43264</v>
      </c>
    </row>
    <row r="68" spans="2:16">
      <c r="B68" s="14" t="s">
        <v>46</v>
      </c>
      <c r="K68" s="48">
        <f t="shared" si="45"/>
        <v>45800</v>
      </c>
      <c r="L68" s="48">
        <f t="shared" si="46"/>
        <v>1635.7142857142858</v>
      </c>
      <c r="M68" s="20"/>
      <c r="N68" s="20"/>
      <c r="O68" s="20">
        <v>50328</v>
      </c>
      <c r="P68" s="20">
        <v>52444</v>
      </c>
    </row>
    <row r="69" spans="2:16">
      <c r="B69" s="14" t="s">
        <v>52</v>
      </c>
      <c r="K69" s="48">
        <f t="shared" si="45"/>
        <v>10881.941510966695</v>
      </c>
      <c r="L69" s="48">
        <f t="shared" si="46"/>
        <v>403.03487077654427</v>
      </c>
      <c r="M69" s="20"/>
      <c r="N69" s="20"/>
      <c r="O69" s="20">
        <v>26073</v>
      </c>
      <c r="P69" s="20">
        <v>24923</v>
      </c>
    </row>
    <row r="70" spans="2:16">
      <c r="B70" s="14" t="s">
        <v>55</v>
      </c>
      <c r="K70" s="48">
        <f t="shared" si="45"/>
        <v>126160.36068237205</v>
      </c>
      <c r="L70" s="48">
        <f t="shared" si="46"/>
        <v>5046.4144272948824</v>
      </c>
      <c r="M70" s="20"/>
      <c r="N70" s="20"/>
      <c r="O70" s="20">
        <v>79039</v>
      </c>
      <c r="P70" s="20">
        <v>85191</v>
      </c>
    </row>
    <row r="71" spans="2:16">
      <c r="B71" s="14" t="s">
        <v>47</v>
      </c>
      <c r="K71" s="48">
        <f t="shared" si="45"/>
        <v>80400</v>
      </c>
      <c r="L71" s="48">
        <f t="shared" si="46"/>
        <v>2871.4285714285716</v>
      </c>
      <c r="M71" s="20"/>
      <c r="N71" s="20"/>
      <c r="O71" s="20">
        <v>61563</v>
      </c>
      <c r="P71" s="20">
        <v>40170</v>
      </c>
    </row>
    <row r="72" spans="2:16">
      <c r="B72" s="14" t="s">
        <v>45</v>
      </c>
      <c r="K72" s="48">
        <f t="shared" si="45"/>
        <v>38149.398862713242</v>
      </c>
      <c r="L72" s="48">
        <f t="shared" si="46"/>
        <v>1412.940698619009</v>
      </c>
      <c r="M72" s="20"/>
      <c r="N72" s="20"/>
      <c r="O72" s="20">
        <v>31561</v>
      </c>
      <c r="P72" s="20">
        <v>31615</v>
      </c>
    </row>
    <row r="73" spans="2:16">
      <c r="B73" s="14" t="s">
        <v>51</v>
      </c>
      <c r="K73" s="48">
        <f t="shared" si="45"/>
        <v>48900</v>
      </c>
      <c r="L73" s="48">
        <f t="shared" si="46"/>
        <v>2445</v>
      </c>
      <c r="M73" s="20"/>
      <c r="N73" s="20"/>
      <c r="O73" s="20">
        <v>57817</v>
      </c>
      <c r="P73" s="20">
        <v>60009</v>
      </c>
    </row>
    <row r="74" spans="2:16">
      <c r="B74" s="14" t="s">
        <v>50</v>
      </c>
      <c r="K74" s="48">
        <f t="shared" si="45"/>
        <v>415.63769293257508</v>
      </c>
      <c r="L74" s="48">
        <f t="shared" si="46"/>
        <v>15.39398862713241</v>
      </c>
      <c r="M74" s="20"/>
      <c r="N74" s="20"/>
      <c r="O74" s="20">
        <v>1191</v>
      </c>
      <c r="P74" s="14">
        <v>764</v>
      </c>
    </row>
    <row r="75" spans="2:16">
      <c r="B75" s="14" t="s">
        <v>54</v>
      </c>
      <c r="K75" s="48">
        <f t="shared" si="45"/>
        <v>0</v>
      </c>
      <c r="L75" s="48">
        <f t="shared" si="46"/>
        <v>0</v>
      </c>
      <c r="M75" s="20"/>
      <c r="N75" s="20"/>
      <c r="O75" s="20">
        <v>34980</v>
      </c>
      <c r="P75" s="20">
        <v>6274</v>
      </c>
    </row>
    <row r="76" spans="2:16">
      <c r="K76" s="48"/>
    </row>
    <row r="77" spans="2:16">
      <c r="B77" s="14" t="s">
        <v>41</v>
      </c>
      <c r="K77" s="48">
        <f t="shared" ref="K77:K80" si="47">SUMIF($A$8:$A$43,B77,$K$8:$K$43)</f>
        <v>1998</v>
      </c>
      <c r="L77" s="48">
        <f t="shared" ref="L77:L80" si="48">SUMIF($A$8:$A$43,B77,$L$8:$L$43)</f>
        <v>74</v>
      </c>
      <c r="M77" s="14"/>
      <c r="N77" s="14"/>
      <c r="O77" s="14">
        <v>822</v>
      </c>
      <c r="P77" s="20">
        <v>1216</v>
      </c>
    </row>
    <row r="78" spans="2:16">
      <c r="B78" s="14" t="s">
        <v>42</v>
      </c>
      <c r="K78" s="48">
        <f t="shared" si="47"/>
        <v>26655</v>
      </c>
      <c r="L78" s="48">
        <f t="shared" si="48"/>
        <v>987.22222222222217</v>
      </c>
      <c r="M78" s="20"/>
      <c r="N78" s="20"/>
      <c r="O78" s="20">
        <v>15027</v>
      </c>
      <c r="P78" s="20">
        <v>17097</v>
      </c>
    </row>
    <row r="79" spans="2:16">
      <c r="B79" s="14" t="s">
        <v>56</v>
      </c>
      <c r="K79" s="48">
        <f t="shared" si="47"/>
        <v>15617</v>
      </c>
      <c r="L79" s="48">
        <f t="shared" si="48"/>
        <v>578.40740740740739</v>
      </c>
      <c r="M79" s="20"/>
      <c r="N79" s="20"/>
      <c r="O79" s="20">
        <v>14247</v>
      </c>
      <c r="P79" s="20">
        <v>11448</v>
      </c>
    </row>
    <row r="80" spans="2:16">
      <c r="B80" s="14" t="s">
        <v>57</v>
      </c>
      <c r="K80" s="48">
        <f t="shared" si="47"/>
        <v>0</v>
      </c>
      <c r="L80" s="48">
        <f t="shared" si="48"/>
        <v>2.1</v>
      </c>
    </row>
    <row r="89" spans="5:5">
      <c r="E89" s="14" t="s">
        <v>1506</v>
      </c>
    </row>
    <row r="90" spans="5:5">
      <c r="E90" s="14" t="s">
        <v>1507</v>
      </c>
    </row>
    <row r="91" spans="5:5">
      <c r="E91" s="14" t="s">
        <v>1508</v>
      </c>
    </row>
    <row r="92" spans="5:5">
      <c r="E92" s="14" t="s">
        <v>1509</v>
      </c>
    </row>
    <row r="93" spans="5:5">
      <c r="E93" s="14" t="s">
        <v>1510</v>
      </c>
    </row>
    <row r="95" spans="5:5">
      <c r="E95" s="14" t="s">
        <v>1511</v>
      </c>
    </row>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V95"/>
  <sheetViews>
    <sheetView workbookViewId="0">
      <pane xSplit="2" topLeftCell="C1" activePane="topRight" state="frozen"/>
      <selection pane="topRight" activeCell="D2" sqref="D2"/>
    </sheetView>
  </sheetViews>
  <sheetFormatPr defaultColWidth="11.21875" defaultRowHeight="15" customHeight="1"/>
  <cols>
    <col min="1" max="2" width="18.6640625" customWidth="1"/>
  </cols>
  <sheetData>
    <row r="1" spans="1:19">
      <c r="C1" s="14" t="s">
        <v>8</v>
      </c>
    </row>
    <row r="2" spans="1:19">
      <c r="C2" s="14" t="s">
        <v>1512</v>
      </c>
      <c r="D2" s="14" t="s">
        <v>1513</v>
      </c>
      <c r="E2" s="14" t="s">
        <v>1514</v>
      </c>
      <c r="F2" s="14" t="s">
        <v>1515</v>
      </c>
      <c r="G2" s="14" t="s">
        <v>1512</v>
      </c>
      <c r="H2" s="14" t="s">
        <v>1513</v>
      </c>
      <c r="I2" s="14" t="s">
        <v>1516</v>
      </c>
      <c r="J2" s="14" t="s">
        <v>1517</v>
      </c>
      <c r="K2" s="14" t="s">
        <v>333</v>
      </c>
      <c r="L2" s="14" t="s">
        <v>1518</v>
      </c>
      <c r="M2" s="14" t="s">
        <v>1519</v>
      </c>
      <c r="N2" s="14" t="s">
        <v>426</v>
      </c>
      <c r="O2" s="14" t="s">
        <v>426</v>
      </c>
    </row>
    <row r="3" spans="1:19">
      <c r="C3" s="14" t="s">
        <v>1443</v>
      </c>
      <c r="D3" s="14" t="s">
        <v>1443</v>
      </c>
      <c r="E3" s="14" t="s">
        <v>1520</v>
      </c>
      <c r="F3" s="14" t="s">
        <v>1520</v>
      </c>
      <c r="G3" s="14" t="s">
        <v>303</v>
      </c>
      <c r="H3" s="14" t="s">
        <v>303</v>
      </c>
      <c r="I3" s="14" t="s">
        <v>303</v>
      </c>
      <c r="J3" s="14" t="s">
        <v>303</v>
      </c>
      <c r="K3" s="14" t="s">
        <v>303</v>
      </c>
      <c r="L3" s="14" t="s">
        <v>303</v>
      </c>
      <c r="M3" s="14" t="s">
        <v>303</v>
      </c>
      <c r="N3" s="14" t="s">
        <v>303</v>
      </c>
      <c r="O3" s="14" t="s">
        <v>302</v>
      </c>
    </row>
    <row r="4" spans="1:19">
      <c r="A4" s="179" t="str">
        <f>B4</f>
        <v>Exports</v>
      </c>
      <c r="B4" s="179" t="s">
        <v>68</v>
      </c>
      <c r="C4" s="20">
        <f>SUMIF('SUT2017'!$E$1:$BT$1,$B4,'SUT2017'!$E$12:$BT$12)</f>
        <v>3217.57</v>
      </c>
      <c r="D4" s="14">
        <f>SUMIF('SUT2017'!$E$1:$BT$1,$B4,'SUT2017'!$E$92:$BT$92)</f>
        <v>0</v>
      </c>
      <c r="E4" s="424">
        <f>C4/G4</f>
        <v>0.21073945506942626</v>
      </c>
      <c r="G4" s="20">
        <v>15268</v>
      </c>
      <c r="H4" s="48"/>
      <c r="I4" s="48"/>
      <c r="J4" s="48">
        <f>G4</f>
        <v>15268</v>
      </c>
      <c r="K4" s="48"/>
      <c r="L4" s="48">
        <f>J4</f>
        <v>15268</v>
      </c>
      <c r="M4" s="48">
        <f>G4+H4</f>
        <v>15268</v>
      </c>
      <c r="N4" s="48">
        <f>O4/3.6</f>
        <v>16549</v>
      </c>
      <c r="O4" s="48">
        <f>-'DMRE 2017EB'!J6</f>
        <v>59576.4</v>
      </c>
      <c r="Q4" s="48"/>
      <c r="S4" s="20"/>
    </row>
    <row r="5" spans="1:19">
      <c r="A5" s="179"/>
      <c r="B5" s="179"/>
      <c r="C5" s="20"/>
      <c r="D5" s="14"/>
      <c r="E5" s="20"/>
      <c r="F5" s="20"/>
      <c r="G5" s="20"/>
      <c r="H5" s="48"/>
      <c r="I5" s="48"/>
      <c r="J5" s="48"/>
      <c r="K5" s="48"/>
      <c r="L5" s="48"/>
      <c r="M5" s="48"/>
      <c r="N5" s="48"/>
      <c r="O5" s="48"/>
      <c r="Q5" s="48"/>
    </row>
    <row r="6" spans="1:19">
      <c r="A6" s="179"/>
      <c r="B6" s="179" t="s">
        <v>1077</v>
      </c>
      <c r="C6" s="20">
        <f>SUMIF('SUT2017'!$E$1:$BT$1,$B6,'SUT2017'!$E$12:$BT$12)</f>
        <v>1</v>
      </c>
      <c r="D6" s="14">
        <f>SUMIF('SUT2017'!$E$1:$BT$1,$B6,'SUT2017'!$E$92:$BT$92)</f>
        <v>929.14</v>
      </c>
      <c r="E6" s="190">
        <v>1</v>
      </c>
      <c r="F6" s="190">
        <v>1</v>
      </c>
      <c r="G6" s="20">
        <f t="shared" ref="G6:H6" si="0">C6/E6</f>
        <v>1</v>
      </c>
      <c r="H6" s="20">
        <f t="shared" si="0"/>
        <v>929.14</v>
      </c>
      <c r="I6" s="20">
        <v>7960</v>
      </c>
      <c r="J6" s="20">
        <f>J7+J8</f>
        <v>6892.833333333333</v>
      </c>
      <c r="K6" s="20">
        <v>0</v>
      </c>
      <c r="L6" s="48">
        <f>SUM(L7:L8)</f>
        <v>6892.833333333333</v>
      </c>
      <c r="M6" s="48">
        <f>G6+H6</f>
        <v>930.14</v>
      </c>
      <c r="N6" s="20">
        <f>O6/3.6</f>
        <v>12404.280555555557</v>
      </c>
      <c r="O6" s="48">
        <f>'DMRE 2017EB'!J23</f>
        <v>44655.41</v>
      </c>
      <c r="Q6" s="48"/>
    </row>
    <row r="7" spans="1:19">
      <c r="A7" s="179"/>
      <c r="B7" s="179" t="s">
        <v>1521</v>
      </c>
      <c r="C7" s="20"/>
      <c r="D7" s="14"/>
      <c r="E7" s="190"/>
      <c r="F7" s="190"/>
      <c r="G7" s="20"/>
      <c r="H7" s="48"/>
      <c r="I7" s="48"/>
      <c r="J7" s="48">
        <f>L53+L55</f>
        <v>2016.8333333333333</v>
      </c>
      <c r="K7" s="20">
        <v>0</v>
      </c>
      <c r="L7" s="20">
        <f t="shared" ref="L7:L8" si="1">K7+J7</f>
        <v>2016.8333333333333</v>
      </c>
      <c r="M7" s="48"/>
      <c r="N7" s="48"/>
      <c r="O7" s="48"/>
      <c r="Q7" s="48"/>
    </row>
    <row r="8" spans="1:19">
      <c r="A8" s="179" t="s">
        <v>1067</v>
      </c>
      <c r="B8" s="179" t="s">
        <v>1067</v>
      </c>
      <c r="C8" s="20"/>
      <c r="E8" s="190"/>
      <c r="F8" s="190"/>
      <c r="G8" s="20"/>
      <c r="H8" s="48"/>
      <c r="I8" s="48"/>
      <c r="J8" s="20">
        <v>4876</v>
      </c>
      <c r="K8" s="48"/>
      <c r="L8" s="20">
        <f t="shared" si="1"/>
        <v>4876</v>
      </c>
      <c r="M8" s="48"/>
      <c r="N8" s="48"/>
      <c r="O8" s="48"/>
      <c r="Q8" s="48"/>
    </row>
    <row r="9" spans="1:19">
      <c r="A9" s="179" t="str">
        <f t="shared" ref="A9:A10" si="2">B9</f>
        <v>Power (pump storage)</v>
      </c>
      <c r="B9" s="179" t="s">
        <v>1522</v>
      </c>
      <c r="C9" s="20"/>
      <c r="D9" s="14"/>
      <c r="E9" s="190"/>
      <c r="F9" s="190"/>
      <c r="G9" s="20"/>
      <c r="H9" s="48"/>
      <c r="I9" s="48"/>
      <c r="J9" s="48"/>
      <c r="K9" s="48"/>
      <c r="L9" s="48"/>
      <c r="M9" s="48"/>
      <c r="N9" s="48"/>
      <c r="O9" s="48"/>
      <c r="P9" s="48"/>
      <c r="Q9" s="48"/>
    </row>
    <row r="10" spans="1:19">
      <c r="A10" s="179" t="str">
        <f t="shared" si="2"/>
        <v>Autoproducer Electricity Plant</v>
      </c>
      <c r="B10" s="179" t="s">
        <v>114</v>
      </c>
      <c r="C10" s="20"/>
      <c r="D10" s="14"/>
      <c r="E10" s="190"/>
      <c r="F10" s="190"/>
      <c r="G10" s="20"/>
      <c r="H10" s="48"/>
      <c r="I10" s="48"/>
      <c r="J10" s="48"/>
      <c r="K10" s="48"/>
      <c r="L10" s="48"/>
      <c r="M10" s="48"/>
      <c r="N10" s="48"/>
      <c r="O10" s="48"/>
    </row>
    <row r="11" spans="1:19">
      <c r="A11" s="179"/>
      <c r="B11" s="14" t="s">
        <v>42</v>
      </c>
      <c r="C11" s="20"/>
      <c r="D11" s="14"/>
      <c r="E11" s="190"/>
      <c r="F11" s="190"/>
    </row>
    <row r="12" spans="1:19">
      <c r="A12" s="179"/>
      <c r="B12" s="179" t="s">
        <v>1457</v>
      </c>
      <c r="C12" s="20"/>
      <c r="D12" s="14"/>
      <c r="E12" s="190"/>
      <c r="F12" s="190"/>
      <c r="G12" s="20"/>
      <c r="H12" s="48"/>
      <c r="I12" s="48"/>
      <c r="J12" s="48"/>
      <c r="K12" s="48"/>
      <c r="L12" s="48"/>
      <c r="M12" s="48"/>
      <c r="N12" s="48"/>
      <c r="O12" s="48"/>
      <c r="Q12" s="48"/>
    </row>
    <row r="13" spans="1:19">
      <c r="B13" s="14" t="s">
        <v>1458</v>
      </c>
      <c r="E13" s="190"/>
      <c r="F13" s="190"/>
      <c r="P13" s="48"/>
      <c r="Q13" s="48"/>
    </row>
    <row r="14" spans="1:19">
      <c r="A14" s="173"/>
      <c r="B14" s="179" t="s">
        <v>1460</v>
      </c>
      <c r="C14" s="20"/>
      <c r="E14" s="190"/>
      <c r="F14" s="190"/>
      <c r="G14" s="20"/>
      <c r="H14" s="20"/>
      <c r="I14" s="20"/>
      <c r="J14" s="20"/>
      <c r="K14" s="20"/>
      <c r="L14" s="20"/>
      <c r="M14" s="20"/>
      <c r="N14" s="20"/>
      <c r="O14" s="20"/>
      <c r="P14" s="48"/>
      <c r="Q14" s="48"/>
    </row>
    <row r="15" spans="1:19">
      <c r="A15" s="173"/>
      <c r="B15" s="179" t="s">
        <v>1523</v>
      </c>
      <c r="C15" s="20"/>
      <c r="E15" s="190"/>
      <c r="F15" s="190"/>
      <c r="G15" s="20"/>
      <c r="H15" s="20"/>
      <c r="I15" s="20"/>
      <c r="J15" s="20"/>
      <c r="K15" s="20"/>
      <c r="L15" s="20"/>
      <c r="M15" s="20"/>
      <c r="N15" s="20"/>
      <c r="O15" s="20"/>
      <c r="P15" s="20"/>
      <c r="Q15" s="20"/>
    </row>
    <row r="16" spans="1:19">
      <c r="A16" s="173"/>
      <c r="B16" s="179" t="s">
        <v>1462</v>
      </c>
      <c r="C16" s="20"/>
      <c r="E16" s="190"/>
      <c r="F16" s="190"/>
      <c r="G16" s="20"/>
      <c r="H16" s="20"/>
      <c r="I16" s="20"/>
      <c r="J16" s="20"/>
      <c r="K16" s="20"/>
      <c r="L16" s="20"/>
      <c r="M16" s="20"/>
      <c r="N16" s="20"/>
      <c r="O16" s="20">
        <f>SUM(O8:O10)</f>
        <v>0</v>
      </c>
      <c r="P16" s="20"/>
      <c r="Q16" s="20"/>
    </row>
    <row r="17" spans="1:22">
      <c r="A17" s="179"/>
      <c r="B17" s="179" t="s">
        <v>1524</v>
      </c>
      <c r="C17" s="20"/>
      <c r="E17" s="190"/>
      <c r="F17" s="190"/>
      <c r="J17" s="48"/>
      <c r="N17" s="48">
        <f>O17/3.6</f>
        <v>21086.002777777776</v>
      </c>
      <c r="O17" s="48">
        <f>'DMRE 2017EB'!J29</f>
        <v>75909.61</v>
      </c>
    </row>
    <row r="18" spans="1:22">
      <c r="A18" s="179"/>
      <c r="B18" s="179" t="s">
        <v>1525</v>
      </c>
      <c r="C18" s="20"/>
      <c r="E18" s="190"/>
      <c r="F18" s="190"/>
      <c r="L18" s="48">
        <f>L20+L6</f>
        <v>94878.292777777766</v>
      </c>
    </row>
    <row r="19" spans="1:22">
      <c r="A19" s="179" t="s">
        <v>1464</v>
      </c>
      <c r="B19" s="179" t="s">
        <v>1525</v>
      </c>
      <c r="C19" s="20"/>
      <c r="E19" s="190"/>
      <c r="F19" s="190"/>
      <c r="J19" s="48">
        <f>J22+47854-J6</f>
        <v>71536.708333333328</v>
      </c>
      <c r="K19" s="20">
        <v>16000</v>
      </c>
      <c r="L19" s="48">
        <f>K19+J19</f>
        <v>87536.708333333328</v>
      </c>
    </row>
    <row r="20" spans="1:22">
      <c r="A20" s="14" t="s">
        <v>1420</v>
      </c>
      <c r="B20" s="14" t="s">
        <v>1420</v>
      </c>
      <c r="E20" s="190">
        <v>1</v>
      </c>
      <c r="F20" s="190">
        <v>1</v>
      </c>
      <c r="I20" s="48">
        <f t="shared" ref="I20:K20" si="3">SUM(I22:I35)</f>
        <v>70769</v>
      </c>
      <c r="J20" s="48">
        <f t="shared" si="3"/>
        <v>72307.722222222204</v>
      </c>
      <c r="K20" s="48">
        <f t="shared" si="3"/>
        <v>15677.737222222222</v>
      </c>
      <c r="L20" s="48">
        <f t="shared" ref="L20:M20" si="4">SUM(L21:L35)</f>
        <v>87985.459444444437</v>
      </c>
      <c r="M20" s="48">
        <f t="shared" si="4"/>
        <v>95661.776608187123</v>
      </c>
      <c r="N20" s="48">
        <f t="shared" ref="N20:O20" si="5">SUM(N21:N36)</f>
        <v>107107.2583333333</v>
      </c>
      <c r="O20" s="48">
        <f t="shared" si="5"/>
        <v>385586.13</v>
      </c>
    </row>
    <row r="21" spans="1:22">
      <c r="A21" s="179"/>
      <c r="B21" s="179" t="s">
        <v>371</v>
      </c>
      <c r="C21" s="20">
        <f>SUMIF('SUT2017'!$E$1:$BT$1,$B21,'SUT2017'!$E$12:$BT$12)</f>
        <v>16657.98</v>
      </c>
      <c r="D21" s="20">
        <f>SUMIF('SUT2017'!$E$1:$BT$1,$B21,'SUT2017'!$E$92:$BT$92)</f>
        <v>11168.339999999998</v>
      </c>
      <c r="E21" s="190">
        <f>(C21+D21)/N21</f>
        <v>0.91008428577852951</v>
      </c>
      <c r="F21" s="190">
        <f>E21</f>
        <v>0.91008428577852951</v>
      </c>
      <c r="G21" s="20">
        <f t="shared" ref="G21:H21" si="6">C21/E21</f>
        <v>18303.777199877666</v>
      </c>
      <c r="H21" s="20">
        <f t="shared" si="6"/>
        <v>12271.764466788994</v>
      </c>
      <c r="I21" s="41"/>
      <c r="K21" s="20"/>
      <c r="L21" s="48">
        <f t="shared" ref="L21:L24" si="7">K21+J21</f>
        <v>0</v>
      </c>
      <c r="M21" s="20">
        <f>G21+H21</f>
        <v>30575.541666666661</v>
      </c>
      <c r="N21" s="20">
        <f t="shared" ref="N21:N42" si="8">O21/3.6</f>
        <v>30575.541666666664</v>
      </c>
      <c r="O21" s="20">
        <f>'DMRE 2017EB'!J41</f>
        <v>110071.95</v>
      </c>
      <c r="P21" s="20"/>
      <c r="Q21" s="20"/>
      <c r="R21" s="20"/>
      <c r="S21" s="20"/>
      <c r="T21" s="413"/>
      <c r="U21" s="20"/>
      <c r="V21" s="20"/>
    </row>
    <row r="22" spans="1:22">
      <c r="A22" s="179" t="str">
        <f>B69</f>
        <v>Mining2</v>
      </c>
      <c r="B22" s="179" t="s">
        <v>1470</v>
      </c>
      <c r="C22" s="20">
        <f>SUMIF('SUT2017'!$E$1:$BT$1,$B22,'SUT2017'!$E$12:$BT$12)</f>
        <v>0</v>
      </c>
      <c r="D22" s="20">
        <f>SUMIF('SUT2017'!$E$1:$BT$1,$B22,'SUT2017'!$E$92:$BT$92)</f>
        <v>0</v>
      </c>
      <c r="E22" s="190">
        <f t="shared" ref="E22:F22" si="9">E$20</f>
        <v>1</v>
      </c>
      <c r="F22" s="190">
        <f t="shared" si="9"/>
        <v>1</v>
      </c>
      <c r="G22" s="20"/>
      <c r="H22" s="20"/>
      <c r="I22" s="20">
        <v>30580</v>
      </c>
      <c r="J22" s="41">
        <f>N21</f>
        <v>30575.541666666664</v>
      </c>
      <c r="K22" s="20">
        <v>0</v>
      </c>
      <c r="L22" s="48">
        <f t="shared" si="7"/>
        <v>30575.541666666664</v>
      </c>
      <c r="M22" s="20"/>
      <c r="N22" s="20">
        <f t="shared" si="8"/>
        <v>0</v>
      </c>
      <c r="O22" s="20">
        <f>SUMIF('DMRE 2017EB'!$A$4:$A$100,B22,'DMRE 2017EB'!$J$4:$J$100)</f>
        <v>0</v>
      </c>
      <c r="P22" s="20"/>
      <c r="Q22" s="48"/>
      <c r="R22" s="20"/>
      <c r="S22" s="20"/>
      <c r="T22" s="413"/>
      <c r="U22" s="20"/>
      <c r="V22" s="20"/>
    </row>
    <row r="23" spans="1:22">
      <c r="A23" s="10" t="str">
        <f t="shared" ref="A23:A25" si="10">B65</f>
        <v>FerroAlloys</v>
      </c>
      <c r="B23" s="179" t="s">
        <v>1482</v>
      </c>
      <c r="C23" s="20">
        <f>SUMIF('SUT2017'!$E$1:$BT$1,$B23,'SUT2017'!$E$12:$BT$12)</f>
        <v>0</v>
      </c>
      <c r="D23" s="20">
        <f>SUMIF('SUT2017'!$E$1:$BT$1,$B23,'SUT2017'!$E$92:$BT$92)</f>
        <v>0</v>
      </c>
      <c r="E23" s="190">
        <f t="shared" ref="E23:F23" si="11">E$20</f>
        <v>1</v>
      </c>
      <c r="F23" s="190">
        <f t="shared" si="11"/>
        <v>1</v>
      </c>
      <c r="G23" s="20"/>
      <c r="H23" s="20"/>
      <c r="I23" s="20">
        <v>14027</v>
      </c>
      <c r="J23" s="20">
        <f>N30-J30</f>
        <v>14416.280619409101</v>
      </c>
      <c r="K23" s="20">
        <v>0</v>
      </c>
      <c r="L23" s="48">
        <f t="shared" si="7"/>
        <v>14416.280619409101</v>
      </c>
      <c r="M23" s="20"/>
      <c r="N23" s="20">
        <f t="shared" si="8"/>
        <v>0</v>
      </c>
      <c r="O23" s="20">
        <f>SUMIF('DMRE 2017EB'!$A$4:$A$100,B23,'DMRE 2017EB'!$J$4:$J$100)</f>
        <v>0</v>
      </c>
      <c r="P23" s="20"/>
      <c r="Q23" s="48"/>
      <c r="R23" s="20"/>
      <c r="S23" s="20"/>
      <c r="T23" s="413"/>
      <c r="U23" s="20"/>
      <c r="V23" s="20"/>
    </row>
    <row r="24" spans="1:22">
      <c r="A24" s="10" t="str">
        <f t="shared" si="10"/>
        <v>Food_Bev_Tob30</v>
      </c>
      <c r="B24" s="179" t="s">
        <v>1075</v>
      </c>
      <c r="C24" s="20">
        <f>SUMIF('SUT2017'!$E$1:$BT$1,$B24,'SUT2017'!$E$12:$BT$12)</f>
        <v>512.28</v>
      </c>
      <c r="D24" s="20">
        <f>SUMIF('SUT2017'!$E$1:$BT$1,$B24,'SUT2017'!$E$92:$BT$92)</f>
        <v>3641.1200000000003</v>
      </c>
      <c r="E24" s="190">
        <f t="shared" ref="E24:F24" si="12">E$20</f>
        <v>1</v>
      </c>
      <c r="F24" s="190">
        <f t="shared" si="12"/>
        <v>1</v>
      </c>
      <c r="G24" s="20">
        <f t="shared" ref="G24:H24" si="13">C24/E24</f>
        <v>512.28</v>
      </c>
      <c r="H24" s="20">
        <f t="shared" si="13"/>
        <v>3641.1200000000003</v>
      </c>
      <c r="I24" s="20"/>
      <c r="J24" s="20">
        <f>N24</f>
        <v>739.8555555555555</v>
      </c>
      <c r="K24" s="20">
        <f>M24-J24</f>
        <v>3413.5444444444452</v>
      </c>
      <c r="L24" s="48">
        <f t="shared" si="7"/>
        <v>4153.4000000000005</v>
      </c>
      <c r="M24" s="20">
        <f t="shared" ref="M24:M36" si="14">G24+H24</f>
        <v>4153.4000000000005</v>
      </c>
      <c r="N24" s="20">
        <f t="shared" si="8"/>
        <v>739.8555555555555</v>
      </c>
      <c r="O24" s="20">
        <f>SUMIF('DMRE 2017EB'!$A$4:$A$100,"Food and Tobacco",'DMRE 2017EB'!$J$4:$J$100)</f>
        <v>2663.48</v>
      </c>
      <c r="P24" s="20"/>
      <c r="Q24" s="48"/>
      <c r="R24" s="20"/>
      <c r="S24" s="20"/>
      <c r="T24" s="413"/>
      <c r="U24" s="20"/>
      <c r="V24" s="20"/>
    </row>
    <row r="25" spans="1:22">
      <c r="A25" s="10" t="str">
        <f t="shared" si="10"/>
        <v>IndOther</v>
      </c>
      <c r="B25" s="179" t="s">
        <v>1076</v>
      </c>
      <c r="C25" s="20">
        <f>SUMIF('SUT2017'!$E$1:$BT$1,$B25,'SUT2017'!$E$12:$BT$12)</f>
        <v>288.95</v>
      </c>
      <c r="D25" s="20">
        <f>SUMIF('SUT2017'!$E$1:$BT$1,$B25,'SUT2017'!$E$92:$BT$92)</f>
        <v>831.0200000000001</v>
      </c>
      <c r="E25" s="190">
        <f t="shared" ref="E25:F25" si="15">E$20</f>
        <v>1</v>
      </c>
      <c r="F25" s="190">
        <f t="shared" si="15"/>
        <v>1</v>
      </c>
      <c r="G25" s="20">
        <f t="shared" ref="G25:H25" si="16">C25/E25</f>
        <v>288.95</v>
      </c>
      <c r="H25" s="20">
        <f t="shared" si="16"/>
        <v>831.0200000000001</v>
      </c>
      <c r="I25" s="20"/>
      <c r="J25" s="20"/>
      <c r="K25" s="20"/>
      <c r="M25" s="20">
        <f t="shared" si="14"/>
        <v>1119.97</v>
      </c>
      <c r="N25" s="20">
        <f t="shared" si="8"/>
        <v>164.72499999999999</v>
      </c>
      <c r="O25" s="20">
        <f>SUMIF('DMRE 2017EB'!$A$4:$A$100,"Textile and Leather",'DMRE 2017EB'!$J$4:$J$100)</f>
        <v>593.01</v>
      </c>
      <c r="P25" s="20"/>
      <c r="Q25" s="48"/>
      <c r="R25" s="20"/>
      <c r="S25" s="20"/>
      <c r="T25" s="413"/>
      <c r="U25" s="20"/>
      <c r="V25" s="20"/>
    </row>
    <row r="26" spans="1:22">
      <c r="A26" s="10" t="str">
        <f>A25</f>
        <v>IndOther</v>
      </c>
      <c r="B26" s="179" t="s">
        <v>139</v>
      </c>
      <c r="C26" s="20">
        <f>SUMIF('SUT2017'!$E$1:$BT$1,$B26,'SUT2017'!$E$12:$BT$12)</f>
        <v>161.19</v>
      </c>
      <c r="D26" s="20">
        <f>SUMIF('SUT2017'!$E$1:$BT$1,$B26,'SUT2017'!$E$92:$BT$92)</f>
        <v>496.39</v>
      </c>
      <c r="E26" s="190">
        <f t="shared" ref="E26:F26" si="17">E$20</f>
        <v>1</v>
      </c>
      <c r="F26" s="190">
        <f t="shared" si="17"/>
        <v>1</v>
      </c>
      <c r="G26" s="20">
        <f t="shared" ref="G26:H26" si="18">C26/E26</f>
        <v>161.19</v>
      </c>
      <c r="H26" s="20">
        <f t="shared" si="18"/>
        <v>496.39</v>
      </c>
      <c r="I26" s="20"/>
      <c r="J26" s="20"/>
      <c r="K26" s="20"/>
      <c r="M26" s="20">
        <f t="shared" si="14"/>
        <v>657.57999999999993</v>
      </c>
      <c r="N26" s="20">
        <f t="shared" si="8"/>
        <v>332.50555555555553</v>
      </c>
      <c r="O26" s="20">
        <f>SUMIF('DMRE 2017EB'!$A$4:$A$100,B26,'DMRE 2017EB'!$J$4:$J$100)</f>
        <v>1197.02</v>
      </c>
      <c r="P26" s="20"/>
      <c r="Q26" s="48"/>
      <c r="R26" s="20"/>
      <c r="S26" s="20"/>
      <c r="T26" s="413"/>
      <c r="U26" s="20"/>
      <c r="V26" s="20"/>
    </row>
    <row r="27" spans="1:22">
      <c r="A27" s="10" t="str">
        <f>B72</f>
        <v>Pulp_Paper323</v>
      </c>
      <c r="B27" s="179" t="s">
        <v>138</v>
      </c>
      <c r="C27" s="20">
        <f>SUMIF('SUT2017'!$E$1:$BT$1,$B27,'SUT2017'!$E$12:$BT$12)</f>
        <v>803.15000000000009</v>
      </c>
      <c r="D27" s="20">
        <f>SUMIF('SUT2017'!$E$1:$BT$1,$B27,'SUT2017'!$E$92:$BT$92)</f>
        <v>1409.71</v>
      </c>
      <c r="E27" s="190">
        <f t="shared" ref="E27:F27" si="19">E$20</f>
        <v>1</v>
      </c>
      <c r="F27" s="190">
        <f t="shared" si="19"/>
        <v>1</v>
      </c>
      <c r="G27" s="20">
        <f t="shared" ref="G27:H27" si="20">C27/E27</f>
        <v>803.15000000000009</v>
      </c>
      <c r="H27" s="20">
        <f t="shared" si="20"/>
        <v>1409.71</v>
      </c>
      <c r="I27" s="20">
        <v>1302</v>
      </c>
      <c r="J27" s="20">
        <f>N27</f>
        <v>1151.3472222222224</v>
      </c>
      <c r="K27" s="20">
        <f>M27-J27</f>
        <v>1061.5127777777777</v>
      </c>
      <c r="L27" s="48">
        <f t="shared" ref="L27:L31" si="21">K27+J27</f>
        <v>2212.86</v>
      </c>
      <c r="M27" s="20">
        <f t="shared" si="14"/>
        <v>2212.86</v>
      </c>
      <c r="N27" s="20">
        <f t="shared" si="8"/>
        <v>1151.3472222222224</v>
      </c>
      <c r="O27" s="20">
        <f>SUMIF('DMRE 2017EB'!$A$4:$A$100,B27,'DMRE 2017EB'!$J$4:$J$100)</f>
        <v>4144.8500000000004</v>
      </c>
      <c r="P27" s="20"/>
      <c r="Q27" s="48"/>
      <c r="R27" s="20"/>
      <c r="S27" s="20"/>
      <c r="T27" s="413"/>
      <c r="U27" s="20"/>
      <c r="V27" s="20"/>
    </row>
    <row r="28" spans="1:22">
      <c r="A28" s="10" t="str">
        <f>B64</f>
        <v>Chemicals33</v>
      </c>
      <c r="B28" s="179" t="s">
        <v>130</v>
      </c>
      <c r="C28" s="20">
        <f>SUMIF('SUT2017'!$E$1:$BT$1,$B28,'SUT2017'!$E$12:$BT$12)</f>
        <v>13641.39</v>
      </c>
      <c r="D28" s="20">
        <f>SUMIF('SUT2017'!$E$1:$BT$1,$B28,'SUT2017'!$E$92:$BT$92)</f>
        <v>2273.29</v>
      </c>
      <c r="E28" s="190">
        <f t="shared" ref="E28:F28" si="22">E$20</f>
        <v>1</v>
      </c>
      <c r="F28" s="190">
        <f t="shared" si="22"/>
        <v>1</v>
      </c>
      <c r="G28" s="20">
        <f t="shared" ref="G28:H28" si="23">C28/E28</f>
        <v>13641.39</v>
      </c>
      <c r="H28" s="20">
        <f t="shared" si="23"/>
        <v>2273.29</v>
      </c>
      <c r="I28" s="20">
        <v>2934</v>
      </c>
      <c r="J28" s="20">
        <f t="shared" ref="J28:J29" si="24">I28*0.9</f>
        <v>2640.6</v>
      </c>
      <c r="K28" s="20">
        <f>M28+M6-J28-I6</f>
        <v>6244.2199999999993</v>
      </c>
      <c r="L28" s="48">
        <f t="shared" si="21"/>
        <v>8884.82</v>
      </c>
      <c r="M28" s="20">
        <f t="shared" si="14"/>
        <v>15914.68</v>
      </c>
      <c r="N28" s="20">
        <f t="shared" si="8"/>
        <v>8838.4861111111113</v>
      </c>
      <c r="O28" s="20">
        <f>SUMIF('DMRE 2017EB'!$A$4:$A$100,B28,'DMRE 2017EB'!$J$4:$J$100)</f>
        <v>31818.55</v>
      </c>
      <c r="P28" s="20"/>
      <c r="Q28" s="48"/>
      <c r="R28" s="20"/>
      <c r="S28" s="20"/>
      <c r="T28" s="413"/>
      <c r="U28" s="20"/>
      <c r="V28" s="20"/>
    </row>
    <row r="29" spans="1:22">
      <c r="A29" s="10" t="str">
        <f>B70</f>
        <v>NMMProducts34</v>
      </c>
      <c r="B29" s="179" t="s">
        <v>133</v>
      </c>
      <c r="C29" s="20">
        <f>SUMIF('SUT2017'!$E$1:$BT$1,$B29,'SUT2017'!$E$12:$BT$12)</f>
        <v>870.6</v>
      </c>
      <c r="D29" s="20">
        <f>SUMIF('SUT2017'!$E$1:$BT$1,$B29,'SUT2017'!$E$92:$BT$92)</f>
        <v>761.21</v>
      </c>
      <c r="E29" s="190">
        <f t="shared" ref="E29:F29" si="25">E$20</f>
        <v>1</v>
      </c>
      <c r="F29" s="190">
        <f t="shared" si="25"/>
        <v>1</v>
      </c>
      <c r="G29" s="20">
        <f t="shared" ref="G29:H29" si="26">C29/E29</f>
        <v>870.6</v>
      </c>
      <c r="H29" s="20">
        <f t="shared" si="26"/>
        <v>761.21</v>
      </c>
      <c r="I29" s="20">
        <v>1579</v>
      </c>
      <c r="J29" s="20">
        <f t="shared" si="24"/>
        <v>1421.1000000000001</v>
      </c>
      <c r="K29" s="20">
        <f>M29-J29</f>
        <v>210.70999999999981</v>
      </c>
      <c r="L29" s="48">
        <f t="shared" si="21"/>
        <v>1631.81</v>
      </c>
      <c r="M29" s="20">
        <f t="shared" si="14"/>
        <v>1631.81</v>
      </c>
      <c r="N29" s="20">
        <f t="shared" si="8"/>
        <v>2456.4861111111113</v>
      </c>
      <c r="O29" s="20">
        <f>SUMIF('DMRE 2017EB'!$A$4:$A$100,B29,'DMRE 2017EB'!$J$4:$J$100)</f>
        <v>8843.35</v>
      </c>
      <c r="P29" s="20"/>
      <c r="Q29" s="48"/>
      <c r="R29" s="20"/>
      <c r="S29" s="20"/>
      <c r="T29" s="413"/>
      <c r="U29" s="20"/>
      <c r="V29" s="20"/>
    </row>
    <row r="30" spans="1:22">
      <c r="A30" s="10" t="str">
        <f>B68</f>
        <v>Iron_Steel351</v>
      </c>
      <c r="B30" s="179" t="s">
        <v>129</v>
      </c>
      <c r="C30" s="20">
        <f>SUMIF('SUT2017'!$E$1:$BT$1,$B30,'SUT2017'!$E$12:$BT$12)</f>
        <v>4491.79</v>
      </c>
      <c r="D30" s="20">
        <f>SUMIF('SUT2017'!$E$1:$BT$1,$B30,'SUT2017'!$E$92:$BT$92)</f>
        <v>6776.97</v>
      </c>
      <c r="E30" s="190">
        <v>0.56999999999999995</v>
      </c>
      <c r="F30" s="190">
        <f t="shared" ref="F30:F31" si="27">E30</f>
        <v>0.56999999999999995</v>
      </c>
      <c r="G30" s="20">
        <f t="shared" ref="G30:H30" si="28">C30/E30</f>
        <v>7880.3333333333339</v>
      </c>
      <c r="H30" s="20">
        <f t="shared" si="28"/>
        <v>11889.42105263158</v>
      </c>
      <c r="I30" s="20">
        <v>4679</v>
      </c>
      <c r="J30" s="20">
        <f>I30/(I30+I23)*N30</f>
        <v>4808.8527139242306</v>
      </c>
      <c r="K30" s="20">
        <v>0</v>
      </c>
      <c r="L30" s="48">
        <f t="shared" si="21"/>
        <v>4808.8527139242306</v>
      </c>
      <c r="M30" s="20">
        <f t="shared" si="14"/>
        <v>19769.754385964916</v>
      </c>
      <c r="N30" s="20">
        <f t="shared" si="8"/>
        <v>19225.133333333331</v>
      </c>
      <c r="O30" s="20">
        <f>SUMIF('DMRE 2017EB'!$A$4:$A$100,B30,'DMRE 2017EB'!$J$4:$J$100)</f>
        <v>69210.48</v>
      </c>
      <c r="P30" s="20"/>
      <c r="Q30" s="48"/>
      <c r="R30" s="20"/>
      <c r="S30" s="20"/>
      <c r="T30" s="413"/>
      <c r="U30" s="20"/>
      <c r="V30" s="20"/>
    </row>
    <row r="31" spans="1:22">
      <c r="A31" s="10" t="str">
        <f>B71</f>
        <v>PNFMetals352</v>
      </c>
      <c r="B31" s="179" t="s">
        <v>132</v>
      </c>
      <c r="C31" s="20">
        <f>SUMIF('SUT2017'!$E$1:$BT$1,$B31,'SUT2017'!$E$12:$BT$12)</f>
        <v>356.46</v>
      </c>
      <c r="D31" s="20">
        <f>SUMIF('SUT2017'!$E$1:$BT$1,$B31,'SUT2017'!$E$92:$BT$92)</f>
        <v>2862.16</v>
      </c>
      <c r="E31" s="190">
        <f>(D31+C31)/L31</f>
        <v>0.21426069539210413</v>
      </c>
      <c r="F31" s="190">
        <f t="shared" si="27"/>
        <v>0.21426069539210413</v>
      </c>
      <c r="G31" s="20">
        <f t="shared" ref="G31:H31" si="29">C31/E31</f>
        <v>1663.6742420146936</v>
      </c>
      <c r="H31" s="20">
        <f t="shared" si="29"/>
        <v>13358.306313540861</v>
      </c>
      <c r="I31" s="20">
        <v>14034</v>
      </c>
      <c r="J31" s="20">
        <f>N31</f>
        <v>15021.980555555554</v>
      </c>
      <c r="K31" s="20">
        <v>0</v>
      </c>
      <c r="L31" s="48">
        <f t="shared" si="21"/>
        <v>15021.980555555554</v>
      </c>
      <c r="M31" s="20">
        <f t="shared" si="14"/>
        <v>15021.980555555554</v>
      </c>
      <c r="N31" s="20">
        <f t="shared" si="8"/>
        <v>15021.980555555554</v>
      </c>
      <c r="O31" s="20">
        <f>SUMIF('DMRE 2017EB'!$A$4:$A$100,B31,'DMRE 2017EB'!$J$4:$J$100)</f>
        <v>54079.13</v>
      </c>
      <c r="P31" s="20"/>
      <c r="Q31" s="48"/>
      <c r="R31" s="20"/>
      <c r="S31" s="20"/>
      <c r="T31" s="413"/>
      <c r="U31" s="20"/>
      <c r="V31" s="20"/>
    </row>
    <row r="32" spans="1:22">
      <c r="A32" s="10" t="str">
        <f>A26</f>
        <v>IndOther</v>
      </c>
      <c r="B32" s="179" t="s">
        <v>135</v>
      </c>
      <c r="C32" s="20">
        <f>SUMIF('SUT2017'!$E$1:$BT$1,$B32,'SUT2017'!$E$12:$BT$12)</f>
        <v>392.45</v>
      </c>
      <c r="D32" s="20">
        <f>SUMIF('SUT2017'!$E$1:$BT$1,$B32,'SUT2017'!$E$92:$BT$92)</f>
        <v>754.43000000000006</v>
      </c>
      <c r="E32" s="190">
        <f t="shared" ref="E32:F32" si="30">E$20</f>
        <v>1</v>
      </c>
      <c r="F32" s="190">
        <f t="shared" si="30"/>
        <v>1</v>
      </c>
      <c r="G32" s="20">
        <f t="shared" ref="G32:H32" si="31">C32/E32</f>
        <v>392.45</v>
      </c>
      <c r="H32" s="20">
        <f t="shared" si="31"/>
        <v>754.43000000000006</v>
      </c>
      <c r="I32" s="20"/>
      <c r="J32" s="20"/>
      <c r="K32" s="20"/>
      <c r="M32" s="20">
        <f t="shared" si="14"/>
        <v>1146.8800000000001</v>
      </c>
      <c r="N32" s="20">
        <f t="shared" si="8"/>
        <v>58.788888888888884</v>
      </c>
      <c r="O32" s="20">
        <f>SUMIF('DMRE 2017EB'!$A$4:$A$100,B32,'DMRE 2017EB'!$J$4:$J$100)</f>
        <v>211.64</v>
      </c>
      <c r="P32" s="20"/>
      <c r="Q32" s="48"/>
      <c r="R32" s="20"/>
      <c r="S32" s="20"/>
      <c r="T32" s="413"/>
      <c r="U32" s="20"/>
      <c r="V32" s="20"/>
    </row>
    <row r="33" spans="1:22">
      <c r="A33" s="10" t="str">
        <f t="shared" ref="A33:A35" si="32">A32</f>
        <v>IndOther</v>
      </c>
      <c r="B33" s="179" t="s">
        <v>1079</v>
      </c>
      <c r="C33" s="20">
        <f>SUMIF('SUT2017'!$E$1:$BT$1,$B33,'SUT2017'!$E$12:$BT$12)</f>
        <v>124.45</v>
      </c>
      <c r="D33" s="20">
        <f>SUMIF('SUT2017'!$E$1:$BT$1,$B33,'SUT2017'!$E$92:$BT$92)</f>
        <v>77.31</v>
      </c>
      <c r="E33" s="190">
        <f t="shared" ref="E33:F33" si="33">E$20</f>
        <v>1</v>
      </c>
      <c r="F33" s="190">
        <f t="shared" si="33"/>
        <v>1</v>
      </c>
      <c r="G33" s="20">
        <f t="shared" ref="G33:H33" si="34">C33/E33</f>
        <v>124.45</v>
      </c>
      <c r="H33" s="20">
        <f t="shared" si="34"/>
        <v>77.31</v>
      </c>
      <c r="I33" s="20"/>
      <c r="J33" s="20"/>
      <c r="K33" s="20"/>
      <c r="M33" s="20">
        <f t="shared" si="14"/>
        <v>201.76</v>
      </c>
      <c r="N33" s="20">
        <f t="shared" si="8"/>
        <v>53.919444444444444</v>
      </c>
      <c r="O33" s="20">
        <f>SUMIF('DMRE 2017EB'!$A$4:$A$100,"Transport Equipment",'DMRE 2017EB'!$J$4:$J$100)</f>
        <v>194.11</v>
      </c>
      <c r="P33" s="20"/>
      <c r="Q33" s="48"/>
      <c r="R33" s="20"/>
      <c r="S33" s="20"/>
      <c r="T33" s="413"/>
      <c r="U33" s="20"/>
      <c r="V33" s="20"/>
    </row>
    <row r="34" spans="1:22">
      <c r="A34" s="10" t="str">
        <f t="shared" si="32"/>
        <v>IndOther</v>
      </c>
      <c r="B34" s="179" t="s">
        <v>140</v>
      </c>
      <c r="C34" s="20">
        <f>SUMIF('SUT2017'!$E$1:$BT$1,$B34,'SUT2017'!$E$12:$BT$12)</f>
        <v>0</v>
      </c>
      <c r="D34" s="20">
        <f>SUMIF('SUT2017'!$E$1:$BT$1,$B34,'SUT2017'!$E$92:$BT$92)</f>
        <v>800.79</v>
      </c>
      <c r="E34" s="190">
        <f t="shared" ref="E34:F34" si="35">E$20</f>
        <v>1</v>
      </c>
      <c r="F34" s="190">
        <f t="shared" si="35"/>
        <v>1</v>
      </c>
      <c r="G34" s="20">
        <f t="shared" ref="G34:H34" si="36">C34/E34</f>
        <v>0</v>
      </c>
      <c r="H34" s="20">
        <f t="shared" si="36"/>
        <v>800.79</v>
      </c>
      <c r="I34" s="20"/>
      <c r="J34" s="20"/>
      <c r="K34" s="20"/>
      <c r="M34" s="20">
        <f t="shared" si="14"/>
        <v>800.79</v>
      </c>
      <c r="N34" s="20">
        <f t="shared" si="8"/>
        <v>182.36944444444444</v>
      </c>
      <c r="O34" s="20">
        <f>SUMIF('DMRE 2017EB'!$A$4:$A$100,B34,'DMRE 2017EB'!$J$4:$J$100)</f>
        <v>656.53</v>
      </c>
      <c r="P34" s="20"/>
      <c r="Q34" s="48"/>
      <c r="R34" s="20"/>
      <c r="S34" s="20"/>
      <c r="T34" s="413"/>
      <c r="U34" s="20"/>
      <c r="V34" s="20"/>
    </row>
    <row r="35" spans="1:22">
      <c r="A35" s="10" t="str">
        <f t="shared" si="32"/>
        <v>IndOther</v>
      </c>
      <c r="B35" s="179" t="s">
        <v>1078</v>
      </c>
      <c r="C35" s="20">
        <f>SUMIF('SUT2017'!$E$1:$BT$1,$B35,'SUT2017'!$E$12:$BT$12)</f>
        <v>686.84999999999991</v>
      </c>
      <c r="D35" s="20">
        <f>SUMIF('SUT2017'!$E$1:$BT$1,$B35,'SUT2017'!$E$92:$BT$92)</f>
        <v>1767.9199999999998</v>
      </c>
      <c r="E35" s="190">
        <f t="shared" ref="E35:F35" si="37">E$20</f>
        <v>1</v>
      </c>
      <c r="F35" s="190">
        <f t="shared" si="37"/>
        <v>1</v>
      </c>
      <c r="G35" s="20">
        <f t="shared" ref="G35:H35" si="38">C35/E35</f>
        <v>686.84999999999991</v>
      </c>
      <c r="H35" s="20">
        <f t="shared" si="38"/>
        <v>1767.9199999999998</v>
      </c>
      <c r="I35" s="20">
        <v>1634</v>
      </c>
      <c r="J35" s="20">
        <f>N34+N33+N32+N26+N25+N24</f>
        <v>1532.1638888888888</v>
      </c>
      <c r="K35" s="20">
        <f>M35+M34+M33+M32+M26+M25-I35</f>
        <v>4747.75</v>
      </c>
      <c r="L35" s="48">
        <f t="shared" ref="L35:L36" si="39">K35+J35</f>
        <v>6279.9138888888883</v>
      </c>
      <c r="M35" s="20">
        <f t="shared" si="14"/>
        <v>2454.7699999999995</v>
      </c>
      <c r="N35" s="20">
        <f t="shared" si="8"/>
        <v>0</v>
      </c>
      <c r="O35" s="20">
        <f>SUMIF('DMRE 2017EB'!$A$4:$A$100,B35,'DMRE 2017EB'!$J$4:$J$100)</f>
        <v>0</v>
      </c>
      <c r="P35" s="20"/>
      <c r="Q35" s="48"/>
      <c r="R35" s="20"/>
      <c r="S35" s="20"/>
      <c r="T35" s="413"/>
      <c r="U35" s="20"/>
      <c r="V35" s="20"/>
    </row>
    <row r="36" spans="1:22">
      <c r="B36" s="179" t="s">
        <v>142</v>
      </c>
      <c r="C36" s="20">
        <f>SUMIF('SUT2017'!$E$1:$BT$1,$B36,'SUT2017'!$E$12:$BT$12)</f>
        <v>0</v>
      </c>
      <c r="D36" s="20">
        <f>SUMIF('SUT2017'!$E$1:$BT$1,$B36,'SUT2017'!$E$92:$BT$92)</f>
        <v>0</v>
      </c>
      <c r="E36" s="190">
        <f t="shared" ref="E36:F36" si="40">E$20</f>
        <v>1</v>
      </c>
      <c r="F36" s="190">
        <f t="shared" si="40"/>
        <v>1</v>
      </c>
      <c r="G36" s="20">
        <f t="shared" ref="G36:H36" si="41">C36/E36</f>
        <v>0</v>
      </c>
      <c r="H36" s="20">
        <f t="shared" si="41"/>
        <v>0</v>
      </c>
      <c r="I36" s="20"/>
      <c r="J36" s="20"/>
      <c r="K36" s="20"/>
      <c r="L36" s="48">
        <f t="shared" si="39"/>
        <v>0</v>
      </c>
      <c r="M36" s="20">
        <f t="shared" si="14"/>
        <v>0</v>
      </c>
      <c r="N36" s="20">
        <f t="shared" si="8"/>
        <v>28306.119444444445</v>
      </c>
      <c r="O36" s="20">
        <f>SUMIF('DMRE 2017EB'!$A$4:$A$100,B36,'DMRE 2017EB'!$J$4:$J$100)</f>
        <v>101902.03</v>
      </c>
      <c r="P36" s="20"/>
      <c r="Q36" s="20"/>
      <c r="R36" s="20"/>
      <c r="S36" s="20"/>
      <c r="T36" s="413"/>
      <c r="U36" s="20"/>
      <c r="V36" s="20"/>
    </row>
    <row r="37" spans="1:22">
      <c r="B37" s="179" t="s">
        <v>1526</v>
      </c>
      <c r="C37" s="20">
        <f>SUMIF('SUT2017'!$E$1:$BT$1,$B37,'SUT2017'!$E$12:$BT$12)</f>
        <v>0</v>
      </c>
      <c r="D37" s="20">
        <f>SUMIF('SUT2017'!$E$1:$BT$1,$B37,'SUT2017'!$E$92:$BT$92)</f>
        <v>0</v>
      </c>
      <c r="E37" s="190">
        <f t="shared" ref="E37:F37" si="42">E$20</f>
        <v>1</v>
      </c>
      <c r="F37" s="190">
        <f t="shared" si="42"/>
        <v>1</v>
      </c>
      <c r="G37" s="20">
        <f t="shared" ref="G37:H37" si="43">C37/E37</f>
        <v>0</v>
      </c>
      <c r="H37" s="20">
        <f t="shared" si="43"/>
        <v>0</v>
      </c>
      <c r="I37" s="20"/>
      <c r="K37" s="20"/>
      <c r="M37" s="20"/>
      <c r="N37" s="20">
        <f t="shared" si="8"/>
        <v>0</v>
      </c>
      <c r="O37" s="20"/>
      <c r="P37" s="20"/>
      <c r="Q37" s="20"/>
      <c r="R37" s="20"/>
      <c r="S37" s="20"/>
      <c r="T37" s="413"/>
      <c r="U37" s="20"/>
      <c r="V37" s="20"/>
    </row>
    <row r="38" spans="1:22">
      <c r="A38" s="10" t="str">
        <f t="shared" ref="A38:A41" si="44">B74</f>
        <v>Agriculture</v>
      </c>
      <c r="B38" s="179" t="s">
        <v>41</v>
      </c>
      <c r="C38" s="20">
        <f>SUMIF('SUT2017'!$E$1:$BT$1,$B38,'SUT2017'!$E$12:$BT$12)</f>
        <v>5254.59</v>
      </c>
      <c r="D38" s="20">
        <f>SUMIF('SUT2017'!$E$1:$BT$1,$B38,'SUT2017'!$E$92:$BT$92)</f>
        <v>0</v>
      </c>
      <c r="E38" s="190">
        <f>E$20</f>
        <v>1</v>
      </c>
      <c r="F38" s="190">
        <f>E38</f>
        <v>1</v>
      </c>
      <c r="G38" s="20">
        <f t="shared" ref="G38:H38" si="45">C38/E38</f>
        <v>5254.59</v>
      </c>
      <c r="H38" s="20">
        <f t="shared" si="45"/>
        <v>0</v>
      </c>
      <c r="I38" s="20"/>
      <c r="J38" s="20">
        <v>5711</v>
      </c>
      <c r="K38" s="20">
        <v>59</v>
      </c>
      <c r="L38" s="48">
        <f t="shared" ref="L38:L41" si="46">K38+J38</f>
        <v>5770</v>
      </c>
      <c r="M38" s="20">
        <f t="shared" ref="M38:M41" si="47">G38+H38</f>
        <v>5254.59</v>
      </c>
      <c r="N38" s="20">
        <f t="shared" si="8"/>
        <v>5968</v>
      </c>
      <c r="O38" s="20">
        <f>SUMIF('DMRE 2017EB'!$A$4:$A$100,B38,'DMRE 2017EB'!$J$4:$J$100)</f>
        <v>21484.799999999999</v>
      </c>
      <c r="P38" s="20"/>
      <c r="Q38" s="48"/>
      <c r="R38" s="20"/>
      <c r="S38" s="20"/>
      <c r="T38" s="413"/>
      <c r="U38" s="20"/>
      <c r="V38" s="20"/>
    </row>
    <row r="39" spans="1:22">
      <c r="A39" s="10" t="str">
        <f t="shared" si="44"/>
        <v>Commerce</v>
      </c>
      <c r="B39" s="179" t="s">
        <v>1080</v>
      </c>
      <c r="C39" s="20">
        <f>SUMIF('SUT2017'!$E$1:$BT$1,$B39,'SUT2017'!$E$12:$BT$12)</f>
        <v>23.12</v>
      </c>
      <c r="D39" s="20">
        <f>SUMIF('SUT2017'!$E$1:$BT$1,$B39,'SUT2017'!$E$92:$BT$92)</f>
        <v>30793.43</v>
      </c>
      <c r="E39" s="190">
        <v>1</v>
      </c>
      <c r="F39" s="190">
        <v>1</v>
      </c>
      <c r="G39" s="20">
        <f t="shared" ref="G39:H39" si="48">C39/E39</f>
        <v>23.12</v>
      </c>
      <c r="H39" s="20">
        <f t="shared" si="48"/>
        <v>30793.43</v>
      </c>
      <c r="I39" s="20"/>
      <c r="J39" s="20">
        <v>10539</v>
      </c>
      <c r="K39" s="20">
        <v>25306</v>
      </c>
      <c r="L39" s="48">
        <f t="shared" si="46"/>
        <v>35845</v>
      </c>
      <c r="M39" s="20">
        <f t="shared" si="47"/>
        <v>30816.55</v>
      </c>
      <c r="N39" s="20">
        <f t="shared" si="8"/>
        <v>37000</v>
      </c>
      <c r="O39" s="20">
        <f>SUMIF('DMRE 2017EB'!$A$4:$A$100,"Commerce and Public Services",'DMRE 2017EB'!$J$4:$J$100)</f>
        <v>133200</v>
      </c>
      <c r="P39" s="20"/>
      <c r="Q39" s="48"/>
      <c r="R39" s="20"/>
      <c r="S39" s="20"/>
      <c r="T39" s="413"/>
      <c r="U39" s="20"/>
      <c r="V39" s="20"/>
    </row>
    <row r="40" spans="1:22">
      <c r="A40" s="10" t="str">
        <f t="shared" si="44"/>
        <v>Residential</v>
      </c>
      <c r="B40" s="179" t="s">
        <v>56</v>
      </c>
      <c r="C40" s="20">
        <f>SUMIF('SUT2017'!$E$1:$BT$1,$B40,'SUT2017'!$E$12:$BT$12)</f>
        <v>5294</v>
      </c>
      <c r="D40" s="20">
        <f>SUMIF('SUT2017'!$E$1:$BT$1,$B40,'SUT2017'!$E$92:$BT$92)</f>
        <v>96391.28</v>
      </c>
      <c r="E40" s="190">
        <v>2</v>
      </c>
      <c r="F40" s="190">
        <v>2</v>
      </c>
      <c r="G40" s="20">
        <f t="shared" ref="G40:H40" si="49">C40/E40</f>
        <v>2647</v>
      </c>
      <c r="H40" s="20">
        <f t="shared" si="49"/>
        <v>48195.64</v>
      </c>
      <c r="I40" s="20"/>
      <c r="J40" s="20">
        <v>12302</v>
      </c>
      <c r="K40" s="20">
        <v>35568</v>
      </c>
      <c r="L40" s="48">
        <f t="shared" si="46"/>
        <v>47870</v>
      </c>
      <c r="M40" s="20">
        <f t="shared" si="47"/>
        <v>50842.64</v>
      </c>
      <c r="N40" s="20">
        <f t="shared" si="8"/>
        <v>48522.999999999993</v>
      </c>
      <c r="O40" s="20">
        <f>SUMIF('DMRE 2017EB'!$A$4:$A$100,B40,'DMRE 2017EB'!$J$4:$J$100)</f>
        <v>174682.8</v>
      </c>
      <c r="P40" s="20"/>
      <c r="Q40" s="48"/>
      <c r="R40" s="20"/>
      <c r="S40" s="20"/>
      <c r="T40" s="413"/>
      <c r="U40" s="20"/>
      <c r="V40" s="20"/>
    </row>
    <row r="41" spans="1:22">
      <c r="A41" s="10" t="str">
        <f t="shared" si="44"/>
        <v>Transport</v>
      </c>
      <c r="B41" s="179" t="s">
        <v>57</v>
      </c>
      <c r="C41" s="20">
        <f>SUMIF('SUT2017'!$E$1:$BT$1,$B41,'SUT2017'!$E$12:$BT$12)</f>
        <v>0</v>
      </c>
      <c r="D41" s="20">
        <f>SUMIF('SUT2017'!$E$1:$BT$1,$B41,'SUT2017'!$E$92:$BT$92)</f>
        <v>4110.2000000000007</v>
      </c>
      <c r="E41" s="190">
        <v>1.25</v>
      </c>
      <c r="F41" s="190">
        <v>1.25</v>
      </c>
      <c r="G41" s="20">
        <f t="shared" ref="G41:H41" si="50">C41/E41</f>
        <v>0</v>
      </c>
      <c r="H41" s="20">
        <f t="shared" si="50"/>
        <v>3288.1600000000008</v>
      </c>
      <c r="I41" s="20"/>
      <c r="J41" s="20">
        <v>3148</v>
      </c>
      <c r="K41" s="20">
        <v>334</v>
      </c>
      <c r="L41" s="48">
        <f t="shared" si="46"/>
        <v>3482</v>
      </c>
      <c r="M41" s="20">
        <f t="shared" si="47"/>
        <v>3288.1600000000008</v>
      </c>
      <c r="N41" s="20">
        <f t="shared" si="8"/>
        <v>3330.8166666666666</v>
      </c>
      <c r="O41" s="20">
        <f>SUMIF('DMRE 2017EB'!$A$4:$A$100,"Transport Sector",'DMRE 2017EB'!$J$4:$J$100)</f>
        <v>11990.94</v>
      </c>
      <c r="P41" s="20"/>
      <c r="Q41" s="48"/>
      <c r="R41" s="20"/>
      <c r="S41" s="20"/>
      <c r="T41" s="413"/>
      <c r="U41" s="20"/>
    </row>
    <row r="42" spans="1:22">
      <c r="A42" s="179"/>
      <c r="B42" s="179" t="s">
        <v>58</v>
      </c>
      <c r="E42" s="190"/>
      <c r="F42" s="190"/>
      <c r="H42" s="20"/>
      <c r="I42" s="20"/>
      <c r="J42" s="20"/>
      <c r="K42" s="20"/>
      <c r="L42" s="20"/>
      <c r="M42" s="20"/>
      <c r="N42" s="20">
        <f t="shared" si="8"/>
        <v>746</v>
      </c>
      <c r="O42" s="20">
        <f>SUMIF('DMRE 2017EB'!$A$4:$A$100,B42,'DMRE 2017EB'!$J$4:$J$100)</f>
        <v>2685.6</v>
      </c>
      <c r="Q42" s="48"/>
      <c r="U42" s="48"/>
    </row>
    <row r="43" spans="1:22">
      <c r="A43" s="14"/>
      <c r="B43" s="14" t="s">
        <v>1450</v>
      </c>
      <c r="E43" s="190"/>
      <c r="F43" s="190"/>
      <c r="J43" s="48">
        <f>SUM(J38:J42)+J20</f>
        <v>104007.7222222222</v>
      </c>
      <c r="K43" s="48">
        <f>SUM(K38:K42)+K19</f>
        <v>77267</v>
      </c>
      <c r="L43" s="48">
        <f>SUM(L38:L42)+L20</f>
        <v>180952.45944444445</v>
      </c>
      <c r="N43" s="48">
        <f t="shared" ref="N43:O43" si="51">SUM(N38:N42)+N20</f>
        <v>202675.07499999995</v>
      </c>
      <c r="O43" s="48">
        <f t="shared" si="51"/>
        <v>729630.27</v>
      </c>
      <c r="U43" s="48"/>
    </row>
    <row r="44" spans="1:22">
      <c r="B44" s="14" t="s">
        <v>1527</v>
      </c>
      <c r="E44" s="190"/>
      <c r="F44" s="190"/>
      <c r="J44" s="48">
        <f t="shared" ref="J44:L44" si="52">J43+J6</f>
        <v>110900.55555555553</v>
      </c>
      <c r="K44" s="48">
        <f t="shared" si="52"/>
        <v>77267</v>
      </c>
      <c r="L44" s="48">
        <f t="shared" si="52"/>
        <v>187845.29277777779</v>
      </c>
      <c r="M44" s="48">
        <f>SUM(M38:M42)+M20+M6</f>
        <v>186793.85660818714</v>
      </c>
      <c r="N44" s="48">
        <f t="shared" ref="N44:O44" si="53">N43+N6</f>
        <v>215079.35555555552</v>
      </c>
      <c r="O44" s="48">
        <f t="shared" si="53"/>
        <v>774285.68</v>
      </c>
    </row>
    <row r="45" spans="1:22">
      <c r="A45" s="14"/>
      <c r="E45" s="190"/>
      <c r="F45" s="190"/>
      <c r="N45" s="48">
        <f>N44+N17+N6</f>
        <v>248569.63888888888</v>
      </c>
    </row>
    <row r="46" spans="1:22">
      <c r="K46" s="14" t="s">
        <v>1528</v>
      </c>
      <c r="L46" s="20">
        <v>235054</v>
      </c>
    </row>
    <row r="47" spans="1:22">
      <c r="L47" s="14" t="s">
        <v>1529</v>
      </c>
    </row>
    <row r="48" spans="1:22">
      <c r="B48" s="14" t="s">
        <v>1502</v>
      </c>
    </row>
    <row r="49" spans="2:20">
      <c r="B49" s="15" t="s">
        <v>68</v>
      </c>
      <c r="L49" s="10">
        <f>L4/(1-K81)</f>
        <v>15887.617065556713</v>
      </c>
      <c r="P49" s="48"/>
      <c r="Q49" s="48"/>
      <c r="R49" s="20"/>
      <c r="S49" s="20"/>
      <c r="T49" s="20"/>
    </row>
    <row r="50" spans="2:20">
      <c r="B50" s="14"/>
      <c r="M50" s="14" t="s">
        <v>1530</v>
      </c>
      <c r="P50" s="48"/>
      <c r="Q50" s="48"/>
      <c r="R50" s="20"/>
      <c r="S50" s="20"/>
      <c r="T50" s="20"/>
    </row>
    <row r="51" spans="2:20">
      <c r="B51" s="15" t="s">
        <v>69</v>
      </c>
      <c r="N51" s="20" t="s">
        <v>1531</v>
      </c>
      <c r="O51" s="20" t="s">
        <v>1531</v>
      </c>
      <c r="P51" s="20" t="s">
        <v>1531</v>
      </c>
      <c r="Q51" s="20" t="s">
        <v>1531</v>
      </c>
      <c r="S51" s="20"/>
      <c r="T51" s="20"/>
    </row>
    <row r="52" spans="2:20">
      <c r="B52" s="14" t="s">
        <v>70</v>
      </c>
      <c r="N52" s="20" t="s">
        <v>1532</v>
      </c>
      <c r="O52" s="20" t="s">
        <v>1533</v>
      </c>
      <c r="P52" s="20" t="s">
        <v>1534</v>
      </c>
      <c r="Q52" s="14" t="s">
        <v>1535</v>
      </c>
      <c r="S52" s="20"/>
      <c r="T52" s="20"/>
    </row>
    <row r="53" spans="2:20">
      <c r="B53" s="179" t="s">
        <v>73</v>
      </c>
      <c r="L53" s="22">
        <f t="shared" ref="L53:M53" si="54">3027/3.6</f>
        <v>840.83333333333326</v>
      </c>
      <c r="M53" s="22">
        <f t="shared" si="54"/>
        <v>840.83333333333326</v>
      </c>
      <c r="N53" s="20">
        <f t="shared" ref="N53:N55" si="55">O53/3.6</f>
        <v>891.66666666666663</v>
      </c>
      <c r="O53" s="20">
        <v>3210</v>
      </c>
      <c r="P53" s="20">
        <v>2551</v>
      </c>
      <c r="Q53" s="20">
        <f t="shared" ref="Q53:Q55" si="56">P53/3.6</f>
        <v>708.61111111111109</v>
      </c>
      <c r="S53" s="20"/>
      <c r="T53" s="20"/>
    </row>
    <row r="54" spans="2:20">
      <c r="B54" s="179" t="s">
        <v>72</v>
      </c>
      <c r="L54" s="48">
        <f>L8</f>
        <v>4876</v>
      </c>
      <c r="M54" s="48">
        <f>L54+M61</f>
        <v>10480.43406</v>
      </c>
      <c r="N54" s="20">
        <f t="shared" si="55"/>
        <v>9488.3333333333339</v>
      </c>
      <c r="O54" s="20">
        <v>34158</v>
      </c>
      <c r="P54" s="14">
        <v>34158</v>
      </c>
      <c r="Q54" s="20">
        <f t="shared" si="56"/>
        <v>9488.3333333333339</v>
      </c>
      <c r="S54" s="20"/>
      <c r="T54" s="20"/>
    </row>
    <row r="55" spans="2:20">
      <c r="B55" s="14" t="s">
        <v>74</v>
      </c>
      <c r="L55" s="10">
        <f>4233.6/3.6</f>
        <v>1176</v>
      </c>
      <c r="M55" s="10">
        <f>L55</f>
        <v>1176</v>
      </c>
      <c r="N55" s="20">
        <f t="shared" si="55"/>
        <v>1666.9444444444443</v>
      </c>
      <c r="O55" s="20">
        <v>6001</v>
      </c>
      <c r="P55" s="14">
        <v>6001</v>
      </c>
      <c r="Q55" s="20">
        <f t="shared" si="56"/>
        <v>1666.9444444444443</v>
      </c>
    </row>
    <row r="56" spans="2:20">
      <c r="B56" s="14" t="s">
        <v>1536</v>
      </c>
      <c r="L56" s="22">
        <f>SUM(L53:L55)</f>
        <v>6892.833333333333</v>
      </c>
    </row>
    <row r="57" spans="2:20">
      <c r="B57" s="14" t="s">
        <v>76</v>
      </c>
    </row>
    <row r="58" spans="2:20">
      <c r="B58" s="179" t="s">
        <v>77</v>
      </c>
      <c r="L58" s="48"/>
      <c r="M58" s="48">
        <f>NERSA2018!K144/1000</f>
        <v>1741.2964899999999</v>
      </c>
    </row>
    <row r="59" spans="2:20">
      <c r="B59" s="14" t="s">
        <v>78</v>
      </c>
      <c r="M59" s="48">
        <f>NERSA2018!K147/1000</f>
        <v>708.33333333333326</v>
      </c>
    </row>
    <row r="60" spans="2:20">
      <c r="B60" s="179" t="s">
        <v>79</v>
      </c>
      <c r="M60" s="48">
        <f>(NERSA2017!K106+NERSA2017!K108)/1000</f>
        <v>1419.0496000000001</v>
      </c>
    </row>
    <row r="61" spans="2:20">
      <c r="B61" s="179" t="s">
        <v>80</v>
      </c>
      <c r="M61" s="48">
        <f>(NERSA2017!K107+NERSA2017!K109)/1000</f>
        <v>5604.4340600000005</v>
      </c>
    </row>
    <row r="62" spans="2:20">
      <c r="B62" s="15" t="s">
        <v>1505</v>
      </c>
      <c r="L62" s="14" t="s">
        <v>1537</v>
      </c>
      <c r="M62" s="14" t="s">
        <v>1538</v>
      </c>
    </row>
    <row r="63" spans="2:20">
      <c r="B63" s="14" t="s">
        <v>1420</v>
      </c>
      <c r="L63" s="48">
        <f t="shared" ref="L63:M63" si="57">SUM(L64:L72)</f>
        <v>87985.459444444437</v>
      </c>
      <c r="M63" s="48">
        <f t="shared" si="57"/>
        <v>91854.138867777758</v>
      </c>
      <c r="S63" s="48"/>
      <c r="T63" s="48"/>
    </row>
    <row r="64" spans="2:20">
      <c r="B64" s="14" t="s">
        <v>48</v>
      </c>
      <c r="L64" s="20">
        <f t="shared" ref="L64:L72" si="58">SUMIF($A$6:$A$44,B64,$L$6:$L$44)</f>
        <v>8884.82</v>
      </c>
      <c r="M64" s="48">
        <f>L64+M60</f>
        <v>10303.8696</v>
      </c>
      <c r="N64" s="20">
        <f t="shared" ref="N64:N72" si="59">O64/3.6</f>
        <v>7767.2222222222217</v>
      </c>
      <c r="O64" s="425">
        <v>27962</v>
      </c>
      <c r="P64" s="426">
        <v>29964</v>
      </c>
      <c r="Q64" s="20">
        <f t="shared" ref="Q64:Q72" si="60">P64/3.6</f>
        <v>8323.3333333333339</v>
      </c>
      <c r="S64" s="20"/>
      <c r="T64" s="20"/>
    </row>
    <row r="65" spans="2:20">
      <c r="B65" s="14" t="s">
        <v>46</v>
      </c>
      <c r="L65" s="20">
        <f t="shared" si="58"/>
        <v>14416.280619409101</v>
      </c>
      <c r="M65" s="48">
        <f>L65</f>
        <v>14416.280619409101</v>
      </c>
      <c r="N65" s="20">
        <f t="shared" si="59"/>
        <v>15306.388888888889</v>
      </c>
      <c r="O65" s="425">
        <v>55103</v>
      </c>
      <c r="P65" s="426">
        <v>57421</v>
      </c>
      <c r="Q65" s="20">
        <f t="shared" si="60"/>
        <v>15950.277777777777</v>
      </c>
      <c r="S65" s="20"/>
      <c r="T65" s="20"/>
    </row>
    <row r="66" spans="2:20">
      <c r="B66" s="14" t="s">
        <v>52</v>
      </c>
      <c r="L66" s="20">
        <f t="shared" si="58"/>
        <v>4153.4000000000005</v>
      </c>
      <c r="M66" s="48">
        <f>L66+M59</f>
        <v>4861.7333333333336</v>
      </c>
      <c r="N66" s="20">
        <f t="shared" si="59"/>
        <v>4457.2222222222217</v>
      </c>
      <c r="O66" s="426">
        <v>16046</v>
      </c>
      <c r="P66" s="426">
        <v>16861</v>
      </c>
      <c r="Q66" s="20">
        <f t="shared" si="60"/>
        <v>4683.6111111111113</v>
      </c>
      <c r="S66" s="20"/>
      <c r="T66" s="20"/>
    </row>
    <row r="67" spans="2:20">
      <c r="B67" s="14" t="s">
        <v>55</v>
      </c>
      <c r="L67" s="20">
        <f t="shared" si="58"/>
        <v>6279.9138888888883</v>
      </c>
      <c r="M67" s="48">
        <f t="shared" ref="M67:M71" si="61">L67</f>
        <v>6279.9138888888883</v>
      </c>
      <c r="N67" s="20">
        <f t="shared" si="59"/>
        <v>11641.944444444443</v>
      </c>
      <c r="O67" s="425">
        <v>41911</v>
      </c>
      <c r="P67" s="425">
        <v>41666</v>
      </c>
      <c r="Q67" s="20">
        <f t="shared" si="60"/>
        <v>11573.888888888889</v>
      </c>
      <c r="S67" s="20"/>
      <c r="T67" s="20"/>
    </row>
    <row r="68" spans="2:20">
      <c r="B68" s="14" t="s">
        <v>47</v>
      </c>
      <c r="L68" s="20">
        <f t="shared" si="58"/>
        <v>4808.8527139242306</v>
      </c>
      <c r="M68" s="48">
        <f t="shared" si="61"/>
        <v>4808.8527139242306</v>
      </c>
      <c r="N68" s="20">
        <f t="shared" si="59"/>
        <v>11683.333333333334</v>
      </c>
      <c r="O68" s="425">
        <v>42060</v>
      </c>
      <c r="P68" s="425">
        <v>32018</v>
      </c>
      <c r="Q68" s="20">
        <f t="shared" si="60"/>
        <v>8893.8888888888887</v>
      </c>
      <c r="S68" s="20"/>
      <c r="T68" s="20"/>
    </row>
    <row r="69" spans="2:20">
      <c r="B69" s="14" t="s">
        <v>45</v>
      </c>
      <c r="L69" s="20">
        <f t="shared" si="58"/>
        <v>30575.541666666664</v>
      </c>
      <c r="M69" s="48">
        <f t="shared" si="61"/>
        <v>30575.541666666664</v>
      </c>
      <c r="N69" s="20">
        <f t="shared" si="59"/>
        <v>29838.611111111109</v>
      </c>
      <c r="O69" s="425">
        <v>107419</v>
      </c>
      <c r="P69" s="425">
        <v>113480</v>
      </c>
      <c r="Q69" s="20">
        <f t="shared" si="60"/>
        <v>31522.222222222223</v>
      </c>
      <c r="S69" s="20"/>
      <c r="T69" s="20"/>
    </row>
    <row r="70" spans="2:20">
      <c r="B70" s="14" t="s">
        <v>51</v>
      </c>
      <c r="L70" s="20">
        <f t="shared" si="58"/>
        <v>1631.81</v>
      </c>
      <c r="M70" s="48">
        <f t="shared" si="61"/>
        <v>1631.81</v>
      </c>
      <c r="N70" s="20">
        <f t="shared" si="59"/>
        <v>701.66666666666663</v>
      </c>
      <c r="O70" s="425">
        <v>2526</v>
      </c>
      <c r="P70" s="425">
        <v>2697</v>
      </c>
      <c r="Q70" s="20">
        <f t="shared" si="60"/>
        <v>749.16666666666663</v>
      </c>
      <c r="S70" s="20"/>
      <c r="T70" s="20"/>
    </row>
    <row r="71" spans="2:20">
      <c r="B71" s="14" t="s">
        <v>50</v>
      </c>
      <c r="L71" s="20">
        <f t="shared" si="58"/>
        <v>15021.980555555554</v>
      </c>
      <c r="M71" s="48">
        <f t="shared" si="61"/>
        <v>15021.980555555554</v>
      </c>
      <c r="N71" s="20">
        <f t="shared" si="59"/>
        <v>18645.833333333332</v>
      </c>
      <c r="O71" s="426">
        <v>67125</v>
      </c>
      <c r="P71" s="426">
        <v>41943</v>
      </c>
      <c r="Q71" s="20">
        <f t="shared" si="60"/>
        <v>11650.833333333334</v>
      </c>
      <c r="S71" s="20"/>
    </row>
    <row r="72" spans="2:20">
      <c r="B72" s="14" t="s">
        <v>54</v>
      </c>
      <c r="L72" s="20">
        <f t="shared" si="58"/>
        <v>2212.86</v>
      </c>
      <c r="M72" s="48">
        <f>L72+M58</f>
        <v>3954.1564900000003</v>
      </c>
      <c r="N72" s="20">
        <f t="shared" si="59"/>
        <v>6314.4444444444443</v>
      </c>
      <c r="O72" s="425">
        <v>22732</v>
      </c>
      <c r="P72" s="426">
        <v>17886</v>
      </c>
      <c r="Q72" s="20">
        <f t="shared" si="60"/>
        <v>4968.333333333333</v>
      </c>
      <c r="S72" s="20"/>
      <c r="T72" s="20"/>
    </row>
    <row r="73" spans="2:20">
      <c r="L73" s="20"/>
      <c r="N73" s="20"/>
      <c r="O73" s="427"/>
      <c r="P73" s="427"/>
      <c r="Q73" s="20"/>
    </row>
    <row r="74" spans="2:20">
      <c r="B74" s="14" t="s">
        <v>41</v>
      </c>
      <c r="L74" s="20">
        <f t="shared" ref="L74:L77" si="62">SUMIF($A$6:$A$44,B74,$L$6:$L$44)</f>
        <v>5770</v>
      </c>
      <c r="M74" s="48">
        <f>L74</f>
        <v>5770</v>
      </c>
      <c r="N74" s="20">
        <f t="shared" ref="N74:N77" si="63">O74/3.6</f>
        <v>4785.833333333333</v>
      </c>
      <c r="O74" s="425">
        <v>17229</v>
      </c>
      <c r="P74" s="425">
        <v>19795</v>
      </c>
      <c r="Q74" s="20">
        <f t="shared" ref="Q74:Q77" si="64">P74/3.6</f>
        <v>5498.6111111111113</v>
      </c>
      <c r="T74" s="20"/>
    </row>
    <row r="75" spans="2:20">
      <c r="B75" s="14" t="s">
        <v>42</v>
      </c>
      <c r="L75" s="20">
        <f t="shared" si="62"/>
        <v>35845</v>
      </c>
      <c r="M75" s="48">
        <f>L75+M57</f>
        <v>35845</v>
      </c>
      <c r="N75" s="20">
        <f t="shared" si="63"/>
        <v>41620</v>
      </c>
      <c r="O75" s="425">
        <v>149832</v>
      </c>
      <c r="P75" s="426">
        <v>151414</v>
      </c>
      <c r="Q75" s="20">
        <f t="shared" si="64"/>
        <v>42059.444444444445</v>
      </c>
      <c r="R75" s="20"/>
      <c r="S75" s="20"/>
      <c r="T75" s="20"/>
    </row>
    <row r="76" spans="2:20">
      <c r="B76" s="14" t="s">
        <v>56</v>
      </c>
      <c r="L76" s="20">
        <f t="shared" si="62"/>
        <v>47870</v>
      </c>
      <c r="M76" s="48">
        <f t="shared" ref="M76:M77" si="65">L76</f>
        <v>47870</v>
      </c>
      <c r="N76" s="20">
        <f t="shared" si="63"/>
        <v>43284.166666666664</v>
      </c>
      <c r="O76" s="428">
        <f t="shared" ref="O76:P76" si="66">SUM(O90:O92)</f>
        <v>155823</v>
      </c>
      <c r="P76" s="428">
        <f t="shared" si="66"/>
        <v>168231</v>
      </c>
      <c r="Q76" s="20">
        <f t="shared" si="64"/>
        <v>46730.833333333336</v>
      </c>
      <c r="R76" s="20"/>
      <c r="S76" s="20"/>
      <c r="T76" s="20"/>
    </row>
    <row r="77" spans="2:20">
      <c r="B77" s="14" t="s">
        <v>57</v>
      </c>
      <c r="L77" s="20">
        <f t="shared" si="62"/>
        <v>3482</v>
      </c>
      <c r="M77" s="48">
        <f t="shared" si="65"/>
        <v>3482</v>
      </c>
      <c r="N77" s="20">
        <f t="shared" si="63"/>
        <v>3948.0555555555557</v>
      </c>
      <c r="O77" s="428">
        <f t="shared" ref="O77:P77" si="67">SUM(O93:O95)</f>
        <v>14213</v>
      </c>
      <c r="P77" s="428">
        <f t="shared" si="67"/>
        <v>16304</v>
      </c>
      <c r="Q77" s="20">
        <f t="shared" si="64"/>
        <v>4528.8888888888887</v>
      </c>
    </row>
    <row r="78" spans="2:20">
      <c r="B78" s="14" t="s">
        <v>1450</v>
      </c>
      <c r="L78" s="48">
        <f t="shared" ref="L78:M78" si="68">SUM(L74:L77)+L63</f>
        <v>180952.45944444445</v>
      </c>
      <c r="M78" s="48">
        <f t="shared" si="68"/>
        <v>184821.13886777777</v>
      </c>
      <c r="O78" s="427"/>
      <c r="P78" s="428"/>
      <c r="Q78" s="48"/>
    </row>
    <row r="79" spans="2:20">
      <c r="B79" s="14" t="s">
        <v>1449</v>
      </c>
      <c r="L79" s="48">
        <f>L78+L56</f>
        <v>187845.29277777779</v>
      </c>
      <c r="O79" s="427"/>
      <c r="P79" s="427"/>
    </row>
    <row r="80" spans="2:20">
      <c r="B80" s="14" t="s">
        <v>1524</v>
      </c>
      <c r="L80" s="48">
        <f>SUM(L81:L88)</f>
        <v>32689.762490688016</v>
      </c>
      <c r="O80" s="427"/>
      <c r="P80" s="427"/>
    </row>
    <row r="81" spans="2:16">
      <c r="B81" s="14" t="s">
        <v>81</v>
      </c>
      <c r="K81" s="50">
        <v>3.9E-2</v>
      </c>
      <c r="L81" s="48">
        <f>K81*L46</f>
        <v>9167.1059999999998</v>
      </c>
    </row>
    <row r="82" spans="2:16">
      <c r="B82" s="14" t="s">
        <v>82</v>
      </c>
      <c r="K82" s="326">
        <v>0.13</v>
      </c>
      <c r="L82" s="48">
        <f t="shared" ref="L82:L85" si="69">L74/(1-K82)-L74</f>
        <v>862.18390804597675</v>
      </c>
    </row>
    <row r="83" spans="2:16">
      <c r="B83" s="14" t="s">
        <v>83</v>
      </c>
      <c r="K83" s="50">
        <v>0.123</v>
      </c>
      <c r="L83" s="48">
        <f t="shared" si="69"/>
        <v>5027.2919042189314</v>
      </c>
    </row>
    <row r="84" spans="2:16">
      <c r="B84" s="14" t="s">
        <v>84</v>
      </c>
      <c r="K84" s="50">
        <v>0.19700000000000001</v>
      </c>
      <c r="L84" s="48">
        <f t="shared" si="69"/>
        <v>11743.947696139483</v>
      </c>
    </row>
    <row r="85" spans="2:16">
      <c r="B85" s="14" t="s">
        <v>85</v>
      </c>
      <c r="K85" s="50">
        <v>4.8000000000000001E-2</v>
      </c>
      <c r="L85" s="48">
        <f t="shared" si="69"/>
        <v>175.56302521008411</v>
      </c>
    </row>
    <row r="86" spans="2:16">
      <c r="B86" s="14" t="s">
        <v>86</v>
      </c>
      <c r="K86" s="326">
        <v>0.06</v>
      </c>
      <c r="L86" s="48">
        <f>(L63-L69)/(1-K86)-(L63-L69)</f>
        <v>3664.4628368794365</v>
      </c>
    </row>
    <row r="87" spans="2:16">
      <c r="B87" s="14" t="s">
        <v>87</v>
      </c>
      <c r="K87" s="326">
        <v>0.05</v>
      </c>
      <c r="L87" s="48">
        <f>L69/(1-K87)-L69</f>
        <v>1609.2390350877213</v>
      </c>
    </row>
    <row r="88" spans="2:16">
      <c r="B88" s="14" t="s">
        <v>88</v>
      </c>
      <c r="K88" s="326">
        <f>K86</f>
        <v>0.06</v>
      </c>
      <c r="L88" s="22">
        <f>L56/(1-K88)-L56</f>
        <v>439.96808510638311</v>
      </c>
    </row>
    <row r="89" spans="2:16">
      <c r="B89" s="14" t="s">
        <v>1539</v>
      </c>
      <c r="L89" s="48">
        <f>L80+L79+L49</f>
        <v>236422.67233402253</v>
      </c>
    </row>
    <row r="90" spans="2:16">
      <c r="N90" s="20" t="s">
        <v>1540</v>
      </c>
      <c r="O90" s="425">
        <v>25665</v>
      </c>
      <c r="P90" s="425">
        <v>25825</v>
      </c>
    </row>
    <row r="91" spans="2:16">
      <c r="N91" s="20" t="s">
        <v>1541</v>
      </c>
      <c r="O91" s="425">
        <v>43393</v>
      </c>
      <c r="P91" s="425">
        <v>47513</v>
      </c>
    </row>
    <row r="92" spans="2:16">
      <c r="N92" s="20" t="s">
        <v>1542</v>
      </c>
      <c r="O92" s="425">
        <v>86765</v>
      </c>
      <c r="P92" s="425">
        <v>94893</v>
      </c>
    </row>
    <row r="93" spans="2:16">
      <c r="N93" s="20" t="s">
        <v>1543</v>
      </c>
      <c r="O93" s="425">
        <v>2256</v>
      </c>
      <c r="P93" s="425">
        <v>2480</v>
      </c>
    </row>
    <row r="94" spans="2:16">
      <c r="N94" s="20" t="s">
        <v>1544</v>
      </c>
      <c r="O94" s="426">
        <v>2657</v>
      </c>
      <c r="P94" s="426">
        <v>2657</v>
      </c>
    </row>
    <row r="95" spans="2:16">
      <c r="N95" s="20" t="s">
        <v>1545</v>
      </c>
      <c r="O95" s="425">
        <v>9300</v>
      </c>
      <c r="P95" s="425">
        <v>11167</v>
      </c>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B1000"/>
  <sheetViews>
    <sheetView workbookViewId="0"/>
  </sheetViews>
  <sheetFormatPr defaultColWidth="11.21875" defaultRowHeight="15" customHeight="1"/>
  <cols>
    <col min="1" max="1" width="25.33203125" customWidth="1"/>
    <col min="2" max="26" width="10.5546875" customWidth="1"/>
  </cols>
  <sheetData>
    <row r="1" spans="1:2" ht="15.75" customHeight="1"/>
    <row r="2" spans="1:2" ht="15.75" customHeight="1"/>
    <row r="3" spans="1:2" ht="15.75" customHeight="1">
      <c r="B3" s="1" t="s">
        <v>426</v>
      </c>
    </row>
    <row r="4" spans="1:2" ht="15.75" customHeight="1">
      <c r="B4" s="201" t="str">
        <f>'DMRE 2017EB'!AS2</f>
        <v xml:space="preserve">     LPG</v>
      </c>
    </row>
    <row r="5" spans="1:2" ht="15.75" customHeight="1">
      <c r="A5" s="10" t="str">
        <f>'DMRE 2017EB'!N4</f>
        <v>Indigenous Production</v>
      </c>
      <c r="B5" s="1">
        <f t="array" ref="B5">SUMPRODUCT('DMRE 2017EB'!$Y$4:$AS$101*('DMRE 2017EB'!$N$4:$N$101=gas!$A5)*('DMRE 2017EB'!$Y$2:$AS$2=B$4))</f>
        <v>0</v>
      </c>
    </row>
    <row r="6" spans="1:2" ht="15.75" customHeight="1">
      <c r="A6" s="10" t="str">
        <f>'DMRE 2017EB'!N5</f>
        <v>Import</v>
      </c>
      <c r="B6" s="1">
        <f t="array" ref="B6">SUMPRODUCT('DMRE 2017EB'!$Y$4:$AS$101*('DMRE 2017EB'!$N$4:$N$101=gas!$A6)*('DMRE 2017EB'!$Y$2:$AS$2=B$4))</f>
        <v>4957.47998046875</v>
      </c>
    </row>
    <row r="7" spans="1:2" ht="15.75" customHeight="1">
      <c r="A7" s="10" t="str">
        <f>'DMRE 2017EB'!N6</f>
        <v>Export</v>
      </c>
      <c r="B7" s="1">
        <f t="array" ref="B7">SUMPRODUCT('DMRE 2017EB'!$Y$4:$AS$101*('DMRE 2017EB'!$N$4:$N$101=gas!$A7)*('DMRE 2017EB'!$Y$2:$AS$2=B$4))</f>
        <v>-2829.345458984375</v>
      </c>
    </row>
    <row r="8" spans="1:2" ht="15.75" customHeight="1">
      <c r="A8" s="208" t="str">
        <f>'DMRE 2017EB'!N9</f>
        <v>Domestic Supply</v>
      </c>
      <c r="B8" s="208">
        <f t="array" ref="B8">SUMPRODUCT('DMRE 2017EB'!$Y$4:$AS$101*('DMRE 2017EB'!$N$4:$N$101=gas!$A8)*('DMRE 2017EB'!$Y$2:$AS$2=B$4))</f>
        <v>2128.134521484375</v>
      </c>
    </row>
    <row r="9" spans="1:2" ht="15.75" customHeight="1">
      <c r="A9" s="210" t="str">
        <f>'DMRE 2017EB'!N12</f>
        <v>Statistical Differences</v>
      </c>
      <c r="B9" s="210">
        <f t="array" ref="B9">SUMPRODUCT('DMRE 2017EB'!$Y$4:$AS$101*('DMRE 2017EB'!$N$4:$N$101=gas!$A9)*('DMRE 2017EB'!$Y$2:$AS$2=B$4))</f>
        <v>-6182.7439339160919</v>
      </c>
    </row>
    <row r="10" spans="1:2" ht="15.75" customHeight="1">
      <c r="A10" s="212" t="str">
        <f>'DMRE 2017EB'!N13</f>
        <v>Transformation Sector</v>
      </c>
      <c r="B10" s="212">
        <f t="array" ref="B10">SUMPRODUCT('DMRE 2017EB'!$Y$4:$AS$101*('DMRE 2017EB'!$N$4:$N$101=gas!$A10)*('DMRE 2017EB'!$Y$2:$AS$2=B$4))</f>
        <v>19175.529296875</v>
      </c>
    </row>
    <row r="11" spans="1:2" ht="15.75" customHeight="1">
      <c r="A11" s="10" t="str">
        <f>'DMRE 2017EB'!N22</f>
        <v>Coke Ovens</v>
      </c>
      <c r="B11" s="1">
        <f t="array" ref="B11">SUMPRODUCT('DMRE 2017EB'!$Y$4:$AS$101*('DMRE 2017EB'!$N$4:$N$101=gas!$A11)*('DMRE 2017EB'!$Y$2:$AS$2=B$4))</f>
        <v>0</v>
      </c>
    </row>
    <row r="12" spans="1:2" ht="15.75" customHeight="1">
      <c r="A12" s="10" t="str">
        <f>'DMRE 2017EB'!N23</f>
        <v>Gas Works</v>
      </c>
      <c r="B12" s="1">
        <f t="array" ref="B12">SUMPRODUCT('DMRE 2017EB'!$Y$4:$AS$101*('DMRE 2017EB'!$N$4:$N$101=gas!$A12)*('DMRE 2017EB'!$Y$2:$AS$2=B$4))</f>
        <v>0</v>
      </c>
    </row>
    <row r="13" spans="1:2" ht="15.75" customHeight="1">
      <c r="A13" s="10" t="str">
        <f>'DMRE 2017EB'!N24</f>
        <v>Blast Furnaces</v>
      </c>
      <c r="B13" s="1">
        <f t="array" ref="B13">SUMPRODUCT('DMRE 2017EB'!$Y$4:$AS$101*('DMRE 2017EB'!$N$4:$N$101=gas!$A13)*('DMRE 2017EB'!$Y$2:$AS$2=B$4))</f>
        <v>0</v>
      </c>
    </row>
    <row r="14" spans="1:2" ht="15.75" customHeight="1">
      <c r="A14" s="10" t="str">
        <f>'DMRE 2017EB'!N27</f>
        <v>Oil Refineries</v>
      </c>
      <c r="B14" s="1">
        <f t="array" ref="B14">SUMPRODUCT('DMRE 2017EB'!$Y$4:$AS$101*('DMRE 2017EB'!$N$4:$N$101=gas!$A14)*('DMRE 2017EB'!$Y$2:$AS$2=B$4))</f>
        <v>19175.529296875</v>
      </c>
    </row>
    <row r="15" spans="1:2" ht="15.75" customHeight="1">
      <c r="A15" s="10" t="str">
        <f>'DMRE 2017EB'!N28</f>
        <v>Liquefaction</v>
      </c>
      <c r="B15" s="1">
        <f t="array" ref="B15">SUMPRODUCT('DMRE 2017EB'!$Y$4:$AS$101*('DMRE 2017EB'!$N$4:$N$101=gas!$A15)*('DMRE 2017EB'!$Y$2:$AS$2=B$4))</f>
        <v>0</v>
      </c>
    </row>
    <row r="16" spans="1:2" ht="15.75" customHeight="1">
      <c r="A16" s="212" t="str">
        <f>'DMRE 2017EB'!N31</f>
        <v>Energy Sector</v>
      </c>
      <c r="B16" s="212">
        <f t="array" ref="B16">SUMPRODUCT('DMRE 2017EB'!$Y$4:$AS$101*('DMRE 2017EB'!$N$4:$N$101=gas!$A16)*('DMRE 2017EB'!$Y$2:$AS$2=B$4))</f>
        <v>0</v>
      </c>
    </row>
    <row r="17" spans="1:2" ht="15.75" customHeight="1">
      <c r="A17" s="10" t="str">
        <f>'DMRE 2017EB'!N39</f>
        <v>Ownuse in Elec., CHP and Heat plant</v>
      </c>
      <c r="B17" s="1">
        <f t="array" ref="B17">SUMPRODUCT('DMRE 2017EB'!$Y$4:$AS$101*('DMRE 2017EB'!$N$4:$N$101=gas!$A17)*('DMRE 2017EB'!$Y$2:$AS$2=B$4))</f>
        <v>0</v>
      </c>
    </row>
    <row r="18" spans="1:2" ht="15.75" customHeight="1">
      <c r="A18" s="208" t="str">
        <f>'DMRE 2017EB'!N46</f>
        <v>Final Consumption</v>
      </c>
      <c r="B18" s="208">
        <f t="array" ref="B18">SUMPRODUCT('DMRE 2017EB'!$Y$4:$AS$101*('DMRE 2017EB'!$N$4:$N$101=gas!$A18)*('DMRE 2017EB'!$Y$2:$AS$2=B$4))</f>
        <v>15120.919884443283</v>
      </c>
    </row>
    <row r="19" spans="1:2" ht="15.75" customHeight="1">
      <c r="A19" s="212" t="str">
        <f>'DMRE 2017EB'!N48</f>
        <v>Industry Sector</v>
      </c>
      <c r="B19" s="212">
        <f t="array" ref="B19">SUMPRODUCT('DMRE 2017EB'!$Y$4:$AS$101*('DMRE 2017EB'!$N$4:$N$101=gas!$A19)*('DMRE 2017EB'!$Y$2:$AS$2=B$4))</f>
        <v>789.28086853027344</v>
      </c>
    </row>
    <row r="20" spans="1:2" ht="15.75" customHeight="1">
      <c r="A20" s="10" t="str">
        <f>'DMRE 2017EB'!N49</f>
        <v>Iron and Steel</v>
      </c>
      <c r="B20" s="1">
        <f t="array" ref="B20">SUMPRODUCT('DMRE 2017EB'!$Y$4:$AS$101*('DMRE 2017EB'!$N$4:$N$101=gas!$A20)*('DMRE 2017EB'!$Y$2:$AS$2=B$4))</f>
        <v>0</v>
      </c>
    </row>
    <row r="21" spans="1:2" ht="15.75" customHeight="1">
      <c r="A21" s="10" t="str">
        <f>'DMRE 2017EB'!N50</f>
        <v>Chemical and Petrochemical</v>
      </c>
      <c r="B21" s="1">
        <f t="array" ref="B21">SUMPRODUCT('DMRE 2017EB'!$Y$4:$AS$101*('DMRE 2017EB'!$N$4:$N$101=gas!$A21)*('DMRE 2017EB'!$Y$2:$AS$2=B$4))</f>
        <v>0</v>
      </c>
    </row>
    <row r="22" spans="1:2" ht="15.75" customHeight="1">
      <c r="A22" s="10" t="str">
        <f>'DMRE 2017EB'!N51</f>
        <v>Non-Ferrous Metals</v>
      </c>
      <c r="B22" s="1">
        <f t="array" ref="B22">SUMPRODUCT('DMRE 2017EB'!$Y$4:$AS$101*('DMRE 2017EB'!$N$4:$N$101=gas!$A22)*('DMRE 2017EB'!$Y$2:$AS$2=B$4))</f>
        <v>0</v>
      </c>
    </row>
    <row r="23" spans="1:2" ht="15.75" customHeight="1">
      <c r="A23" s="10" t="str">
        <f>'DMRE 2017EB'!N52</f>
        <v>Non-Metallic Minerals</v>
      </c>
      <c r="B23" s="1">
        <f t="array" ref="B23">SUMPRODUCT('DMRE 2017EB'!$Y$4:$AS$101*('DMRE 2017EB'!$N$4:$N$101=gas!$A23)*('DMRE 2017EB'!$Y$2:$AS$2=B$4))</f>
        <v>0</v>
      </c>
    </row>
    <row r="24" spans="1:2" ht="15.75" customHeight="1">
      <c r="A24" s="10" t="str">
        <f>'DMRE 2017EB'!N53</f>
        <v>Transport Equipment</v>
      </c>
      <c r="B24" s="1">
        <f t="array" ref="B24">SUMPRODUCT('DMRE 2017EB'!$Y$4:$AS$101*('DMRE 2017EB'!$N$4:$N$101=gas!$A24)*('DMRE 2017EB'!$Y$2:$AS$2=B$4))</f>
        <v>0</v>
      </c>
    </row>
    <row r="25" spans="1:2" ht="15.75" customHeight="1">
      <c r="A25" s="10" t="str">
        <f>'DMRE 2017EB'!N54</f>
        <v>Machinery</v>
      </c>
      <c r="B25" s="1">
        <f t="array" ref="B25">SUMPRODUCT('DMRE 2017EB'!$Y$4:$AS$101*('DMRE 2017EB'!$N$4:$N$101=gas!$A25)*('DMRE 2017EB'!$Y$2:$AS$2=B$4))</f>
        <v>555.81072998046875</v>
      </c>
    </row>
    <row r="26" spans="1:2" ht="15.75" customHeight="1">
      <c r="A26" s="10" t="str">
        <f>'DMRE 2017EB'!N55</f>
        <v>Mining and Quarrying</v>
      </c>
      <c r="B26" s="1">
        <f t="array" ref="B26">SUMPRODUCT('DMRE 2017EB'!$Y$4:$AS$101*('DMRE 2017EB'!$N$4:$N$101=gas!$A26)*('DMRE 2017EB'!$Y$2:$AS$2=B$4))</f>
        <v>135.85734558105469</v>
      </c>
    </row>
    <row r="27" spans="1:2" ht="15.75" customHeight="1">
      <c r="A27" s="10" t="str">
        <f>'DMRE 2017EB'!N56</f>
        <v>Food and Tobacco</v>
      </c>
      <c r="B27" s="1">
        <f t="array" ref="B27">SUMPRODUCT('DMRE 2017EB'!$Y$4:$AS$101*('DMRE 2017EB'!$N$4:$N$101=gas!$A27)*('DMRE 2017EB'!$Y$2:$AS$2=B$4))</f>
        <v>0</v>
      </c>
    </row>
    <row r="28" spans="1:2" ht="15.75" customHeight="1">
      <c r="A28" s="10" t="str">
        <f>'DMRE 2017EB'!N57</f>
        <v>Paper Pulp and Print</v>
      </c>
      <c r="B28" s="1">
        <f t="array" ref="B28">SUMPRODUCT('DMRE 2017EB'!$Y$4:$AS$101*('DMRE 2017EB'!$N$4:$N$101=gas!$A28)*('DMRE 2017EB'!$Y$2:$AS$2=B$4))</f>
        <v>0</v>
      </c>
    </row>
    <row r="29" spans="1:2" ht="15.75" customHeight="1">
      <c r="A29" s="10" t="str">
        <f>'DMRE 2017EB'!N58</f>
        <v>Wood and Wood Products</v>
      </c>
      <c r="B29" s="1">
        <f t="array" ref="B29">SUMPRODUCT('DMRE 2017EB'!$Y$4:$AS$101*('DMRE 2017EB'!$N$4:$N$101=gas!$A29)*('DMRE 2017EB'!$Y$2:$AS$2=B$4))</f>
        <v>0</v>
      </c>
    </row>
    <row r="30" spans="1:2" ht="15.75" customHeight="1">
      <c r="A30" s="10" t="str">
        <f>'DMRE 2017EB'!N59</f>
        <v>Construction</v>
      </c>
      <c r="B30" s="1">
        <f t="array" ref="B30">SUMPRODUCT('DMRE 2017EB'!$Y$4:$AS$101*('DMRE 2017EB'!$N$4:$N$101=gas!$A30)*('DMRE 2017EB'!$Y$2:$AS$2=B$4))</f>
        <v>0</v>
      </c>
    </row>
    <row r="31" spans="1:2" ht="15.75" customHeight="1">
      <c r="A31" s="10" t="str">
        <f>'DMRE 2017EB'!N60</f>
        <v>Textile and Leather</v>
      </c>
      <c r="B31" s="1">
        <f t="array" ref="B31">SUMPRODUCT('DMRE 2017EB'!$Y$4:$AS$101*('DMRE 2017EB'!$N$4:$N$101=gas!$A31)*('DMRE 2017EB'!$Y$2:$AS$2=B$4))</f>
        <v>97.61279296875</v>
      </c>
    </row>
    <row r="32" spans="1:2" ht="15.75" customHeight="1">
      <c r="A32" s="10" t="str">
        <f>'DMRE 2017EB'!N61</f>
        <v>Non-specified (Industry)</v>
      </c>
      <c r="B32" s="1">
        <f t="array" ref="B32">SUMPRODUCT('DMRE 2017EB'!$Y$4:$AS$101*('DMRE 2017EB'!$N$4:$N$101=gas!$A32)*('DMRE 2017EB'!$Y$2:$AS$2=B$4))</f>
        <v>0</v>
      </c>
    </row>
    <row r="33" spans="1:2" ht="15.75" customHeight="1">
      <c r="A33" s="212" t="str">
        <f>'DMRE 2017EB'!N72</f>
        <v>Other Sectors</v>
      </c>
      <c r="B33" s="212">
        <f t="array" ref="B33">SUMPRODUCT('DMRE 2017EB'!$Y$4:$AS$101*('DMRE 2017EB'!$N$4:$N$101=gas!$A33)*('DMRE 2017EB'!$Y$2:$AS$2=B$4))</f>
        <v>14205.678559064865</v>
      </c>
    </row>
    <row r="34" spans="1:2" ht="15.75" customHeight="1">
      <c r="A34" s="212" t="str">
        <f>'DMRE 2017EB'!N73</f>
        <v>Agriculture</v>
      </c>
      <c r="B34" s="212">
        <f t="array" ref="B34">SUMPRODUCT('DMRE 2017EB'!$Y$4:$AS$101*('DMRE 2017EB'!$N$4:$N$101=gas!$A34)*('DMRE 2017EB'!$Y$2:$AS$2=B$4))</f>
        <v>1.0114448070526123</v>
      </c>
    </row>
    <row r="35" spans="1:2" ht="15.75" customHeight="1">
      <c r="A35" s="212" t="str">
        <f>'DMRE 2017EB'!N74</f>
        <v>Commerce and Public Services</v>
      </c>
      <c r="B35" s="212">
        <f t="array" ref="B35">SUMPRODUCT('DMRE 2017EB'!$Y$4:$AS$101*('DMRE 2017EB'!$N$4:$N$101=gas!$A35)*('DMRE 2017EB'!$Y$2:$AS$2=B$4))</f>
        <v>1846.6065673828125</v>
      </c>
    </row>
    <row r="36" spans="1:2" ht="15.75" customHeight="1">
      <c r="A36" s="212" t="str">
        <f>'DMRE 2017EB'!N75</f>
        <v>Residential</v>
      </c>
      <c r="B36" s="212">
        <f t="array" ref="B36">SUMPRODUCT('DMRE 2017EB'!$Y$4:$AS$101*('DMRE 2017EB'!$N$4:$N$101=gas!$A36)*('DMRE 2017EB'!$Y$2:$AS$2=B$4))</f>
        <v>12358.060546875</v>
      </c>
    </row>
    <row r="37" spans="1:2" ht="15.75" customHeight="1"/>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SATIM Energy balance 2017 (new)</vt:lpstr>
      <vt:lpstr>Sheet12</vt:lpstr>
      <vt:lpstr>DMRE 2016EB</vt:lpstr>
      <vt:lpstr>DMRE 2017EB</vt:lpstr>
      <vt:lpstr>elec</vt:lpstr>
      <vt:lpstr>EskomSales</vt:lpstr>
      <vt:lpstr>gas</vt:lpstr>
      <vt:lpstr>HFO</vt:lpstr>
      <vt:lpstr>Inventory</vt:lpstr>
      <vt:lpstr>Wood</vt:lpstr>
      <vt:lpstr>NERSA2018</vt:lpstr>
      <vt:lpstr>NERSA2017</vt:lpstr>
      <vt:lpstr>SUT2017</vt:lpstr>
      <vt:lpstr>SUTCoal</vt:lpstr>
      <vt:lpstr>SUTElec</vt:lpstr>
      <vt:lpstr>Petroleum products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Bruno</cp:lastModifiedBy>
  <dcterms:created xsi:type="dcterms:W3CDTF">2021-10-27T09:18:09Z</dcterms:created>
  <dcterms:modified xsi:type="dcterms:W3CDTF">2021-10-27T09:18:09Z</dcterms:modified>
</cp:coreProperties>
</file>