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Models\SATIMGE\Model Documentation\SATIM\Energy Balance\Natural Gas\"/>
    </mc:Choice>
  </mc:AlternateContent>
  <xr:revisionPtr revIDLastSave="0" documentId="13_ncr:1_{0D52AB9E-A22C-4425-85A9-353C2C4E6723}" xr6:coauthVersionLast="47" xr6:coauthVersionMax="47" xr10:uidLastSave="{00000000-0000-0000-0000-000000000000}"/>
  <bookViews>
    <workbookView xWindow="-108" yWindow="-108" windowWidth="23256" windowHeight="12576" activeTab="3" xr2:uid="{BA5F48AB-374C-4CFF-8664-8A062C7CF67D}"/>
  </bookViews>
  <sheets>
    <sheet name="GasBalance" sheetId="1" r:id="rId1"/>
    <sheet name="GasBalance SATIM" sheetId="3" r:id="rId2"/>
    <sheet name="GasBalance for word" sheetId="2" r:id="rId3"/>
    <sheet name="GasBalanceSATIM edited"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23" i="2" l="1"/>
  <c r="G23" i="4" l="1"/>
  <c r="C9" i="4"/>
  <c r="D9" i="4"/>
  <c r="G19" i="4"/>
  <c r="E27" i="4"/>
  <c r="E16" i="4" s="1"/>
  <c r="E9" i="4" s="1"/>
  <c r="C9" i="2"/>
  <c r="B5" i="3" l="1"/>
  <c r="B6" i="3"/>
  <c r="B7" i="3"/>
  <c r="B8" i="3"/>
  <c r="B9" i="3"/>
  <c r="B10" i="3"/>
  <c r="B11" i="3"/>
  <c r="B12" i="3"/>
  <c r="B13" i="3"/>
  <c r="B14" i="3"/>
  <c r="B15" i="3"/>
  <c r="B16" i="3"/>
  <c r="B17" i="3"/>
  <c r="B18" i="3"/>
  <c r="B19" i="3"/>
  <c r="B20" i="3"/>
  <c r="B4" i="3"/>
  <c r="B23" i="3"/>
  <c r="B24" i="3"/>
  <c r="B25" i="3"/>
  <c r="B38" i="3"/>
  <c r="B22" i="3"/>
  <c r="G19" i="2" l="1"/>
  <c r="E27" i="2"/>
  <c r="E16" i="2" s="1"/>
  <c r="E9" i="2" s="1"/>
  <c r="D9" i="2"/>
  <c r="X23" i="1"/>
  <c r="X16" i="1"/>
  <c r="O63" i="1"/>
  <c r="T9" i="1"/>
  <c r="U9" i="1"/>
  <c r="V29" i="1"/>
  <c r="V20" i="1" s="1"/>
  <c r="V9" i="1" s="1"/>
  <c r="D22" i="3" l="1"/>
  <c r="M32" i="1"/>
  <c r="N32" i="1" s="1"/>
  <c r="G8" i="4" s="1"/>
  <c r="N29" i="1"/>
  <c r="X8" i="1" l="1"/>
  <c r="G8" i="2"/>
  <c r="AG59" i="1"/>
  <c r="O65" i="1"/>
  <c r="O64" i="1"/>
  <c r="P63" i="1"/>
  <c r="N44" i="1"/>
  <c r="G24" i="2"/>
  <c r="G15" i="2"/>
  <c r="D15" i="3" s="1"/>
  <c r="U56" i="1"/>
  <c r="O50" i="1"/>
  <c r="N45" i="1"/>
  <c r="N51" i="1" s="1"/>
  <c r="N43" i="1"/>
  <c r="N39" i="1"/>
  <c r="N38" i="1"/>
  <c r="G20" i="4" s="1"/>
  <c r="N37" i="1"/>
  <c r="A40" i="4"/>
  <c r="A38" i="4"/>
  <c r="N33" i="1"/>
  <c r="G7" i="4" s="1"/>
  <c r="N30" i="1"/>
  <c r="A34" i="4"/>
  <c r="A31" i="4"/>
  <c r="A28" i="4"/>
  <c r="A27" i="4"/>
  <c r="X12" i="1" l="1"/>
  <c r="G11" i="4"/>
  <c r="D18" i="3"/>
  <c r="G24" i="4"/>
  <c r="A25" i="2"/>
  <c r="B26" i="3" s="1"/>
  <c r="A25" i="4"/>
  <c r="A32" i="2"/>
  <c r="B33" i="3" s="1"/>
  <c r="A32" i="4"/>
  <c r="A35" i="2"/>
  <c r="B36" i="3" s="1"/>
  <c r="A35" i="4"/>
  <c r="A33" i="2"/>
  <c r="B34" i="3" s="1"/>
  <c r="A33" i="4"/>
  <c r="A36" i="2"/>
  <c r="B37" i="3" s="1"/>
  <c r="A36" i="4"/>
  <c r="A26" i="2"/>
  <c r="B27" i="3" s="1"/>
  <c r="A26" i="4"/>
  <c r="A30" i="2"/>
  <c r="B31" i="3" s="1"/>
  <c r="A30" i="4"/>
  <c r="A29" i="2"/>
  <c r="B30" i="3" s="1"/>
  <c r="A29" i="4"/>
  <c r="A39" i="2"/>
  <c r="B40" i="3" s="1"/>
  <c r="A39" i="4"/>
  <c r="X18" i="1"/>
  <c r="G15" i="4"/>
  <c r="D8" i="3"/>
  <c r="N50" i="1"/>
  <c r="G11" i="2"/>
  <c r="D11" i="3" s="1"/>
  <c r="A27" i="2"/>
  <c r="B28" i="3" s="1"/>
  <c r="X7" i="1"/>
  <c r="G7" i="2"/>
  <c r="D7" i="3" s="1"/>
  <c r="A28" i="2"/>
  <c r="B29" i="3" s="1"/>
  <c r="A38" i="2"/>
  <c r="B39" i="3" s="1"/>
  <c r="A40" i="2"/>
  <c r="B41" i="3" s="1"/>
  <c r="R33" i="1"/>
  <c r="A31" i="2"/>
  <c r="B32" i="3" s="1"/>
  <c r="N36" i="1"/>
  <c r="N48" i="1"/>
  <c r="G20" i="2"/>
  <c r="A34" i="2"/>
  <c r="B35" i="3" s="1"/>
  <c r="X24" i="1"/>
  <c r="U53" i="1"/>
  <c r="AG61" i="1"/>
  <c r="R27" i="1"/>
  <c r="R37" i="1"/>
  <c r="AG54" i="1"/>
  <c r="R40" i="1"/>
  <c r="R28" i="1"/>
  <c r="R29" i="1"/>
  <c r="R36" i="1"/>
  <c r="X19" i="1"/>
  <c r="R30" i="1"/>
  <c r="M35" i="1"/>
  <c r="N35" i="1" s="1"/>
  <c r="R38" i="1"/>
  <c r="R32" i="1"/>
  <c r="R35" i="1"/>
  <c r="R41" i="1"/>
  <c r="F12" i="4"/>
  <c r="F10" i="4" s="1"/>
  <c r="C39" i="1"/>
  <c r="R31" i="1"/>
  <c r="R34" i="1"/>
  <c r="F6" i="4"/>
  <c r="R42" i="1"/>
  <c r="G39" i="4"/>
  <c r="F39" i="4" s="1"/>
  <c r="G40" i="4" l="1"/>
  <c r="F40" i="4" s="1"/>
  <c r="D23" i="3"/>
  <c r="G29" i="4"/>
  <c r="F29" i="4" s="1"/>
  <c r="G28" i="4"/>
  <c r="F28" i="4" s="1"/>
  <c r="D16" i="3"/>
  <c r="X17" i="1"/>
  <c r="G26" i="4"/>
  <c r="F26" i="4" s="1"/>
  <c r="G30" i="4"/>
  <c r="F30" i="4" s="1"/>
  <c r="F18" i="4"/>
  <c r="G27" i="4"/>
  <c r="F27" i="4" s="1"/>
  <c r="G36" i="4"/>
  <c r="F36" i="4" s="1"/>
  <c r="F5" i="4"/>
  <c r="G6" i="4"/>
  <c r="G38" i="4"/>
  <c r="G35" i="4"/>
  <c r="F35" i="4" s="1"/>
  <c r="W8" i="1"/>
  <c r="F8" i="4"/>
  <c r="G25" i="4"/>
  <c r="F25" i="4" s="1"/>
  <c r="G34" i="4"/>
  <c r="F34" i="4" s="1"/>
  <c r="G32" i="4"/>
  <c r="F32" i="4" s="1"/>
  <c r="G33" i="4"/>
  <c r="F33" i="4" s="1"/>
  <c r="G31" i="4"/>
  <c r="F31" i="4" s="1"/>
  <c r="D17" i="3"/>
  <c r="G25" i="2"/>
  <c r="G29" i="2"/>
  <c r="G28" i="2"/>
  <c r="N47" i="1"/>
  <c r="G33" i="2"/>
  <c r="G36" i="2"/>
  <c r="G34" i="2"/>
  <c r="X42" i="1"/>
  <c r="U73" i="1" s="1"/>
  <c r="G40" i="2"/>
  <c r="F8" i="2"/>
  <c r="X40" i="1"/>
  <c r="G38" i="2"/>
  <c r="D39" i="3" s="1"/>
  <c r="G32" i="2"/>
  <c r="G30" i="2"/>
  <c r="G35" i="2"/>
  <c r="G26" i="2"/>
  <c r="F18" i="2"/>
  <c r="G27" i="2"/>
  <c r="W17" i="1"/>
  <c r="W6" i="1"/>
  <c r="W5" i="1" s="1"/>
  <c r="F6" i="2"/>
  <c r="G6" i="2" s="1"/>
  <c r="G13" i="2" s="1"/>
  <c r="G31" i="2"/>
  <c r="X41" i="1"/>
  <c r="U72" i="1" s="1"/>
  <c r="G39" i="2"/>
  <c r="W13" i="1"/>
  <c r="F12" i="2"/>
  <c r="F10" i="2" s="1"/>
  <c r="X28" i="1"/>
  <c r="W28" i="1" s="1"/>
  <c r="X27" i="1"/>
  <c r="X30" i="1"/>
  <c r="W30" i="1" s="1"/>
  <c r="W22" i="1"/>
  <c r="X35" i="1"/>
  <c r="W35" i="1" s="1"/>
  <c r="X33" i="1"/>
  <c r="U68" i="1" s="1"/>
  <c r="C38" i="1"/>
  <c r="G38" i="1" s="1"/>
  <c r="N19" i="1"/>
  <c r="D38" i="1"/>
  <c r="X38" i="1"/>
  <c r="W38" i="1" s="1"/>
  <c r="X37" i="1"/>
  <c r="W37" i="1" s="1"/>
  <c r="X29" i="1"/>
  <c r="W29" i="1" s="1"/>
  <c r="X31" i="1"/>
  <c r="W31" i="1" s="1"/>
  <c r="X36" i="1"/>
  <c r="W36" i="1" s="1"/>
  <c r="X34" i="1"/>
  <c r="X32" i="1"/>
  <c r="W9" i="1" l="1"/>
  <c r="F17" i="4"/>
  <c r="G5" i="4"/>
  <c r="G9" i="4" s="1"/>
  <c r="G13" i="4"/>
  <c r="U52" i="1"/>
  <c r="G14" i="4"/>
  <c r="G37" i="4"/>
  <c r="G21" i="4" s="1"/>
  <c r="F38" i="4"/>
  <c r="F37" i="4" s="1"/>
  <c r="F9" i="4"/>
  <c r="F4" i="4" s="1"/>
  <c r="W11" i="1"/>
  <c r="F40" i="2"/>
  <c r="D41" i="3"/>
  <c r="F39" i="2"/>
  <c r="D40" i="3"/>
  <c r="F34" i="2"/>
  <c r="D35" i="3"/>
  <c r="F36" i="2"/>
  <c r="D37" i="3"/>
  <c r="F33" i="2"/>
  <c r="D34" i="3"/>
  <c r="F30" i="2"/>
  <c r="D31" i="3"/>
  <c r="F31" i="2"/>
  <c r="D32" i="3"/>
  <c r="F26" i="2"/>
  <c r="D27" i="3"/>
  <c r="F29" i="2"/>
  <c r="D30" i="3"/>
  <c r="F27" i="2"/>
  <c r="D28" i="3"/>
  <c r="F35" i="2"/>
  <c r="D36" i="3"/>
  <c r="F28" i="2"/>
  <c r="D29" i="3"/>
  <c r="F32" i="2"/>
  <c r="D33" i="3"/>
  <c r="F25" i="2"/>
  <c r="D26" i="3"/>
  <c r="X15" i="1"/>
  <c r="G14" i="2"/>
  <c r="D14" i="3" s="1"/>
  <c r="N52" i="1"/>
  <c r="X39" i="1"/>
  <c r="X25" i="1" s="1"/>
  <c r="X26" i="1" s="1"/>
  <c r="W41" i="1"/>
  <c r="F38" i="2"/>
  <c r="G37" i="2"/>
  <c r="F5" i="2"/>
  <c r="F9" i="2" s="1"/>
  <c r="D6" i="3"/>
  <c r="W33" i="1"/>
  <c r="X6" i="1"/>
  <c r="W27" i="1"/>
  <c r="E38" i="1"/>
  <c r="F38" i="1" s="1"/>
  <c r="W42" i="1"/>
  <c r="AG55" i="1"/>
  <c r="H38" i="1"/>
  <c r="I38" i="1" s="1"/>
  <c r="U64" i="1"/>
  <c r="U65" i="1"/>
  <c r="U70" i="1"/>
  <c r="U66" i="1"/>
  <c r="W40" i="1"/>
  <c r="U67" i="1"/>
  <c r="W32" i="1"/>
  <c r="W34" i="1"/>
  <c r="U69" i="1"/>
  <c r="G12" i="2" l="1"/>
  <c r="G10" i="2" s="1"/>
  <c r="G12" i="4"/>
  <c r="G10" i="4" s="1"/>
  <c r="G4" i="4" s="1"/>
  <c r="F16" i="4"/>
  <c r="G22" i="4"/>
  <c r="G18" i="4" s="1"/>
  <c r="F17" i="2"/>
  <c r="F4" i="2"/>
  <c r="F37" i="2"/>
  <c r="G21" i="2"/>
  <c r="D38" i="3"/>
  <c r="W39" i="1"/>
  <c r="W21" i="1"/>
  <c r="G5" i="2"/>
  <c r="G9" i="2" s="1"/>
  <c r="X5" i="1"/>
  <c r="X9" i="1" s="1"/>
  <c r="X14" i="1"/>
  <c r="AF44" i="1" s="1"/>
  <c r="U62" i="1"/>
  <c r="F39" i="1"/>
  <c r="G4" i="2" l="1"/>
  <c r="G17" i="4"/>
  <c r="G16" i="4" s="1"/>
  <c r="I2" i="4" s="1"/>
  <c r="G22" i="2"/>
  <c r="G18" i="2" s="1"/>
  <c r="G17" i="2" s="1"/>
  <c r="G16" i="2" s="1"/>
  <c r="F16" i="2"/>
  <c r="W20" i="1"/>
  <c r="W10" i="1" s="1"/>
  <c r="D5" i="3"/>
  <c r="D13" i="3"/>
  <c r="D24" i="3"/>
  <c r="X13" i="1"/>
  <c r="X11" i="1" s="1"/>
  <c r="U63" i="1"/>
  <c r="AG53" i="1" s="1"/>
  <c r="X22" i="1"/>
  <c r="X21" i="1" s="1"/>
  <c r="X20" i="1" s="1"/>
  <c r="AG52" i="1"/>
  <c r="AF45" i="1"/>
  <c r="AG60" i="1" s="1"/>
  <c r="AG62" i="1" s="1"/>
  <c r="X44" i="1"/>
  <c r="D20" i="3" l="1"/>
  <c r="X10" i="1"/>
  <c r="D9" i="3"/>
  <c r="D25" i="3"/>
  <c r="D10" i="3"/>
  <c r="D12" i="3"/>
  <c r="AG56" i="1"/>
  <c r="Z11" i="1"/>
  <c r="E9" i="3" l="1"/>
  <c r="D21" i="3"/>
  <c r="D4" i="3"/>
  <c r="D1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X25" authorId="0" shapeId="0" xr:uid="{A78219F1-1C89-4001-9083-2C433BBD72CE}">
      <text>
        <r>
          <rPr>
            <sz val="12"/>
            <color theme="1"/>
            <rFont val="Arial"/>
            <family val="2"/>
          </rPr>
          <t>How much of this is combustion and how much is material use? Brett?
	-Bruno Merven</t>
        </r>
      </text>
    </comment>
    <comment ref="N47" authorId="0" shapeId="0" xr:uid="{C2F6F72B-92BC-4849-81EB-0BCEB8C26470}">
      <text>
        <r>
          <rPr>
            <sz val="12"/>
            <color theme="1"/>
            <rFont val="Arial"/>
            <family val="2"/>
          </rPr>
          <t>This is uncertain and is used as balancing quantity.
	-Bruno Merven</t>
        </r>
      </text>
    </comment>
    <comment ref="U56" authorId="0" shapeId="0" xr:uid="{EEE6B53B-05E1-4C49-AE55-86092BC6525C}">
      <text>
        <r>
          <rPr>
            <sz val="12"/>
            <color theme="1"/>
            <rFont val="Arial"/>
            <family val="2"/>
          </rPr>
          <t>Brett to confirm this. Reference used: https://www.ers.usda.gov/webdocs/outlooks/40459/11717_wrs0702_1_.pdf?v=3385.2#:~:text=Natural%20gas%20is%20the%20primary,produce%201%20ton%20of%20ammonia.
	-Bruno Merven</t>
        </r>
      </text>
    </comment>
    <comment ref="Y62" authorId="0" shapeId="0" xr:uid="{EB7769BE-A1DA-4219-BE85-DF922C40F46E}">
      <text>
        <r>
          <rPr>
            <sz val="12"/>
            <color theme="1"/>
            <rFont val="Arial"/>
            <family val="2"/>
          </rPr>
          <t>once we get confirmation from Brett on numbers
	-Bruno Merven</t>
        </r>
      </text>
    </comment>
    <comment ref="O63" authorId="0" shapeId="0" xr:uid="{EB99418C-7F34-407A-BD48-E7470F374531}">
      <text>
        <r>
          <rPr>
            <sz val="12"/>
            <color theme="1"/>
            <rFont val="Arial"/>
            <family val="2"/>
          </rPr>
          <t>PJ estimate using standard emission factor
	-Bruno Merven</t>
        </r>
      </text>
    </comment>
    <comment ref="P63" authorId="0" shapeId="0" xr:uid="{117498EB-2A76-4DE6-B85C-15E8A3BA901C}">
      <text>
        <r>
          <rPr>
            <sz val="12"/>
            <color theme="1"/>
            <rFont val="Arial"/>
            <family val="2"/>
          </rPr>
          <t>PJ estimate using CV value
	-Bruno Merven</t>
        </r>
      </text>
    </comment>
    <comment ref="U63" authorId="0" shapeId="0" xr:uid="{0F3ABE38-FE87-41DF-AE58-3998D3FF88D7}">
      <text>
        <r>
          <rPr>
            <sz val="12"/>
            <color theme="1"/>
            <rFont val="Arial"/>
            <family val="2"/>
          </rPr>
          <t>Brett to check how much gas could be used in rest of chemicals sector and for energy vs material use if any.
	-Bruno Merven</t>
        </r>
      </text>
    </comment>
    <comment ref="Y63" authorId="0" shapeId="0" xr:uid="{A4CE5B94-80BE-47A0-B660-51AF9A42B6CD}">
      <text>
        <r>
          <rPr>
            <sz val="12"/>
            <color theme="1"/>
            <rFont val="Arial"/>
            <family val="2"/>
          </rPr>
          <t>Including adding new commodity: ICPGMU (Gas for Material Use)
	-Bruno Merven</t>
        </r>
      </text>
    </comment>
    <comment ref="F64" authorId="0" shapeId="0" xr:uid="{3106FA76-19F5-4A17-8D8F-7F9CA60128F7}">
      <text>
        <r>
          <rPr>
            <sz val="12"/>
            <color theme="1"/>
            <rFont val="Arial"/>
            <family val="2"/>
          </rPr>
          <t>this looks like it could be NATREF
	-Bruno Merven</t>
        </r>
      </text>
    </comment>
    <comment ref="V69" authorId="0" shapeId="0" xr:uid="{5C03E31D-5F49-425B-8B23-B6D915B0CCD9}">
      <text>
        <r>
          <rPr>
            <sz val="12"/>
            <color theme="1"/>
            <rFont val="Arial"/>
            <family val="2"/>
          </rPr>
          <t>this is ok. What's needed in the model is for it to be able to shift away from gas by 2050.
	-Bruno Merven</t>
        </r>
      </text>
    </comment>
  </commentList>
</comments>
</file>

<file path=xl/sharedStrings.xml><?xml version="1.0" encoding="utf-8"?>
<sst xmlns="http://schemas.openxmlformats.org/spreadsheetml/2006/main" count="674" uniqueCount="290">
  <si>
    <t>DMRE 2017</t>
  </si>
  <si>
    <t>trying to understant what is what in the DMRE energy balances</t>
  </si>
  <si>
    <t>Gas in EB</t>
  </si>
  <si>
    <t>Disagg balance</t>
  </si>
  <si>
    <t>Sasol 2017a</t>
  </si>
  <si>
    <t>Gas Balance 2017 (PJ) Sources and Actions</t>
  </si>
  <si>
    <t>Natural Gas</t>
  </si>
  <si>
    <t>Gasworks Gas</t>
  </si>
  <si>
    <t>Coke oven Gas</t>
  </si>
  <si>
    <t>Blast Furnace Gas</t>
  </si>
  <si>
    <t>Oxygen Furnace Gas</t>
  </si>
  <si>
    <t>Refinery Gas</t>
  </si>
  <si>
    <t>Ethane</t>
  </si>
  <si>
    <t>Gas</t>
  </si>
  <si>
    <t>https://www.sasol.com/sites/default/files/financial_reports/Additional%20Analyst%20Information%20-%2031%20December%202017.pdf</t>
  </si>
  <si>
    <t>Stats SA 2016</t>
  </si>
  <si>
    <t>Stats SA 2019</t>
  </si>
  <si>
    <t>NBI</t>
  </si>
  <si>
    <t>DMRE</t>
  </si>
  <si>
    <t>This Study</t>
  </si>
  <si>
    <t>Source</t>
  </si>
  <si>
    <t>Action Needed</t>
  </si>
  <si>
    <t>Who</t>
  </si>
  <si>
    <t>USDA 2007</t>
  </si>
  <si>
    <t>Indigenous Production</t>
  </si>
  <si>
    <t>Import</t>
  </si>
  <si>
    <t>Extraction (Petro SA)</t>
  </si>
  <si>
    <t>DMRE 2017/PetrSA annual reports</t>
  </si>
  <si>
    <t>Export</t>
  </si>
  <si>
    <t>ByProduct (Sasol CTL)</t>
  </si>
  <si>
    <t>Domestic Supply</t>
  </si>
  <si>
    <t>Statistical Differences</t>
  </si>
  <si>
    <t>Domestic Supply (TPES)</t>
  </si>
  <si>
    <t>Transformation Sector</t>
  </si>
  <si>
    <t>Statistical Diff (check)</t>
  </si>
  <si>
    <t>Coke Ovens</t>
  </si>
  <si>
    <t>Gas Works</t>
  </si>
  <si>
    <t>Oil Refineries (Natref?)</t>
  </si>
  <si>
    <t>Sasol 2017b</t>
  </si>
  <si>
    <t>Need to check</t>
  </si>
  <si>
    <t>Caitlin</t>
  </si>
  <si>
    <t>Blast Furnaces</t>
  </si>
  <si>
    <t>Liquefaction</t>
  </si>
  <si>
    <t>Oil Refineries</t>
  </si>
  <si>
    <t>GTL Plants</t>
  </si>
  <si>
    <t>CTL Plants</t>
  </si>
  <si>
    <t>Estimate derived from Sasol 2017a and 2017b</t>
  </si>
  <si>
    <t>Energy Sector</t>
  </si>
  <si>
    <t>Ammonia Production</t>
  </si>
  <si>
    <t>Estimate based on Sasol 2017b, and USDA 2007</t>
  </si>
  <si>
    <t>Need to Check</t>
  </si>
  <si>
    <t>Brett/Alex</t>
  </si>
  <si>
    <t>Ownuse in Elec., CHP and Heat plant</t>
  </si>
  <si>
    <t>Ownuse in Elec,CHP and Heat</t>
  </si>
  <si>
    <t>Final Consumption</t>
  </si>
  <si>
    <t>Secunda (CTL)</t>
  </si>
  <si>
    <t>Derived from Sasol 2017b and NERSA 2017</t>
  </si>
  <si>
    <t>Industry Sector</t>
  </si>
  <si>
    <t>Sasolburg (Chemicals)</t>
  </si>
  <si>
    <t>Iron and Steel</t>
  </si>
  <si>
    <t>Chemical and Petrochemical</t>
  </si>
  <si>
    <t>Non-Ferrous Metals</t>
  </si>
  <si>
    <t>Chemicals</t>
  </si>
  <si>
    <t>Non-Metallic Minerals</t>
  </si>
  <si>
    <t>Boilers (Combustion) Sasol</t>
  </si>
  <si>
    <t>Transport Equipment</t>
  </si>
  <si>
    <t>Material Use Sasol (ex Ammonia)</t>
  </si>
  <si>
    <t>Machinery</t>
  </si>
  <si>
    <t>Boilers (Combustion) ex Sasol</t>
  </si>
  <si>
    <t>Estimate</t>
  </si>
  <si>
    <t>Mining and Quarrying</t>
  </si>
  <si>
    <t>Material Use ex Sasol</t>
  </si>
  <si>
    <t>Food and Tobacco</t>
  </si>
  <si>
    <t>From Sasol gas balance diagram</t>
  </si>
  <si>
    <t>Paper Pulp and Print</t>
  </si>
  <si>
    <t>bcf</t>
  </si>
  <si>
    <t>PJ</t>
  </si>
  <si>
    <t>Wood and Wood Products</t>
  </si>
  <si>
    <t>Total Production</t>
  </si>
  <si>
    <t>Construction</t>
  </si>
  <si>
    <t>Sales to Mozambique</t>
  </si>
  <si>
    <t>Textile and Leather</t>
  </si>
  <si>
    <t>Non-specified (Industry)</t>
  </si>
  <si>
    <t>Imported into SA</t>
  </si>
  <si>
    <t>Other Sectors</t>
  </si>
  <si>
    <t>Methane Rich Gas from CTL</t>
  </si>
  <si>
    <t>Agriculture</t>
  </si>
  <si>
    <t>Commerce and Public Services</t>
  </si>
  <si>
    <t>Total Supply (excluding Mossgas)</t>
  </si>
  <si>
    <t>Residential</t>
  </si>
  <si>
    <t>Total Sasol</t>
  </si>
  <si>
    <t>Base Chemicals</t>
  </si>
  <si>
    <t>Performance Chemicals</t>
  </si>
  <si>
    <t>Inventory</t>
  </si>
  <si>
    <t>Energy</t>
  </si>
  <si>
    <t>low on industry?</t>
  </si>
  <si>
    <t>External Sales</t>
  </si>
  <si>
    <t>Transport Sector</t>
  </si>
  <si>
    <t>From Sasol GHG report</t>
  </si>
  <si>
    <t>Fuel Gas Combustion (@ Natref?)</t>
  </si>
  <si>
    <t>Gas to Power Plants</t>
  </si>
  <si>
    <t>Check (sasol sales)</t>
  </si>
  <si>
    <t>PetroSA use</t>
  </si>
  <si>
    <t>Synfuels</t>
  </si>
  <si>
    <t>Natural Gas combustion</t>
  </si>
  <si>
    <t>Extraction</t>
  </si>
  <si>
    <t>Non-specified (Other)</t>
  </si>
  <si>
    <t>For EB/Model</t>
  </si>
  <si>
    <t>CTL use</t>
  </si>
  <si>
    <t>Other chemicals (material use/non-energy)</t>
  </si>
  <si>
    <t>Power Plants Use (estimate)</t>
  </si>
  <si>
    <t>Natref?</t>
  </si>
  <si>
    <t>SATIM Tasks</t>
  </si>
  <si>
    <t>Sasol Chemicals combution</t>
  </si>
  <si>
    <t>SATIM Sectors</t>
  </si>
  <si>
    <t>Tech</t>
  </si>
  <si>
    <t>Parameter/Result</t>
  </si>
  <si>
    <t>Should be</t>
  </si>
  <si>
    <t>SATIM 2020</t>
  </si>
  <si>
    <t>What</t>
  </si>
  <si>
    <t>Where</t>
  </si>
  <si>
    <t>Importance-NetZero</t>
  </si>
  <si>
    <t>Importance-NDC</t>
  </si>
  <si>
    <t>Status</t>
  </si>
  <si>
    <t>Sankey map</t>
  </si>
  <si>
    <t>Summary - usage</t>
  </si>
  <si>
    <t>Microsoft Word - Annual Emission Report for SSO_FY18</t>
  </si>
  <si>
    <t>UCTLCLEIN-E</t>
  </si>
  <si>
    <t>FLO_IN(UPSGAS)</t>
  </si>
  <si>
    <t>Fix Calibration</t>
  </si>
  <si>
    <t>TCH_SUP</t>
  </si>
  <si>
    <t>Fadiel</t>
  </si>
  <si>
    <t>low</t>
  </si>
  <si>
    <t>not done</t>
  </si>
  <si>
    <t>Annexure 1: Sasol’s 2017 GHG submission to the national GHG reporting regulations</t>
  </si>
  <si>
    <t>Refinery Inland (Natref)</t>
  </si>
  <si>
    <t>UREFOCRIN-E</t>
  </si>
  <si>
    <t>Industry</t>
  </si>
  <si>
    <t>Name of data provider</t>
  </si>
  <si>
    <t>Herman van der Walt / Shamini Harrington</t>
  </si>
  <si>
    <t>Power</t>
  </si>
  <si>
    <t>Data provider identification</t>
  </si>
  <si>
    <t>UNH3GAS-E</t>
  </si>
  <si>
    <t>Complete Parameterization</t>
  </si>
  <si>
    <t>Not in model yet</t>
  </si>
  <si>
    <t>Need Efficiencies, Installed Capacity, Process Emissions</t>
  </si>
  <si>
    <t>Google doc</t>
  </si>
  <si>
    <t>High</t>
  </si>
  <si>
    <t>Low</t>
  </si>
  <si>
    <t>Other</t>
  </si>
  <si>
    <t>Date of submission</t>
  </si>
  <si>
    <t>Create new Workbook for Ammonia</t>
  </si>
  <si>
    <t>TCH_NH3</t>
  </si>
  <si>
    <t>Josie+Fadiel</t>
  </si>
  <si>
    <t>high</t>
  </si>
  <si>
    <t>Total use</t>
  </si>
  <si>
    <t>Year of data</t>
  </si>
  <si>
    <t>2017 (January to December 2017)</t>
  </si>
  <si>
    <t>UNH3HGN-N</t>
  </si>
  <si>
    <t>Need Efficiencies, Investment Costs</t>
  </si>
  <si>
    <t>Comments: Activity data has been supplied. A carbon mass balance has been used to determine GHG data. In most cases the activity data cannot be directly translated to GHG data. Flaring activity data cannot be supplied due to various streams entering the flare at any given time.</t>
  </si>
  <si>
    <t>Put in Model</t>
  </si>
  <si>
    <t>Summary - production</t>
  </si>
  <si>
    <t>IPCC code</t>
  </si>
  <si>
    <t>Sub category (disaggregated by fuel / product type / production process)</t>
  </si>
  <si>
    <t>Activity data</t>
  </si>
  <si>
    <t>Emissions (tonnes/year)</t>
  </si>
  <si>
    <t>Gas Power (SSF)</t>
  </si>
  <si>
    <t>ETGASENSS-N</t>
  </si>
  <si>
    <t>TCH_PWR</t>
  </si>
  <si>
    <t>Bruno</t>
  </si>
  <si>
    <t>done</t>
  </si>
  <si>
    <t>Imports</t>
  </si>
  <si>
    <t>Name of activity data</t>
  </si>
  <si>
    <t>Value of activity data</t>
  </si>
  <si>
    <t>Units of activity data</t>
  </si>
  <si>
    <t>CO2</t>
  </si>
  <si>
    <t>CH4</t>
  </si>
  <si>
    <t>N20</t>
  </si>
  <si>
    <t>Gas Power (Infrachem)</t>
  </si>
  <si>
    <t>ETGASENSI-N</t>
  </si>
  <si>
    <t>FLO_IN(ICPGAS)</t>
  </si>
  <si>
    <t>Value</t>
  </si>
  <si>
    <t>Tier</t>
  </si>
  <si>
    <t>Reference - technical guidelines</t>
  </si>
  <si>
    <t>1A1</t>
  </si>
  <si>
    <t>1A1c</t>
  </si>
  <si>
    <t>Boiler coal combustion</t>
  </si>
  <si>
    <t>tonnes of run of mine coal</t>
  </si>
  <si>
    <t>Page 52-54</t>
  </si>
  <si>
    <t>Chemicals33 - boilers</t>
  </si>
  <si>
    <t>TCH_IND</t>
  </si>
  <si>
    <t>Bryce</t>
  </si>
  <si>
    <t>mid</t>
  </si>
  <si>
    <t>Total</t>
  </si>
  <si>
    <t>Gas to power plants</t>
  </si>
  <si>
    <t>kNm3</t>
  </si>
  <si>
    <t>Chemicals33 - non energy use</t>
  </si>
  <si>
    <t>FLO_IN(ICPGMU)</t>
  </si>
  <si>
    <t>Fuel gas combustion</t>
  </si>
  <si>
    <t>GJ</t>
  </si>
  <si>
    <t>Iron_Steel351</t>
  </si>
  <si>
    <t>FLO_IN(IISGAS)</t>
  </si>
  <si>
    <t>?</t>
  </si>
  <si>
    <t>Fuel oil combustion</t>
  </si>
  <si>
    <t>PNFMetals352</t>
  </si>
  <si>
    <t>FLO_IN(INFGAS)</t>
  </si>
  <si>
    <t>Sasol catalytic cracker</t>
  </si>
  <si>
    <t>NMMProducts34</t>
  </si>
  <si>
    <t>FLO_IN(INMGAS)</t>
  </si>
  <si>
    <t>Wet sulphuric acid combustion emissions</t>
  </si>
  <si>
    <t>Mining2</t>
  </si>
  <si>
    <t>FLO_IN(IMIGAS)</t>
  </si>
  <si>
    <t>1A</t>
  </si>
  <si>
    <t>Natural gas combustion</t>
  </si>
  <si>
    <t>GJ natural gas</t>
  </si>
  <si>
    <t>Food_Bev_Tob30</t>
  </si>
  <si>
    <t>FLO_IN(IFBGAS)</t>
  </si>
  <si>
    <t>1B</t>
  </si>
  <si>
    <t>1B3</t>
  </si>
  <si>
    <t>Other energy industries: process emissions</t>
  </si>
  <si>
    <t>kNm3 (pure gas rate for CTL/GTC)</t>
  </si>
  <si>
    <t>####</t>
  </si>
  <si>
    <t>Pulp_Paper323</t>
  </si>
  <si>
    <t>FLO_IN(IPPGAS)</t>
  </si>
  <si>
    <t>high (2050 part)</t>
  </si>
  <si>
    <t>Flaring emissions</t>
  </si>
  <si>
    <t>No activity data due to complexity of the process</t>
  </si>
  <si>
    <t>N/A</t>
  </si>
  <si>
    <t>NA</t>
  </si>
  <si>
    <t>Rest of Industry</t>
  </si>
  <si>
    <t>FLO_IN(IOTGAS)</t>
  </si>
  <si>
    <t>Wet sulphuric acid process emissions</t>
  </si>
  <si>
    <t>Butanol stripper</t>
  </si>
  <si>
    <t>tonnes of butanol</t>
  </si>
  <si>
    <t>Commercial</t>
  </si>
  <si>
    <t>FLO_IN(COMGAS)</t>
  </si>
  <si>
    <t>TCH_COM</t>
  </si>
  <si>
    <t>Alison</t>
  </si>
  <si>
    <t>4D</t>
  </si>
  <si>
    <t>4D2</t>
  </si>
  <si>
    <t>Process water dams</t>
  </si>
  <si>
    <t>tonnes process water feed</t>
  </si>
  <si>
    <t>FLO_IN(RESGAS)</t>
  </si>
  <si>
    <t>TCH_RES</t>
  </si>
  <si>
    <t>Water recovery (including domestic sewage)</t>
  </si>
  <si>
    <t>tonnes COD</t>
  </si>
  <si>
    <t>2B</t>
  </si>
  <si>
    <t>2B2</t>
  </si>
  <si>
    <t>Nitric acid production</t>
  </si>
  <si>
    <t>tonnes of nitric acid</t>
  </si>
  <si>
    <t>Process Emissions</t>
  </si>
  <si>
    <t>2B1</t>
  </si>
  <si>
    <t>Ammonia production</t>
  </si>
  <si>
    <t>tonnes of ammonia</t>
  </si>
  <si>
    <t>Sasol:</t>
  </si>
  <si>
    <t>1B1</t>
  </si>
  <si>
    <t>Sasol Mining</t>
  </si>
  <si>
    <t>tonnes of coal mined</t>
  </si>
  <si>
    <t>-</t>
  </si>
  <si>
    <t>Flaring</t>
  </si>
  <si>
    <t>Quantify Abatement possible (in % and cost per ton CO2)</t>
  </si>
  <si>
    <t>1B2</t>
  </si>
  <si>
    <t>1B2b</t>
  </si>
  <si>
    <t>Natural gas venting from the pipeline</t>
  </si>
  <si>
    <t>kNm3 of natural gas</t>
  </si>
  <si>
    <t>Wet Sulphuric Acids</t>
  </si>
  <si>
    <t>4C</t>
  </si>
  <si>
    <t>4C2</t>
  </si>
  <si>
    <t>Open burning of waste</t>
  </si>
  <si>
    <t>Not applicable (NA)</t>
  </si>
  <si>
    <t>1A5</t>
  </si>
  <si>
    <t>1A5b</t>
  </si>
  <si>
    <t>Mobile combustion: Mining machinery</t>
  </si>
  <si>
    <t>litres of petrol and diesel</t>
  </si>
  <si>
    <t>Carbon budget reporting requirement</t>
  </si>
  <si>
    <t>Outside Sasol:</t>
  </si>
  <si>
    <t>Nitric Acid</t>
  </si>
  <si>
    <t>Other References</t>
  </si>
  <si>
    <t>Other small bits</t>
  </si>
  <si>
    <t>https://www.ers.usda.gov/webdocs/outlooks/40459/11717_wrs0702_1_.pdf?v=3385.2#:~:text=Natural%20gas%20is%20the%20primary,produce%201%20ton%20of%20ammonia.</t>
  </si>
  <si>
    <t>Probably in GAMS</t>
  </si>
  <si>
    <t>Data Source</t>
  </si>
  <si>
    <t>SATIMGE-2022</t>
  </si>
  <si>
    <t>Units</t>
  </si>
  <si>
    <t>Final Supply</t>
  </si>
  <si>
    <t>CTL Plants (Process)</t>
  </si>
  <si>
    <t>CTL Plants (Elc Gen)</t>
  </si>
  <si>
    <t>Chemicals (Elc Gen)</t>
  </si>
  <si>
    <t>Balance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</si>
</sst>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00"/>
    <numFmt numFmtId="166" formatCode="dd\ mm\ yyyy"/>
  </numFmts>
  <fonts count="22">
    <font>
      <sz val="12"/>
      <color theme="1"/>
      <name val="Arial"/>
      <family val="2"/>
    </font>
    <font>
      <sz val="12"/>
      <color theme="1"/>
      <name val="Arial"/>
      <family val="2"/>
    </font>
    <font>
      <sz val="12"/>
      <name val="Arial"/>
      <family val="2"/>
    </font>
    <font>
      <sz val="12"/>
      <color theme="1"/>
      <name val="Calibri"/>
      <family val="2"/>
    </font>
    <font>
      <b/>
      <sz val="12"/>
      <color theme="1"/>
      <name val="Calibri"/>
      <family val="2"/>
    </font>
    <font>
      <u/>
      <sz val="12"/>
      <color theme="1"/>
      <name val="Arial"/>
      <family val="2"/>
    </font>
    <font>
      <b/>
      <sz val="12"/>
      <color theme="1"/>
      <name val="Arial"/>
      <family val="2"/>
    </font>
    <font>
      <sz val="12"/>
      <color rgb="FFFF0000"/>
      <name val="Arial"/>
      <family val="2"/>
    </font>
    <font>
      <b/>
      <sz val="12"/>
      <color rgb="FFFF0000"/>
      <name val="Calibri"/>
      <family val="2"/>
    </font>
    <font>
      <sz val="11"/>
      <color rgb="FF1155CC"/>
      <name val="Inconsolata"/>
    </font>
    <font>
      <sz val="12"/>
      <color rgb="FFFF0000"/>
      <name val="Calibri"/>
      <family val="2"/>
    </font>
    <font>
      <sz val="11"/>
      <color rgb="FFF7981D"/>
      <name val="Inconsolata"/>
    </font>
    <font>
      <sz val="12"/>
      <color rgb="FF000000"/>
      <name val="&quot;Times New Roman&quot;"/>
    </font>
    <font>
      <sz val="12"/>
      <color rgb="FF000000"/>
      <name val="Arial"/>
      <family val="2"/>
    </font>
    <font>
      <b/>
      <sz val="9"/>
      <color theme="1"/>
      <name val="Arial"/>
      <family val="2"/>
    </font>
    <font>
      <sz val="8"/>
      <color theme="1"/>
      <name val="Arial"/>
      <family val="2"/>
    </font>
    <font>
      <sz val="9"/>
      <color theme="1"/>
      <name val="Arial"/>
      <family val="2"/>
    </font>
    <font>
      <sz val="9"/>
      <color rgb="FF000000"/>
      <name val="Arial"/>
      <family val="2"/>
    </font>
    <font>
      <b/>
      <sz val="12"/>
      <color rgb="FF000000"/>
      <name val="&quot;Times New Roman&quot;"/>
    </font>
    <font>
      <b/>
      <sz val="9"/>
      <color rgb="FF000000"/>
      <name val="Arial"/>
      <family val="2"/>
    </font>
    <font>
      <u/>
      <sz val="11"/>
      <color rgb="FF3C4043"/>
      <name val="Roboto"/>
    </font>
    <font>
      <b/>
      <sz val="12"/>
      <color rgb="FFFF0000"/>
      <name val="Arial"/>
      <family val="2"/>
    </font>
  </fonts>
  <fills count="14">
    <fill>
      <patternFill patternType="none"/>
    </fill>
    <fill>
      <patternFill patternType="gray125"/>
    </fill>
    <fill>
      <patternFill patternType="solid">
        <fgColor rgb="FFD9E2F3"/>
        <bgColor rgb="FFD9E2F3"/>
      </patternFill>
    </fill>
    <fill>
      <patternFill patternType="solid">
        <fgColor rgb="FFD8D8D8"/>
        <bgColor rgb="FFD8D8D8"/>
      </patternFill>
    </fill>
    <fill>
      <patternFill patternType="solid">
        <fgColor rgb="FFFFFFFF"/>
        <bgColor rgb="FFFFFFFF"/>
      </patternFill>
    </fill>
    <fill>
      <patternFill patternType="solid">
        <fgColor rgb="FFE2EFD9"/>
        <bgColor rgb="FFE2EFD9"/>
      </patternFill>
    </fill>
    <fill>
      <patternFill patternType="solid">
        <fgColor rgb="FFFBE4D5"/>
        <bgColor rgb="FFFBE4D5"/>
      </patternFill>
    </fill>
    <fill>
      <patternFill patternType="solid">
        <fgColor rgb="FFDAEEF3"/>
        <bgColor rgb="FFDAEEF3"/>
      </patternFill>
    </fill>
    <fill>
      <patternFill patternType="solid">
        <fgColor rgb="FFF2DCDB"/>
        <bgColor rgb="FFF2DCDB"/>
      </patternFill>
    </fill>
    <fill>
      <patternFill patternType="solid">
        <fgColor rgb="FFEBF1DE"/>
        <bgColor rgb="FFEBF1DE"/>
      </patternFill>
    </fill>
    <fill>
      <patternFill patternType="solid">
        <fgColor rgb="FFFCD5B4"/>
        <bgColor rgb="FFFCD5B4"/>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s>
  <borders count="6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double">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223">
    <xf numFmtId="0" fontId="0" fillId="0" borderId="0" xfId="0"/>
    <xf numFmtId="0" fontId="0" fillId="2" borderId="1" xfId="0" applyFill="1" applyBorder="1"/>
    <xf numFmtId="0" fontId="3" fillId="0" borderId="0" xfId="0" applyFont="1"/>
    <xf numFmtId="0" fontId="4" fillId="0" borderId="0" xfId="0" applyFont="1"/>
    <xf numFmtId="0" fontId="0" fillId="0" borderId="0" xfId="0" applyAlignment="1">
      <alignment wrapText="1"/>
    </xf>
    <xf numFmtId="2" fontId="0" fillId="0" borderId="0" xfId="0" applyNumberFormat="1" applyAlignment="1">
      <alignment wrapText="1"/>
    </xf>
    <xf numFmtId="4" fontId="0" fillId="0" borderId="0" xfId="0" applyNumberFormat="1" applyAlignment="1">
      <alignment wrapText="1"/>
    </xf>
    <xf numFmtId="164" fontId="0" fillId="0" borderId="0" xfId="0" applyNumberFormat="1"/>
    <xf numFmtId="2" fontId="4" fillId="0" borderId="0" xfId="0" applyNumberFormat="1" applyFont="1"/>
    <xf numFmtId="2" fontId="3" fillId="0" borderId="0" xfId="0" applyNumberFormat="1" applyFont="1"/>
    <xf numFmtId="0" fontId="6" fillId="3" borderId="0" xfId="0" applyFont="1" applyFill="1"/>
    <xf numFmtId="164" fontId="6" fillId="3" borderId="0" xfId="0" applyNumberFormat="1" applyFont="1" applyFill="1"/>
    <xf numFmtId="0" fontId="7" fillId="0" borderId="0" xfId="0" applyFont="1"/>
    <xf numFmtId="164" fontId="7" fillId="0" borderId="0" xfId="0" applyNumberFormat="1" applyFont="1"/>
    <xf numFmtId="0" fontId="0" fillId="3" borderId="0" xfId="0" applyFill="1"/>
    <xf numFmtId="164" fontId="0" fillId="3" borderId="0" xfId="0" applyNumberFormat="1" applyFill="1"/>
    <xf numFmtId="164" fontId="0" fillId="6" borderId="0" xfId="0" applyNumberFormat="1" applyFill="1"/>
    <xf numFmtId="164" fontId="0" fillId="5" borderId="0" xfId="0" applyNumberFormat="1" applyFill="1"/>
    <xf numFmtId="165" fontId="3" fillId="0" borderId="0" xfId="0" applyNumberFormat="1" applyFont="1"/>
    <xf numFmtId="164" fontId="3" fillId="0" borderId="0" xfId="0" applyNumberFormat="1" applyFont="1"/>
    <xf numFmtId="2" fontId="0" fillId="0" borderId="0" xfId="0" applyNumberFormat="1"/>
    <xf numFmtId="0" fontId="3" fillId="0" borderId="0" xfId="0" applyFont="1" applyAlignment="1">
      <alignment wrapText="1"/>
    </xf>
    <xf numFmtId="0" fontId="12" fillId="0" borderId="0" xfId="0" applyFont="1" applyAlignment="1">
      <alignment horizontal="left" vertical="top"/>
    </xf>
    <xf numFmtId="0" fontId="15" fillId="0" borderId="0" xfId="0" applyFont="1"/>
    <xf numFmtId="0" fontId="14" fillId="0" borderId="9" xfId="0" applyFont="1" applyBorder="1" applyAlignment="1">
      <alignment horizontal="left" vertical="top"/>
    </xf>
    <xf numFmtId="0" fontId="16" fillId="7" borderId="8" xfId="0" applyFont="1" applyFill="1" applyBorder="1" applyAlignment="1">
      <alignment horizontal="left" vertical="top"/>
    </xf>
    <xf numFmtId="0" fontId="16" fillId="7" borderId="9" xfId="0" applyFont="1" applyFill="1" applyBorder="1" applyAlignment="1">
      <alignment horizontal="left" vertical="top"/>
    </xf>
    <xf numFmtId="3" fontId="16" fillId="7" borderId="9" xfId="0" applyNumberFormat="1" applyFont="1" applyFill="1" applyBorder="1" applyAlignment="1">
      <alignment horizontal="left" vertical="top"/>
    </xf>
    <xf numFmtId="0" fontId="17" fillId="7" borderId="9" xfId="0" applyFont="1" applyFill="1" applyBorder="1" applyAlignment="1">
      <alignment horizontal="right" vertical="top"/>
    </xf>
    <xf numFmtId="0" fontId="17" fillId="7" borderId="9" xfId="0" applyFont="1" applyFill="1" applyBorder="1" applyAlignment="1">
      <alignment horizontal="left" vertical="top"/>
    </xf>
    <xf numFmtId="0" fontId="12" fillId="7" borderId="9" xfId="0" applyFont="1" applyFill="1" applyBorder="1" applyAlignment="1">
      <alignment horizontal="left" vertical="top"/>
    </xf>
    <xf numFmtId="0" fontId="14" fillId="8" borderId="8" xfId="0" applyFont="1" applyFill="1" applyBorder="1" applyAlignment="1">
      <alignment horizontal="left" vertical="top"/>
    </xf>
    <xf numFmtId="0" fontId="14" fillId="8" borderId="9" xfId="0" applyFont="1" applyFill="1" applyBorder="1" applyAlignment="1">
      <alignment horizontal="left" vertical="top"/>
    </xf>
    <xf numFmtId="3" fontId="14" fillId="8" borderId="9" xfId="0" applyNumberFormat="1" applyFont="1" applyFill="1" applyBorder="1" applyAlignment="1">
      <alignment horizontal="left" vertical="top"/>
    </xf>
    <xf numFmtId="0" fontId="18" fillId="8" borderId="9" xfId="0" applyFont="1" applyFill="1" applyBorder="1" applyAlignment="1">
      <alignment horizontal="left" vertical="top"/>
    </xf>
    <xf numFmtId="0" fontId="19" fillId="8" borderId="9" xfId="0" applyFont="1" applyFill="1" applyBorder="1" applyAlignment="1">
      <alignment horizontal="right" vertical="top"/>
    </xf>
    <xf numFmtId="0" fontId="16" fillId="8" borderId="8" xfId="0" applyFont="1" applyFill="1" applyBorder="1" applyAlignment="1">
      <alignment horizontal="left"/>
    </xf>
    <xf numFmtId="0" fontId="16" fillId="8" borderId="9" xfId="0" applyFont="1" applyFill="1" applyBorder="1" applyAlignment="1">
      <alignment horizontal="left"/>
    </xf>
    <xf numFmtId="0" fontId="16" fillId="8" borderId="9" xfId="0" applyFont="1" applyFill="1" applyBorder="1" applyAlignment="1">
      <alignment horizontal="left" vertical="top"/>
    </xf>
    <xf numFmtId="3" fontId="16" fillId="8" borderId="9" xfId="0" applyNumberFormat="1" applyFont="1" applyFill="1" applyBorder="1" applyAlignment="1">
      <alignment horizontal="left"/>
    </xf>
    <xf numFmtId="0" fontId="17" fillId="8" borderId="9" xfId="0" applyFont="1" applyFill="1" applyBorder="1" applyAlignment="1">
      <alignment horizontal="right"/>
    </xf>
    <xf numFmtId="0" fontId="16" fillId="8" borderId="8" xfId="0" applyFont="1" applyFill="1" applyBorder="1" applyAlignment="1">
      <alignment horizontal="left" vertical="top"/>
    </xf>
    <xf numFmtId="3" fontId="16" fillId="8" borderId="9" xfId="0" applyNumberFormat="1" applyFont="1" applyFill="1" applyBorder="1" applyAlignment="1">
      <alignment horizontal="left" vertical="top"/>
    </xf>
    <xf numFmtId="0" fontId="12" fillId="8" borderId="9" xfId="0" applyFont="1" applyFill="1" applyBorder="1" applyAlignment="1">
      <alignment horizontal="left" vertical="top"/>
    </xf>
    <xf numFmtId="0" fontId="17" fillId="8" borderId="9" xfId="0" applyFont="1" applyFill="1" applyBorder="1" applyAlignment="1">
      <alignment horizontal="right" vertical="top"/>
    </xf>
    <xf numFmtId="0" fontId="16" fillId="9" borderId="8" xfId="0" applyFont="1" applyFill="1" applyBorder="1" applyAlignment="1">
      <alignment horizontal="left" vertical="top"/>
    </xf>
    <xf numFmtId="0" fontId="16" fillId="9" borderId="9" xfId="0" applyFont="1" applyFill="1" applyBorder="1" applyAlignment="1">
      <alignment horizontal="left" vertical="top"/>
    </xf>
    <xf numFmtId="3" fontId="16" fillId="9" borderId="9" xfId="0" applyNumberFormat="1" applyFont="1" applyFill="1" applyBorder="1" applyAlignment="1">
      <alignment horizontal="left" vertical="top"/>
    </xf>
    <xf numFmtId="0" fontId="17" fillId="9" borderId="9" xfId="0" applyFont="1" applyFill="1" applyBorder="1" applyAlignment="1">
      <alignment horizontal="right" vertical="top"/>
    </xf>
    <xf numFmtId="0" fontId="17" fillId="9" borderId="9" xfId="0" applyFont="1" applyFill="1" applyBorder="1" applyAlignment="1">
      <alignment horizontal="left" vertical="top"/>
    </xf>
    <xf numFmtId="0" fontId="12" fillId="9" borderId="9" xfId="0" applyFont="1" applyFill="1" applyBorder="1" applyAlignment="1">
      <alignment horizontal="left" vertical="top"/>
    </xf>
    <xf numFmtId="0" fontId="16" fillId="9" borderId="8" xfId="0" applyFont="1" applyFill="1" applyBorder="1" applyAlignment="1">
      <alignment horizontal="left"/>
    </xf>
    <xf numFmtId="0" fontId="16" fillId="9" borderId="9" xfId="0" applyFont="1" applyFill="1" applyBorder="1" applyAlignment="1">
      <alignment horizontal="left"/>
    </xf>
    <xf numFmtId="3" fontId="16" fillId="9" borderId="9" xfId="0" applyNumberFormat="1" applyFont="1" applyFill="1" applyBorder="1" applyAlignment="1">
      <alignment horizontal="left"/>
    </xf>
    <xf numFmtId="0" fontId="17" fillId="9" borderId="9" xfId="0" applyFont="1" applyFill="1" applyBorder="1" applyAlignment="1">
      <alignment horizontal="right"/>
    </xf>
    <xf numFmtId="0" fontId="16" fillId="10" borderId="8" xfId="0" applyFont="1" applyFill="1" applyBorder="1" applyAlignment="1">
      <alignment horizontal="left" vertical="top"/>
    </xf>
    <xf numFmtId="0" fontId="16" fillId="10" borderId="9" xfId="0" applyFont="1" applyFill="1" applyBorder="1" applyAlignment="1">
      <alignment horizontal="left" vertical="top"/>
    </xf>
    <xf numFmtId="3" fontId="16" fillId="10" borderId="9" xfId="0" applyNumberFormat="1" applyFont="1" applyFill="1" applyBorder="1" applyAlignment="1">
      <alignment horizontal="left" vertical="top"/>
    </xf>
    <xf numFmtId="0" fontId="16" fillId="10" borderId="9" xfId="0" applyFont="1" applyFill="1" applyBorder="1" applyAlignment="1">
      <alignment horizontal="right" vertical="top"/>
    </xf>
    <xf numFmtId="0" fontId="17" fillId="10" borderId="9" xfId="0" applyFont="1" applyFill="1" applyBorder="1" applyAlignment="1">
      <alignment horizontal="left" vertical="top"/>
    </xf>
    <xf numFmtId="0" fontId="17" fillId="10" borderId="9" xfId="0" applyFont="1" applyFill="1" applyBorder="1" applyAlignment="1">
      <alignment horizontal="right" vertical="top"/>
    </xf>
    <xf numFmtId="0" fontId="17" fillId="8" borderId="9" xfId="0" applyFont="1" applyFill="1" applyBorder="1" applyAlignment="1">
      <alignment horizontal="left" vertical="top"/>
    </xf>
    <xf numFmtId="0" fontId="20" fillId="4" borderId="0" xfId="0" applyFont="1" applyFill="1" applyAlignment="1">
      <alignment horizontal="left"/>
    </xf>
    <xf numFmtId="0" fontId="6" fillId="0" borderId="0" xfId="0" applyFont="1"/>
    <xf numFmtId="164" fontId="6" fillId="0" borderId="0" xfId="0" applyNumberFormat="1" applyFont="1"/>
    <xf numFmtId="0" fontId="4" fillId="0" borderId="10" xfId="0" applyFont="1" applyBorder="1"/>
    <xf numFmtId="0" fontId="0" fillId="0" borderId="10" xfId="0" applyBorder="1"/>
    <xf numFmtId="0" fontId="3" fillId="0" borderId="10" xfId="0" applyFont="1" applyBorder="1"/>
    <xf numFmtId="164" fontId="6" fillId="0" borderId="10" xfId="0" applyNumberFormat="1" applyFont="1" applyBorder="1"/>
    <xf numFmtId="0" fontId="6" fillId="0" borderId="10" xfId="0" applyFont="1" applyBorder="1"/>
    <xf numFmtId="0" fontId="8" fillId="0" borderId="10" xfId="0" applyFont="1" applyBorder="1"/>
    <xf numFmtId="0" fontId="3" fillId="0" borderId="13" xfId="0" applyFont="1" applyBorder="1"/>
    <xf numFmtId="0" fontId="0" fillId="0" borderId="13" xfId="0" applyBorder="1"/>
    <xf numFmtId="0" fontId="0" fillId="0" borderId="11" xfId="0" applyBorder="1" applyAlignment="1">
      <alignment wrapText="1"/>
    </xf>
    <xf numFmtId="2" fontId="4" fillId="0" borderId="11" xfId="0" applyNumberFormat="1" applyFont="1" applyBorder="1"/>
    <xf numFmtId="2" fontId="3" fillId="0" borderId="11" xfId="0" applyNumberFormat="1" applyFont="1" applyBorder="1"/>
    <xf numFmtId="0" fontId="3" fillId="0" borderId="11" xfId="0" applyFont="1" applyBorder="1"/>
    <xf numFmtId="2" fontId="8" fillId="0" borderId="11" xfId="0" applyNumberFormat="1" applyFont="1" applyBorder="1"/>
    <xf numFmtId="165" fontId="4" fillId="0" borderId="11" xfId="0" applyNumberFormat="1" applyFont="1" applyBorder="1"/>
    <xf numFmtId="0" fontId="0" fillId="0" borderId="11" xfId="0" applyBorder="1"/>
    <xf numFmtId="165" fontId="3" fillId="0" borderId="14" xfId="0" applyNumberFormat="1" applyFont="1" applyBorder="1"/>
    <xf numFmtId="0" fontId="3" fillId="0" borderId="17" xfId="0" applyFont="1" applyBorder="1"/>
    <xf numFmtId="0" fontId="3" fillId="0" borderId="18" xfId="0" applyFont="1" applyBorder="1"/>
    <xf numFmtId="2" fontId="4" fillId="0" borderId="19" xfId="0" applyNumberFormat="1" applyFont="1" applyBorder="1"/>
    <xf numFmtId="0" fontId="0" fillId="0" borderId="20" xfId="0" applyBorder="1"/>
    <xf numFmtId="2" fontId="3" fillId="0" borderId="19" xfId="0" applyNumberFormat="1" applyFont="1" applyBorder="1"/>
    <xf numFmtId="0" fontId="3" fillId="0" borderId="20" xfId="0" applyFont="1" applyBorder="1"/>
    <xf numFmtId="0" fontId="3" fillId="0" borderId="19" xfId="0" applyFont="1" applyBorder="1"/>
    <xf numFmtId="2" fontId="8" fillId="0" borderId="19" xfId="0" applyNumberFormat="1" applyFont="1" applyBorder="1"/>
    <xf numFmtId="2" fontId="9" fillId="4" borderId="19" xfId="0" applyNumberFormat="1" applyFont="1" applyFill="1" applyBorder="1"/>
    <xf numFmtId="165" fontId="4" fillId="0" borderId="19" xfId="0" applyNumberFormat="1" applyFont="1" applyBorder="1"/>
    <xf numFmtId="165" fontId="3" fillId="0" borderId="19" xfId="0" applyNumberFormat="1" applyFont="1" applyBorder="1"/>
    <xf numFmtId="165" fontId="10" fillId="0" borderId="19" xfId="0" applyNumberFormat="1" applyFont="1" applyBorder="1"/>
    <xf numFmtId="165" fontId="3" fillId="0" borderId="20" xfId="0" applyNumberFormat="1" applyFont="1" applyBorder="1"/>
    <xf numFmtId="165" fontId="3" fillId="0" borderId="21" xfId="0" applyNumberFormat="1" applyFont="1" applyBorder="1"/>
    <xf numFmtId="165" fontId="3" fillId="0" borderId="22" xfId="0" applyNumberFormat="1" applyFont="1" applyBorder="1"/>
    <xf numFmtId="0" fontId="5" fillId="0" borderId="26" xfId="0" applyFont="1" applyBorder="1"/>
    <xf numFmtId="0" fontId="0" fillId="0" borderId="27" xfId="0" applyBorder="1" applyAlignment="1">
      <alignment wrapText="1"/>
    </xf>
    <xf numFmtId="0" fontId="0" fillId="0" borderId="26" xfId="0" applyBorder="1" applyAlignment="1">
      <alignment wrapText="1"/>
    </xf>
    <xf numFmtId="0" fontId="0" fillId="0" borderId="26" xfId="0" applyBorder="1"/>
    <xf numFmtId="0" fontId="0" fillId="0" borderId="27" xfId="0" applyBorder="1"/>
    <xf numFmtId="0" fontId="7" fillId="0" borderId="26" xfId="0" applyFont="1" applyBorder="1"/>
    <xf numFmtId="0" fontId="0" fillId="3" borderId="26" xfId="0" applyFill="1" applyBorder="1"/>
    <xf numFmtId="0" fontId="6" fillId="3" borderId="26" xfId="0" applyFont="1" applyFill="1" applyBorder="1"/>
    <xf numFmtId="0" fontId="0" fillId="5" borderId="0" xfId="0" applyFill="1"/>
    <xf numFmtId="0" fontId="6" fillId="0" borderId="0" xfId="0" applyFont="1" applyAlignment="1">
      <alignment wrapText="1"/>
    </xf>
    <xf numFmtId="2" fontId="11" fillId="4" borderId="0" xfId="0" applyNumberFormat="1" applyFont="1" applyFill="1"/>
    <xf numFmtId="0" fontId="3" fillId="0" borderId="27" xfId="0" applyFont="1" applyBorder="1"/>
    <xf numFmtId="0" fontId="0" fillId="0" borderId="28" xfId="0" applyBorder="1"/>
    <xf numFmtId="0" fontId="4" fillId="0" borderId="29" xfId="0" applyFont="1" applyBorder="1"/>
    <xf numFmtId="2" fontId="4" fillId="0" borderId="29" xfId="0" applyNumberFormat="1" applyFont="1" applyBorder="1"/>
    <xf numFmtId="0" fontId="0" fillId="0" borderId="22" xfId="0" applyBorder="1"/>
    <xf numFmtId="0" fontId="6" fillId="0" borderId="13" xfId="0" applyFont="1" applyBorder="1"/>
    <xf numFmtId="0" fontId="6" fillId="0" borderId="18" xfId="0" applyFont="1" applyBorder="1"/>
    <xf numFmtId="0" fontId="6" fillId="0" borderId="19" xfId="0" applyFont="1" applyBorder="1"/>
    <xf numFmtId="0" fontId="0" fillId="0" borderId="19" xfId="0" applyBorder="1"/>
    <xf numFmtId="0" fontId="6" fillId="0" borderId="32" xfId="0" applyFont="1" applyBorder="1"/>
    <xf numFmtId="0" fontId="0" fillId="0" borderId="34" xfId="0" applyBorder="1"/>
    <xf numFmtId="0" fontId="0" fillId="0" borderId="30" xfId="0" applyBorder="1"/>
    <xf numFmtId="0" fontId="6" fillId="0" borderId="36" xfId="0" applyFont="1" applyBorder="1"/>
    <xf numFmtId="0" fontId="6" fillId="0" borderId="36" xfId="0" applyFont="1" applyBorder="1" applyAlignment="1">
      <alignment horizontal="left"/>
    </xf>
    <xf numFmtId="0" fontId="0" fillId="0" borderId="32" xfId="0" applyBorder="1"/>
    <xf numFmtId="165" fontId="0" fillId="0" borderId="20" xfId="0" applyNumberFormat="1" applyBorder="1" applyAlignment="1">
      <alignment horizontal="center"/>
    </xf>
    <xf numFmtId="165" fontId="0" fillId="0" borderId="35" xfId="0" applyNumberFormat="1" applyBorder="1" applyAlignment="1">
      <alignment horizontal="center"/>
    </xf>
    <xf numFmtId="0" fontId="0" fillId="0" borderId="19" xfId="0" applyBorder="1" applyAlignment="1">
      <alignment horizontal="left"/>
    </xf>
    <xf numFmtId="0" fontId="0" fillId="0" borderId="34" xfId="0" applyBorder="1" applyAlignment="1">
      <alignment horizontal="left"/>
    </xf>
    <xf numFmtId="0" fontId="6" fillId="0" borderId="41" xfId="0" applyFont="1" applyBorder="1" applyAlignment="1">
      <alignment horizontal="left"/>
    </xf>
    <xf numFmtId="0" fontId="0" fillId="0" borderId="14" xfId="0" applyBorder="1"/>
    <xf numFmtId="0" fontId="6" fillId="0" borderId="11" xfId="0" applyFont="1" applyBorder="1"/>
    <xf numFmtId="0" fontId="0" fillId="0" borderId="42" xfId="0" applyBorder="1"/>
    <xf numFmtId="0" fontId="6" fillId="0" borderId="41" xfId="0" applyFont="1" applyBorder="1"/>
    <xf numFmtId="0" fontId="6" fillId="0" borderId="14" xfId="0" applyFont="1" applyBorder="1"/>
    <xf numFmtId="0" fontId="6" fillId="0" borderId="40" xfId="0" applyFont="1" applyBorder="1" applyAlignment="1">
      <alignment horizontal="center"/>
    </xf>
    <xf numFmtId="0" fontId="0" fillId="0" borderId="43" xfId="0" applyBorder="1"/>
    <xf numFmtId="0" fontId="0" fillId="0" borderId="44" xfId="0" applyBorder="1"/>
    <xf numFmtId="0" fontId="6" fillId="0" borderId="44" xfId="0" applyFont="1" applyBorder="1"/>
    <xf numFmtId="0" fontId="0" fillId="0" borderId="45" xfId="0" applyBorder="1"/>
    <xf numFmtId="0" fontId="6" fillId="0" borderId="40" xfId="0" applyFont="1" applyBorder="1"/>
    <xf numFmtId="0" fontId="6" fillId="0" borderId="43" xfId="0" applyFont="1" applyBorder="1"/>
    <xf numFmtId="165" fontId="6" fillId="0" borderId="46" xfId="0" applyNumberFormat="1" applyFont="1" applyBorder="1" applyAlignment="1">
      <alignment horizontal="center"/>
    </xf>
    <xf numFmtId="165" fontId="0" fillId="0" borderId="47" xfId="0" applyNumberFormat="1" applyBorder="1"/>
    <xf numFmtId="165" fontId="0" fillId="0" borderId="48" xfId="0" applyNumberFormat="1" applyBorder="1"/>
    <xf numFmtId="165" fontId="6" fillId="0" borderId="48" xfId="0" applyNumberFormat="1" applyFont="1" applyBorder="1"/>
    <xf numFmtId="165" fontId="0" fillId="0" borderId="49" xfId="0" applyNumberFormat="1" applyBorder="1"/>
    <xf numFmtId="165" fontId="6" fillId="0" borderId="46" xfId="0" applyNumberFormat="1" applyFont="1" applyBorder="1"/>
    <xf numFmtId="165" fontId="6" fillId="0" borderId="47" xfId="0" applyNumberFormat="1" applyFont="1" applyBorder="1"/>
    <xf numFmtId="165" fontId="6" fillId="0" borderId="40" xfId="0" applyNumberFormat="1" applyFont="1" applyBorder="1" applyAlignment="1">
      <alignment horizontal="center"/>
    </xf>
    <xf numFmtId="165" fontId="0" fillId="0" borderId="43" xfId="0" applyNumberFormat="1" applyBorder="1"/>
    <xf numFmtId="165" fontId="0" fillId="0" borderId="44" xfId="0" applyNumberFormat="1" applyBorder="1"/>
    <xf numFmtId="165" fontId="6" fillId="0" borderId="44" xfId="0" applyNumberFormat="1" applyFont="1" applyBorder="1"/>
    <xf numFmtId="165" fontId="0" fillId="0" borderId="45" xfId="0" applyNumberFormat="1" applyBorder="1"/>
    <xf numFmtId="165" fontId="6" fillId="0" borderId="40" xfId="0" applyNumberFormat="1" applyFont="1" applyBorder="1"/>
    <xf numFmtId="165" fontId="6" fillId="0" borderId="43" xfId="0" applyNumberFormat="1" applyFont="1" applyBorder="1"/>
    <xf numFmtId="0" fontId="6" fillId="0" borderId="39" xfId="0" applyFont="1" applyBorder="1"/>
    <xf numFmtId="0" fontId="0" fillId="0" borderId="35" xfId="0" applyBorder="1" applyAlignment="1">
      <alignment horizontal="center"/>
    </xf>
    <xf numFmtId="0" fontId="6" fillId="11" borderId="36" xfId="0" applyFont="1" applyFill="1" applyBorder="1" applyAlignment="1">
      <alignment horizontal="left"/>
    </xf>
    <xf numFmtId="0" fontId="6" fillId="11" borderId="37" xfId="0" applyFont="1" applyFill="1" applyBorder="1"/>
    <xf numFmtId="165" fontId="6" fillId="11" borderId="38" xfId="0" applyNumberFormat="1" applyFont="1" applyFill="1" applyBorder="1" applyAlignment="1">
      <alignment horizontal="center"/>
    </xf>
    <xf numFmtId="0" fontId="6" fillId="11" borderId="37" xfId="0" applyFont="1" applyFill="1" applyBorder="1" applyAlignment="1">
      <alignment horizontal="left"/>
    </xf>
    <xf numFmtId="0" fontId="6" fillId="12" borderId="19" xfId="0" applyFont="1" applyFill="1" applyBorder="1" applyAlignment="1">
      <alignment horizontal="left"/>
    </xf>
    <xf numFmtId="0" fontId="6" fillId="12" borderId="10" xfId="0" applyFont="1" applyFill="1" applyBorder="1"/>
    <xf numFmtId="165" fontId="6" fillId="12" borderId="20" xfId="0" applyNumberFormat="1" applyFont="1" applyFill="1" applyBorder="1" applyAlignment="1">
      <alignment horizontal="center"/>
    </xf>
    <xf numFmtId="0" fontId="6" fillId="12" borderId="32" xfId="0" applyFont="1" applyFill="1" applyBorder="1" applyAlignment="1">
      <alignment horizontal="left"/>
    </xf>
    <xf numFmtId="0" fontId="6" fillId="12" borderId="13" xfId="0" applyFont="1" applyFill="1" applyBorder="1"/>
    <xf numFmtId="165" fontId="6" fillId="12" borderId="33" xfId="0" applyNumberFormat="1" applyFont="1" applyFill="1" applyBorder="1" applyAlignment="1">
      <alignment horizontal="center"/>
    </xf>
    <xf numFmtId="0" fontId="6" fillId="12" borderId="32" xfId="0" applyFont="1" applyFill="1" applyBorder="1"/>
    <xf numFmtId="0" fontId="6" fillId="12" borderId="19" xfId="0" applyFont="1" applyFill="1" applyBorder="1"/>
    <xf numFmtId="165" fontId="0" fillId="0" borderId="0" xfId="0" applyNumberFormat="1"/>
    <xf numFmtId="165" fontId="0" fillId="12" borderId="0" xfId="0" applyNumberFormat="1" applyFill="1"/>
    <xf numFmtId="165" fontId="0" fillId="13" borderId="20" xfId="0" applyNumberFormat="1" applyFill="1" applyBorder="1" applyAlignment="1">
      <alignment horizontal="center"/>
    </xf>
    <xf numFmtId="0" fontId="0" fillId="13" borderId="19" xfId="0" applyFill="1" applyBorder="1" applyAlignment="1">
      <alignment horizontal="left"/>
    </xf>
    <xf numFmtId="0" fontId="0" fillId="13" borderId="32" xfId="0" applyFill="1" applyBorder="1" applyAlignment="1">
      <alignment horizontal="left"/>
    </xf>
    <xf numFmtId="165" fontId="0" fillId="13" borderId="33" xfId="0" applyNumberFormat="1" applyFill="1" applyBorder="1" applyAlignment="1">
      <alignment horizontal="center"/>
    </xf>
    <xf numFmtId="165" fontId="6" fillId="13" borderId="20" xfId="0" applyNumberFormat="1" applyFont="1" applyFill="1" applyBorder="1" applyAlignment="1">
      <alignment horizontal="center"/>
    </xf>
    <xf numFmtId="0" fontId="6" fillId="13" borderId="19" xfId="0" applyFont="1" applyFill="1" applyBorder="1" applyAlignment="1">
      <alignment horizontal="left"/>
    </xf>
    <xf numFmtId="165" fontId="21" fillId="0" borderId="0" xfId="0" applyNumberFormat="1" applyFont="1"/>
    <xf numFmtId="43" fontId="2" fillId="0" borderId="0" xfId="1" applyFont="1"/>
    <xf numFmtId="165" fontId="0" fillId="0" borderId="10" xfId="0" applyNumberFormat="1" applyBorder="1"/>
    <xf numFmtId="165" fontId="0" fillId="0" borderId="20" xfId="0" applyNumberFormat="1" applyBorder="1"/>
    <xf numFmtId="165" fontId="0" fillId="0" borderId="52" xfId="0" applyNumberFormat="1" applyBorder="1"/>
    <xf numFmtId="165" fontId="6" fillId="0" borderId="53" xfId="0" applyNumberFormat="1" applyFont="1" applyBorder="1" applyAlignment="1">
      <alignment horizontal="center"/>
    </xf>
    <xf numFmtId="165" fontId="0" fillId="0" borderId="54" xfId="0" applyNumberFormat="1" applyBorder="1"/>
    <xf numFmtId="165" fontId="6" fillId="0" borderId="52" xfId="0" applyNumberFormat="1" applyFont="1" applyBorder="1"/>
    <xf numFmtId="165" fontId="0" fillId="0" borderId="55" xfId="0" applyNumberFormat="1" applyBorder="1"/>
    <xf numFmtId="165" fontId="6" fillId="0" borderId="53" xfId="0" applyNumberFormat="1" applyFont="1" applyBorder="1"/>
    <xf numFmtId="165" fontId="6" fillId="0" borderId="54" xfId="0" applyNumberFormat="1" applyFont="1" applyBorder="1"/>
    <xf numFmtId="0" fontId="6" fillId="0" borderId="4" xfId="0" applyFont="1" applyBorder="1" applyAlignment="1">
      <alignment horizontal="left" vertical="top"/>
    </xf>
    <xf numFmtId="0" fontId="2" fillId="0" borderId="6" xfId="0" applyFont="1" applyBorder="1" applyAlignment="1"/>
    <xf numFmtId="0" fontId="2" fillId="0" borderId="5" xfId="0" applyFont="1" applyBorder="1" applyAlignment="1"/>
    <xf numFmtId="0" fontId="13" fillId="0" borderId="6" xfId="0" applyFont="1" applyBorder="1" applyAlignment="1">
      <alignment horizontal="left" vertical="top"/>
    </xf>
    <xf numFmtId="0" fontId="14" fillId="0" borderId="7" xfId="0" applyFont="1" applyBorder="1" applyAlignment="1">
      <alignment horizontal="left"/>
    </xf>
    <xf numFmtId="0" fontId="2" fillId="0" borderId="7" xfId="0" applyFont="1" applyBorder="1" applyAlignment="1"/>
    <xf numFmtId="0" fontId="2" fillId="0" borderId="8" xfId="0" applyFont="1" applyBorder="1" applyAlignment="1"/>
    <xf numFmtId="0" fontId="14" fillId="0" borderId="7" xfId="0" applyFont="1" applyBorder="1" applyAlignment="1">
      <alignment horizontal="left" vertical="top"/>
    </xf>
    <xf numFmtId="0" fontId="14" fillId="0" borderId="6" xfId="0" applyFont="1" applyBorder="1" applyAlignment="1">
      <alignment horizontal="left" vertical="top"/>
    </xf>
    <xf numFmtId="166" fontId="13" fillId="0" borderId="6" xfId="0" applyNumberFormat="1" applyFont="1" applyBorder="1" applyAlignment="1">
      <alignment horizontal="left" vertical="top"/>
    </xf>
    <xf numFmtId="0" fontId="1" fillId="0" borderId="6" xfId="0" applyFont="1" applyBorder="1" applyAlignment="1">
      <alignment horizontal="left" vertical="top"/>
    </xf>
    <xf numFmtId="0" fontId="4" fillId="0" borderId="11" xfId="0" applyFont="1" applyBorder="1" applyAlignment="1">
      <alignment horizontal="center"/>
    </xf>
    <xf numFmtId="0" fontId="4" fillId="0" borderId="12" xfId="0" applyFont="1" applyBorder="1" applyAlignment="1">
      <alignment horizontal="center"/>
    </xf>
    <xf numFmtId="0" fontId="4" fillId="0" borderId="15" xfId="0" applyFont="1" applyBorder="1" applyAlignment="1">
      <alignment horizontal="center"/>
    </xf>
    <xf numFmtId="0" fontId="4" fillId="0" borderId="16" xfId="0" applyFont="1" applyBorder="1" applyAlignment="1">
      <alignment horizontal="center"/>
    </xf>
    <xf numFmtId="0" fontId="3" fillId="0" borderId="23" xfId="0" applyFont="1" applyBorder="1" applyAlignment="1">
      <alignment horizontal="left"/>
    </xf>
    <xf numFmtId="0" fontId="3" fillId="0" borderId="24" xfId="0" applyFont="1" applyBorder="1" applyAlignment="1">
      <alignment horizontal="left"/>
    </xf>
    <xf numFmtId="0" fontId="3" fillId="0" borderId="25" xfId="0" applyFont="1" applyBorder="1" applyAlignment="1">
      <alignment horizontal="left"/>
    </xf>
    <xf numFmtId="0" fontId="0" fillId="2" borderId="2" xfId="0" applyFill="1" applyBorder="1" applyAlignment="1"/>
    <xf numFmtId="0" fontId="2" fillId="0" borderId="3" xfId="0" applyFont="1" applyBorder="1" applyAlignment="1"/>
    <xf numFmtId="0" fontId="6" fillId="0" borderId="0" xfId="0" applyFont="1" applyAlignment="1">
      <alignment horizontal="left" vertical="top"/>
    </xf>
    <xf numFmtId="0" fontId="0" fillId="0" borderId="0" xfId="0" applyAlignment="1"/>
    <xf numFmtId="0" fontId="6" fillId="0" borderId="17" xfId="0" applyFont="1" applyBorder="1" applyAlignment="1">
      <alignment horizontal="center"/>
    </xf>
    <xf numFmtId="0" fontId="6" fillId="0" borderId="31" xfId="0" applyFont="1" applyBorder="1" applyAlignment="1">
      <alignment horizontal="center"/>
    </xf>
    <xf numFmtId="0" fontId="6" fillId="0" borderId="34" xfId="0" applyFont="1" applyBorder="1" applyAlignment="1">
      <alignment horizontal="left"/>
    </xf>
    <xf numFmtId="0" fontId="6" fillId="0" borderId="30" xfId="0" applyFont="1" applyBorder="1" applyAlignment="1">
      <alignment horizontal="left"/>
    </xf>
    <xf numFmtId="0" fontId="6" fillId="0" borderId="50" xfId="0" applyFont="1" applyBorder="1" applyAlignment="1">
      <alignment horizontal="center"/>
    </xf>
    <xf numFmtId="0" fontId="6" fillId="0" borderId="51" xfId="0" applyFont="1" applyBorder="1" applyAlignment="1">
      <alignment horizontal="center"/>
    </xf>
    <xf numFmtId="0" fontId="6" fillId="0" borderId="21" xfId="0" applyFont="1" applyBorder="1" applyAlignment="1">
      <alignment horizontal="left"/>
    </xf>
    <xf numFmtId="0" fontId="6" fillId="0" borderId="50" xfId="0" applyFont="1" applyBorder="1" applyAlignment="1">
      <alignment horizontal="left"/>
    </xf>
    <xf numFmtId="0" fontId="6" fillId="0" borderId="0" xfId="0" applyFont="1" applyBorder="1" applyAlignment="1">
      <alignment horizontal="center"/>
    </xf>
    <xf numFmtId="0" fontId="6" fillId="0" borderId="56" xfId="0" applyFont="1" applyBorder="1" applyAlignment="1">
      <alignment horizontal="center"/>
    </xf>
    <xf numFmtId="0" fontId="6" fillId="0" borderId="57" xfId="0" applyFont="1" applyBorder="1" applyAlignment="1">
      <alignment horizontal="center"/>
    </xf>
    <xf numFmtId="0" fontId="6" fillId="0" borderId="58" xfId="0" applyFont="1" applyBorder="1" applyAlignment="1">
      <alignment horizontal="center"/>
    </xf>
    <xf numFmtId="0" fontId="6" fillId="0" borderId="59" xfId="0" applyFont="1" applyBorder="1" applyAlignment="1">
      <alignment horizontal="center"/>
    </xf>
    <xf numFmtId="0" fontId="6" fillId="0" borderId="59" xfId="0" applyFont="1" applyBorder="1"/>
    <xf numFmtId="0" fontId="6" fillId="0" borderId="60" xfId="0"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8</xdr:col>
      <xdr:colOff>41910</xdr:colOff>
      <xdr:row>4</xdr:row>
      <xdr:rowOff>137161</xdr:rowOff>
    </xdr:from>
    <xdr:ext cx="7959090" cy="4312919"/>
    <xdr:pic>
      <xdr:nvPicPr>
        <xdr:cNvPr id="2" name="image1.png" title="Image">
          <a:extLst>
            <a:ext uri="{FF2B5EF4-FFF2-40B4-BE49-F238E27FC236}">
              <a16:creationId xmlns:a16="http://schemas.microsoft.com/office/drawing/2014/main" id="{A20C47A3-AC89-4BF9-A364-0E3AD865022C}"/>
            </a:ext>
          </a:extLst>
        </xdr:cNvPr>
        <xdr:cNvPicPr preferRelativeResize="0"/>
      </xdr:nvPicPr>
      <xdr:blipFill>
        <a:blip xmlns:r="http://schemas.openxmlformats.org/officeDocument/2006/relationships" r:embed="rId1" cstate="print"/>
        <a:stretch>
          <a:fillRect/>
        </a:stretch>
      </xdr:blipFill>
      <xdr:spPr>
        <a:xfrm>
          <a:off x="10755630" y="1325881"/>
          <a:ext cx="7959090" cy="4312919"/>
        </a:xfrm>
        <a:prstGeom prst="rect">
          <a:avLst/>
        </a:prstGeom>
        <a:noFill/>
      </xdr:spPr>
    </xdr:pic>
    <xdr:clientData fLocksWithSheet="0"/>
  </xdr:oneCellAnchor>
  <xdr:twoCellAnchor>
    <xdr:from>
      <xdr:col>29</xdr:col>
      <xdr:colOff>885264</xdr:colOff>
      <xdr:row>51</xdr:row>
      <xdr:rowOff>156882</xdr:rowOff>
    </xdr:from>
    <xdr:to>
      <xdr:col>30</xdr:col>
      <xdr:colOff>537882</xdr:colOff>
      <xdr:row>54</xdr:row>
      <xdr:rowOff>56030</xdr:rowOff>
    </xdr:to>
    <xdr:sp macro="" textlink="">
      <xdr:nvSpPr>
        <xdr:cNvPr id="3" name="Arrow: Right 2">
          <a:extLst>
            <a:ext uri="{FF2B5EF4-FFF2-40B4-BE49-F238E27FC236}">
              <a16:creationId xmlns:a16="http://schemas.microsoft.com/office/drawing/2014/main" id="{2DF883E1-3580-4C81-9B3E-225B8719D6B0}"/>
            </a:ext>
          </a:extLst>
        </xdr:cNvPr>
        <xdr:cNvSpPr/>
      </xdr:nvSpPr>
      <xdr:spPr>
        <a:xfrm>
          <a:off x="29292176" y="11060206"/>
          <a:ext cx="616324" cy="50426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30</xdr:col>
      <xdr:colOff>713971</xdr:colOff>
      <xdr:row>45</xdr:row>
      <xdr:rowOff>55547</xdr:rowOff>
    </xdr:from>
    <xdr:to>
      <xdr:col>31</xdr:col>
      <xdr:colOff>280590</xdr:colOff>
      <xdr:row>48</xdr:row>
      <xdr:rowOff>127265</xdr:rowOff>
    </xdr:to>
    <xdr:sp macro="" textlink="">
      <xdr:nvSpPr>
        <xdr:cNvPr id="4" name="Arrow: Right 3">
          <a:extLst>
            <a:ext uri="{FF2B5EF4-FFF2-40B4-BE49-F238E27FC236}">
              <a16:creationId xmlns:a16="http://schemas.microsoft.com/office/drawing/2014/main" id="{1785B784-B510-4450-8F20-B4EA0C279F56}"/>
            </a:ext>
          </a:extLst>
        </xdr:cNvPr>
        <xdr:cNvSpPr/>
      </xdr:nvSpPr>
      <xdr:spPr>
        <a:xfrm rot="4215129">
          <a:off x="30011334" y="9821890"/>
          <a:ext cx="676836" cy="530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28</xdr:col>
      <xdr:colOff>0</xdr:colOff>
      <xdr:row>3</xdr:row>
      <xdr:rowOff>0</xdr:rowOff>
    </xdr:from>
    <xdr:to>
      <xdr:col>39</xdr:col>
      <xdr:colOff>560583</xdr:colOff>
      <xdr:row>19</xdr:row>
      <xdr:rowOff>170952</xdr:rowOff>
    </xdr:to>
    <xdr:pic>
      <xdr:nvPicPr>
        <xdr:cNvPr id="5" name="Picture 4">
          <a:extLst>
            <a:ext uri="{FF2B5EF4-FFF2-40B4-BE49-F238E27FC236}">
              <a16:creationId xmlns:a16="http://schemas.microsoft.com/office/drawing/2014/main" id="{B1B9C2EE-44B5-1D61-54D7-03176FC15CD3}"/>
            </a:ext>
          </a:extLst>
        </xdr:cNvPr>
        <xdr:cNvPicPr>
          <a:picLocks noChangeAspect="1"/>
        </xdr:cNvPicPr>
      </xdr:nvPicPr>
      <xdr:blipFill>
        <a:blip xmlns:r="http://schemas.openxmlformats.org/officeDocument/2006/relationships" r:embed="rId2"/>
        <a:stretch>
          <a:fillRect/>
        </a:stretch>
      </xdr:blipFill>
      <xdr:spPr>
        <a:xfrm>
          <a:off x="27483955" y="597477"/>
          <a:ext cx="11133333" cy="3980952"/>
        </a:xfrm>
        <a:prstGeom prst="rect">
          <a:avLst/>
        </a:prstGeom>
      </xdr:spPr>
    </xdr:pic>
    <xdr:clientData/>
  </xdr:twoCellAnchor>
  <xdr:twoCellAnchor editAs="oneCell">
    <xdr:from>
      <xdr:col>28</xdr:col>
      <xdr:colOff>0</xdr:colOff>
      <xdr:row>21</xdr:row>
      <xdr:rowOff>0</xdr:rowOff>
    </xdr:from>
    <xdr:to>
      <xdr:col>35</xdr:col>
      <xdr:colOff>58417</xdr:colOff>
      <xdr:row>53</xdr:row>
      <xdr:rowOff>41524</xdr:rowOff>
    </xdr:to>
    <xdr:pic>
      <xdr:nvPicPr>
        <xdr:cNvPr id="6" name="Picture 5">
          <a:extLst>
            <a:ext uri="{FF2B5EF4-FFF2-40B4-BE49-F238E27FC236}">
              <a16:creationId xmlns:a16="http://schemas.microsoft.com/office/drawing/2014/main" id="{9204A886-77CA-2DDF-B582-FDE8F56FB39E}"/>
            </a:ext>
          </a:extLst>
        </xdr:cNvPr>
        <xdr:cNvPicPr>
          <a:picLocks noChangeAspect="1"/>
        </xdr:cNvPicPr>
      </xdr:nvPicPr>
      <xdr:blipFill>
        <a:blip xmlns:r="http://schemas.openxmlformats.org/officeDocument/2006/relationships" r:embed="rId3"/>
        <a:stretch>
          <a:fillRect/>
        </a:stretch>
      </xdr:blipFill>
      <xdr:spPr>
        <a:xfrm>
          <a:off x="27484917" y="4847167"/>
          <a:ext cx="6800000" cy="6476190"/>
        </a:xfrm>
        <a:prstGeom prst="rect">
          <a:avLst/>
        </a:prstGeom>
      </xdr:spPr>
    </xdr:pic>
    <xdr:clientData/>
  </xdr:twoCellAnchor>
  <xdr:twoCellAnchor editAs="oneCell">
    <xdr:from>
      <xdr:col>36</xdr:col>
      <xdr:colOff>0</xdr:colOff>
      <xdr:row>23</xdr:row>
      <xdr:rowOff>0</xdr:rowOff>
    </xdr:from>
    <xdr:to>
      <xdr:col>42</xdr:col>
      <xdr:colOff>554833</xdr:colOff>
      <xdr:row>61</xdr:row>
      <xdr:rowOff>82642</xdr:rowOff>
    </xdr:to>
    <xdr:pic>
      <xdr:nvPicPr>
        <xdr:cNvPr id="8" name="Picture 7">
          <a:extLst>
            <a:ext uri="{FF2B5EF4-FFF2-40B4-BE49-F238E27FC236}">
              <a16:creationId xmlns:a16="http://schemas.microsoft.com/office/drawing/2014/main" id="{9C5C73AD-E385-7DDE-5CE6-6FFCFCBC4E95}"/>
            </a:ext>
          </a:extLst>
        </xdr:cNvPr>
        <xdr:cNvPicPr>
          <a:picLocks noChangeAspect="1"/>
        </xdr:cNvPicPr>
      </xdr:nvPicPr>
      <xdr:blipFill>
        <a:blip xmlns:r="http://schemas.openxmlformats.org/officeDocument/2006/relationships" r:embed="rId4"/>
        <a:stretch>
          <a:fillRect/>
        </a:stretch>
      </xdr:blipFill>
      <xdr:spPr>
        <a:xfrm>
          <a:off x="35189583" y="5249333"/>
          <a:ext cx="6333333" cy="7723809"/>
        </a:xfrm>
        <a:prstGeom prst="rect">
          <a:avLst/>
        </a:prstGeom>
      </xdr:spPr>
    </xdr:pic>
    <xdr:clientData/>
  </xdr:twoCellAnchor>
  <xdr:twoCellAnchor editAs="oneCell">
    <xdr:from>
      <xdr:col>42</xdr:col>
      <xdr:colOff>0</xdr:colOff>
      <xdr:row>4</xdr:row>
      <xdr:rowOff>0</xdr:rowOff>
    </xdr:from>
    <xdr:to>
      <xdr:col>47</xdr:col>
      <xdr:colOff>100982</xdr:colOff>
      <xdr:row>12</xdr:row>
      <xdr:rowOff>107702</xdr:rowOff>
    </xdr:to>
    <xdr:pic>
      <xdr:nvPicPr>
        <xdr:cNvPr id="7" name="Picture 6">
          <a:extLst>
            <a:ext uri="{FF2B5EF4-FFF2-40B4-BE49-F238E27FC236}">
              <a16:creationId xmlns:a16="http://schemas.microsoft.com/office/drawing/2014/main" id="{65FF4285-14B8-8FC8-238B-8F285CD59408}"/>
            </a:ext>
          </a:extLst>
        </xdr:cNvPr>
        <xdr:cNvPicPr>
          <a:picLocks noChangeAspect="1"/>
        </xdr:cNvPicPr>
      </xdr:nvPicPr>
      <xdr:blipFill>
        <a:blip xmlns:r="http://schemas.openxmlformats.org/officeDocument/2006/relationships" r:embed="rId5"/>
        <a:stretch>
          <a:fillRect/>
        </a:stretch>
      </xdr:blipFill>
      <xdr:spPr>
        <a:xfrm>
          <a:off x="48418750" y="1206500"/>
          <a:ext cx="4942857" cy="1980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ogle.com/url?q=https://www.ers.usda.gov/webdocs/outlooks/40459/11717_wrs0702_1_.pdf?v%3D3385.2%23:~:text%3DNatural%2520gas%2520is%2520the%2520primary,produce%25201%2520ton%2520of%2520ammonia&amp;sa=D&amp;source=editors&amp;ust=1616067852073000&amp;usg=AFQjCNHWy75QnDQemwK02LQbO73Ku38bFg" TargetMode="External"/><Relationship Id="rId1" Type="http://schemas.openxmlformats.org/officeDocument/2006/relationships/hyperlink" Target="https://www.sasol.com/sites/default/files/financial_reports/Additional%20Analyst%20Information%20-%2031%20December%202017.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69821-0AAB-4368-8555-EBE36569EFBC}">
  <sheetPr codeName="Sheet7"/>
  <dimension ref="A1:AQ1000"/>
  <sheetViews>
    <sheetView topLeftCell="N1" zoomScale="80" zoomScaleNormal="80" workbookViewId="0">
      <selection activeCell="S31" sqref="S31"/>
    </sheetView>
  </sheetViews>
  <sheetFormatPr defaultColWidth="11.1796875" defaultRowHeight="15" customHeight="1"/>
  <cols>
    <col min="1" max="1" width="53.90625" bestFit="1" customWidth="1"/>
    <col min="2" max="11" width="10.54296875" customWidth="1"/>
    <col min="12" max="12" width="20.90625" customWidth="1"/>
    <col min="13" max="16" width="10.54296875" customWidth="1"/>
    <col min="17" max="17" width="2.90625" customWidth="1"/>
    <col min="18" max="18" width="21" customWidth="1"/>
    <col min="19" max="19" width="28.81640625" bestFit="1" customWidth="1"/>
    <col min="20" max="20" width="14" customWidth="1"/>
    <col min="21" max="21" width="12.81640625" bestFit="1" customWidth="1"/>
    <col min="22" max="24" width="10.54296875" customWidth="1"/>
    <col min="25" max="25" width="41.1796875" bestFit="1" customWidth="1"/>
    <col min="26" max="28" width="10.54296875" customWidth="1"/>
  </cols>
  <sheetData>
    <row r="1" spans="1:43" ht="15.75" customHeight="1">
      <c r="A1" t="s">
        <v>0</v>
      </c>
    </row>
    <row r="2" spans="1:43" ht="15.75" customHeight="1" thickBot="1">
      <c r="A2" t="s">
        <v>1</v>
      </c>
    </row>
    <row r="3" spans="1:43" ht="15.75" customHeight="1" thickBot="1">
      <c r="A3" s="1" t="s">
        <v>2</v>
      </c>
      <c r="B3" s="1"/>
      <c r="C3" s="204" t="s">
        <v>3</v>
      </c>
      <c r="D3" s="205"/>
      <c r="E3" s="205"/>
      <c r="F3" s="205"/>
      <c r="G3" s="205"/>
      <c r="H3" s="205"/>
      <c r="I3" s="205"/>
      <c r="J3" s="205"/>
      <c r="K3" s="201" t="s">
        <v>4</v>
      </c>
      <c r="L3" s="202"/>
      <c r="M3" s="202"/>
      <c r="N3" s="202"/>
      <c r="O3" s="203"/>
      <c r="R3" s="197" t="s">
        <v>5</v>
      </c>
      <c r="S3" s="198"/>
      <c r="T3" s="198"/>
      <c r="U3" s="198"/>
      <c r="V3" s="198"/>
      <c r="W3" s="198"/>
      <c r="X3" s="199"/>
      <c r="Y3" s="200"/>
    </row>
    <row r="4" spans="1:43" ht="46.5" customHeight="1">
      <c r="A4" s="4"/>
      <c r="B4" s="5"/>
      <c r="C4" s="5" t="s">
        <v>6</v>
      </c>
      <c r="D4" s="5" t="s">
        <v>7</v>
      </c>
      <c r="E4" s="5" t="s">
        <v>8</v>
      </c>
      <c r="F4" s="5" t="s">
        <v>9</v>
      </c>
      <c r="G4" s="5" t="s">
        <v>10</v>
      </c>
      <c r="H4" s="5" t="s">
        <v>11</v>
      </c>
      <c r="I4" s="5" t="s">
        <v>12</v>
      </c>
      <c r="J4" s="6" t="s">
        <v>13</v>
      </c>
      <c r="K4" s="96" t="s">
        <v>14</v>
      </c>
      <c r="M4" s="4"/>
      <c r="N4" s="4"/>
      <c r="O4" s="97"/>
      <c r="P4" s="4"/>
      <c r="Q4" s="4"/>
      <c r="R4" s="66"/>
      <c r="S4" s="66"/>
      <c r="T4" s="66" t="s">
        <v>15</v>
      </c>
      <c r="U4" s="66" t="s">
        <v>16</v>
      </c>
      <c r="V4" s="66" t="s">
        <v>17</v>
      </c>
      <c r="W4" s="73" t="s">
        <v>18</v>
      </c>
      <c r="X4" s="81" t="s">
        <v>19</v>
      </c>
      <c r="Y4" s="82" t="s">
        <v>20</v>
      </c>
      <c r="Z4" s="4" t="s">
        <v>21</v>
      </c>
      <c r="AA4" s="4" t="s">
        <v>22</v>
      </c>
      <c r="AB4" s="4"/>
      <c r="AQ4" t="s">
        <v>23</v>
      </c>
    </row>
    <row r="5" spans="1:43" ht="33.75" customHeight="1">
      <c r="A5" s="2" t="s">
        <v>24</v>
      </c>
      <c r="B5" s="5"/>
      <c r="C5" s="7">
        <v>25570.8125</v>
      </c>
      <c r="D5" s="7">
        <v>0</v>
      </c>
      <c r="E5" s="7">
        <v>0</v>
      </c>
      <c r="F5" s="7">
        <v>0</v>
      </c>
      <c r="G5" s="7">
        <v>0</v>
      </c>
      <c r="H5" s="7">
        <v>0</v>
      </c>
      <c r="I5" s="7">
        <v>0</v>
      </c>
      <c r="J5" s="7" t="e">
        <v>#VALUE!</v>
      </c>
      <c r="K5" s="98"/>
      <c r="M5" s="4"/>
      <c r="N5" s="4"/>
      <c r="O5" s="97"/>
      <c r="P5" s="4"/>
      <c r="Q5" s="4"/>
      <c r="R5" s="65" t="s">
        <v>24</v>
      </c>
      <c r="S5" s="65"/>
      <c r="T5" s="66"/>
      <c r="U5" s="66"/>
      <c r="V5" s="66"/>
      <c r="W5" s="74">
        <f>W6+W7</f>
        <v>25.570812499999999</v>
      </c>
      <c r="X5" s="83">
        <f>X6+X7</f>
        <v>50.152312499999994</v>
      </c>
      <c r="Y5" s="84"/>
      <c r="Z5" s="4"/>
      <c r="AA5" s="4"/>
      <c r="AB5" s="4"/>
    </row>
    <row r="6" spans="1:43" ht="15.75" customHeight="1">
      <c r="A6" s="2" t="s">
        <v>25</v>
      </c>
      <c r="C6" s="7">
        <v>124124.4375</v>
      </c>
      <c r="D6" s="7">
        <v>0</v>
      </c>
      <c r="E6" s="7">
        <v>0</v>
      </c>
      <c r="F6" s="7">
        <v>0</v>
      </c>
      <c r="G6" s="7">
        <v>0</v>
      </c>
      <c r="H6" s="7">
        <v>0</v>
      </c>
      <c r="I6" s="7">
        <v>0</v>
      </c>
      <c r="J6" s="7" t="e">
        <v>#VALUE!</v>
      </c>
      <c r="K6" s="99"/>
      <c r="O6" s="100"/>
      <c r="R6" s="66"/>
      <c r="S6" s="67" t="s">
        <v>26</v>
      </c>
      <c r="T6" s="66"/>
      <c r="U6" s="66"/>
      <c r="V6" s="66"/>
      <c r="W6" s="75">
        <f>C5/1000</f>
        <v>25.570812499999999</v>
      </c>
      <c r="X6" s="85">
        <f>W6</f>
        <v>25.570812499999999</v>
      </c>
      <c r="Y6" s="86" t="s">
        <v>27</v>
      </c>
    </row>
    <row r="7" spans="1:43" ht="15.75" customHeight="1">
      <c r="A7" s="2" t="s">
        <v>28</v>
      </c>
      <c r="C7" s="7">
        <v>-498.75</v>
      </c>
      <c r="D7" s="7">
        <v>0</v>
      </c>
      <c r="E7" s="7">
        <v>0</v>
      </c>
      <c r="F7" s="7">
        <v>0</v>
      </c>
      <c r="G7" s="7">
        <v>0</v>
      </c>
      <c r="H7" s="7">
        <v>0</v>
      </c>
      <c r="I7" s="7">
        <v>0</v>
      </c>
      <c r="J7" s="7" t="e">
        <v>#VALUE!</v>
      </c>
      <c r="K7" s="99"/>
      <c r="O7" s="100"/>
      <c r="R7" s="66"/>
      <c r="S7" s="67" t="s">
        <v>29</v>
      </c>
      <c r="T7" s="66">
        <v>27.411000000000001</v>
      </c>
      <c r="U7" s="66">
        <v>21.280999999999999</v>
      </c>
      <c r="V7" s="66"/>
      <c r="W7" s="76">
        <v>0</v>
      </c>
      <c r="X7" s="87">
        <f>N33</f>
        <v>24.581499999999998</v>
      </c>
      <c r="Y7" s="86" t="s">
        <v>4</v>
      </c>
    </row>
    <row r="8" spans="1:43" ht="15.75" customHeight="1">
      <c r="A8" s="10" t="s">
        <v>30</v>
      </c>
      <c r="B8" s="10"/>
      <c r="C8" s="11">
        <v>149196.5</v>
      </c>
      <c r="D8" s="11">
        <v>0</v>
      </c>
      <c r="E8" s="11">
        <v>0</v>
      </c>
      <c r="F8" s="11">
        <v>0</v>
      </c>
      <c r="G8" s="11">
        <v>0</v>
      </c>
      <c r="H8" s="11">
        <v>0</v>
      </c>
      <c r="I8" s="11">
        <v>0</v>
      </c>
      <c r="J8" s="11" t="e">
        <v>#VALUE!</v>
      </c>
      <c r="K8" s="99"/>
      <c r="O8" s="100"/>
      <c r="R8" s="67" t="s">
        <v>25</v>
      </c>
      <c r="S8" s="66"/>
      <c r="T8" s="66">
        <v>153.55799999999999</v>
      </c>
      <c r="U8" s="66">
        <v>155.483</v>
      </c>
      <c r="V8" s="66"/>
      <c r="W8" s="75">
        <f>C6/1000</f>
        <v>124.1244375</v>
      </c>
      <c r="X8" s="85">
        <f>N32</f>
        <v>151.28700000000001</v>
      </c>
      <c r="Y8" s="86" t="s">
        <v>4</v>
      </c>
    </row>
    <row r="9" spans="1:43" ht="15.75" customHeight="1">
      <c r="A9" s="12" t="s">
        <v>31</v>
      </c>
      <c r="B9" s="12"/>
      <c r="C9" s="13">
        <v>13379.132661819458</v>
      </c>
      <c r="D9" s="13">
        <v>1174.3655652999878</v>
      </c>
      <c r="E9" s="13">
        <v>0</v>
      </c>
      <c r="F9" s="13">
        <v>0</v>
      </c>
      <c r="G9" s="13">
        <v>0</v>
      </c>
      <c r="H9" s="13">
        <v>-35803.75</v>
      </c>
      <c r="I9" s="13">
        <v>0</v>
      </c>
      <c r="J9" s="13" t="e">
        <v>#VALUE!</v>
      </c>
      <c r="K9" s="101"/>
      <c r="O9" s="100"/>
      <c r="R9" s="65" t="s">
        <v>32</v>
      </c>
      <c r="S9" s="65"/>
      <c r="T9" s="68">
        <f>T7+T8</f>
        <v>180.96899999999999</v>
      </c>
      <c r="U9" s="68">
        <f>U7+U8</f>
        <v>176.76400000000001</v>
      </c>
      <c r="V9" s="69">
        <f>-V13+V20</f>
        <v>180</v>
      </c>
      <c r="W9" s="74">
        <f>W8+W5</f>
        <v>149.69524999999999</v>
      </c>
      <c r="X9" s="83">
        <f t="shared" ref="X9" si="0">X8+X5</f>
        <v>201.4393125</v>
      </c>
      <c r="Y9" s="84"/>
    </row>
    <row r="10" spans="1:43" ht="15.75" customHeight="1">
      <c r="A10" s="14" t="s">
        <v>33</v>
      </c>
      <c r="B10" s="14"/>
      <c r="C10" s="15">
        <v>-88318.546875</v>
      </c>
      <c r="D10" s="15">
        <v>21556.609375</v>
      </c>
      <c r="E10" s="15">
        <v>23257.001953125</v>
      </c>
      <c r="F10" s="15">
        <v>22961</v>
      </c>
      <c r="G10" s="15">
        <v>0</v>
      </c>
      <c r="H10" s="15">
        <v>35803.75</v>
      </c>
      <c r="I10" s="15">
        <v>0</v>
      </c>
      <c r="J10" s="15" t="e">
        <v>#VALUE!</v>
      </c>
      <c r="K10" s="102"/>
      <c r="O10" s="100"/>
      <c r="R10" s="70" t="s">
        <v>34</v>
      </c>
      <c r="S10" s="70"/>
      <c r="T10" s="66"/>
      <c r="U10" s="66"/>
      <c r="V10" s="66"/>
      <c r="W10" s="77">
        <f>W9+W11-W20</f>
        <v>-59.667711606025705</v>
      </c>
      <c r="X10" s="88">
        <f>X9+X11-X20</f>
        <v>0</v>
      </c>
      <c r="Y10" s="84"/>
    </row>
    <row r="11" spans="1:43" ht="15.75" customHeight="1">
      <c r="A11" s="2" t="s">
        <v>35</v>
      </c>
      <c r="C11" s="7">
        <v>0</v>
      </c>
      <c r="D11" s="7">
        <v>0</v>
      </c>
      <c r="E11" s="7">
        <v>23257.001953125</v>
      </c>
      <c r="F11" s="7">
        <v>0</v>
      </c>
      <c r="G11" s="7">
        <v>0</v>
      </c>
      <c r="H11" s="7">
        <v>0</v>
      </c>
      <c r="I11" s="7">
        <v>0</v>
      </c>
      <c r="J11" s="7" t="e">
        <v>#VALUE!</v>
      </c>
      <c r="K11" s="99"/>
      <c r="O11" s="100"/>
      <c r="R11" s="65" t="s">
        <v>33</v>
      </c>
      <c r="S11" s="65"/>
      <c r="T11" s="66"/>
      <c r="U11" s="66"/>
      <c r="V11" s="66"/>
      <c r="W11" s="78">
        <f>W12+W13+W17</f>
        <v>-99.754984374999992</v>
      </c>
      <c r="X11" s="83">
        <f>X12+X13+X17+X16</f>
        <v>-113.94491654499997</v>
      </c>
      <c r="Y11" s="84"/>
      <c r="Z11" s="7">
        <f>-X11+X20</f>
        <v>201.43931249999997</v>
      </c>
    </row>
    <row r="12" spans="1:43" ht="15.75" customHeight="1">
      <c r="A12" s="2" t="s">
        <v>36</v>
      </c>
      <c r="C12" s="7">
        <v>0</v>
      </c>
      <c r="D12" s="7">
        <v>21556.609375</v>
      </c>
      <c r="E12" s="7">
        <v>0</v>
      </c>
      <c r="F12" s="7">
        <v>0</v>
      </c>
      <c r="G12" s="7">
        <v>0</v>
      </c>
      <c r="H12" s="7">
        <v>0</v>
      </c>
      <c r="I12" s="7">
        <v>0</v>
      </c>
      <c r="J12" s="7" t="e">
        <v>#VALUE!</v>
      </c>
      <c r="K12" s="99"/>
      <c r="O12" s="100"/>
      <c r="R12" s="67" t="s">
        <v>37</v>
      </c>
      <c r="S12" s="66"/>
      <c r="T12" s="66"/>
      <c r="U12" s="66"/>
      <c r="V12" s="66"/>
      <c r="W12" s="79"/>
      <c r="X12" s="85">
        <f>-N43</f>
        <v>-28.640346999999998</v>
      </c>
      <c r="Y12" s="86" t="s">
        <v>38</v>
      </c>
      <c r="Z12" s="2" t="s">
        <v>39</v>
      </c>
      <c r="AA12" s="2" t="s">
        <v>40</v>
      </c>
    </row>
    <row r="13" spans="1:43" ht="15.75" customHeight="1">
      <c r="A13" s="2" t="s">
        <v>41</v>
      </c>
      <c r="C13" s="7">
        <v>0</v>
      </c>
      <c r="D13" s="7">
        <v>0</v>
      </c>
      <c r="E13" s="7">
        <v>0</v>
      </c>
      <c r="F13" s="7">
        <v>22961</v>
      </c>
      <c r="G13" s="7">
        <v>0</v>
      </c>
      <c r="H13" s="7">
        <v>0</v>
      </c>
      <c r="I13" s="7">
        <v>0</v>
      </c>
      <c r="J13" s="7" t="e">
        <v>#VALUE!</v>
      </c>
      <c r="K13" s="99"/>
      <c r="O13" s="100"/>
      <c r="R13" s="65" t="s">
        <v>42</v>
      </c>
      <c r="S13" s="65"/>
      <c r="T13" s="66"/>
      <c r="U13" s="66"/>
      <c r="V13" s="69">
        <v>-110</v>
      </c>
      <c r="W13" s="78">
        <f>C15/1000</f>
        <v>-88.318546874999996</v>
      </c>
      <c r="X13" s="83">
        <f>SUM(X14:X15)</f>
        <v>-48.871030190909067</v>
      </c>
      <c r="Y13" s="84"/>
    </row>
    <row r="14" spans="1:43" ht="15.75" customHeight="1">
      <c r="A14" s="2" t="s">
        <v>43</v>
      </c>
      <c r="C14" s="7">
        <v>0</v>
      </c>
      <c r="D14" s="7">
        <v>0</v>
      </c>
      <c r="E14" s="7">
        <v>0</v>
      </c>
      <c r="F14" s="7">
        <v>0</v>
      </c>
      <c r="G14" s="7">
        <v>0</v>
      </c>
      <c r="H14" s="7">
        <v>35803.75</v>
      </c>
      <c r="I14" s="7">
        <v>0</v>
      </c>
      <c r="J14" s="7" t="e">
        <v>#VALUE!</v>
      </c>
      <c r="K14" s="99"/>
      <c r="O14" s="100"/>
      <c r="R14" s="66"/>
      <c r="S14" s="67" t="s">
        <v>44</v>
      </c>
      <c r="T14" s="66"/>
      <c r="U14" s="66"/>
      <c r="V14" s="66"/>
      <c r="W14" s="79"/>
      <c r="X14" s="85">
        <f>-X6</f>
        <v>-25.570812499999999</v>
      </c>
      <c r="Y14" s="86" t="s">
        <v>0</v>
      </c>
    </row>
    <row r="15" spans="1:43" ht="15.75" customHeight="1">
      <c r="A15" s="2" t="s">
        <v>42</v>
      </c>
      <c r="C15" s="7">
        <v>-88318.546875</v>
      </c>
      <c r="D15" s="7">
        <v>0</v>
      </c>
      <c r="E15" s="7">
        <v>0</v>
      </c>
      <c r="F15" s="7">
        <v>0</v>
      </c>
      <c r="G15" s="7">
        <v>0</v>
      </c>
      <c r="H15" s="7">
        <v>0</v>
      </c>
      <c r="I15" s="7">
        <v>0</v>
      </c>
      <c r="J15" s="7" t="e">
        <v>#VALUE!</v>
      </c>
      <c r="K15" s="99"/>
      <c r="O15" s="100"/>
      <c r="R15" s="66"/>
      <c r="S15" s="67" t="s">
        <v>45</v>
      </c>
      <c r="T15" s="66"/>
      <c r="U15" s="66"/>
      <c r="V15" s="66"/>
      <c r="W15" s="79"/>
      <c r="X15" s="85">
        <f>-N47</f>
        <v>-23.300217690909065</v>
      </c>
      <c r="Y15" s="86" t="s">
        <v>46</v>
      </c>
    </row>
    <row r="16" spans="1:43" ht="15.75" customHeight="1">
      <c r="A16" s="14" t="s">
        <v>47</v>
      </c>
      <c r="B16" s="14"/>
      <c r="C16" s="15">
        <v>11436.4375</v>
      </c>
      <c r="D16" s="15">
        <v>1183.47900390625</v>
      </c>
      <c r="E16" s="15">
        <v>0</v>
      </c>
      <c r="F16" s="15">
        <v>0</v>
      </c>
      <c r="G16" s="15">
        <v>0</v>
      </c>
      <c r="H16" s="15">
        <v>0</v>
      </c>
      <c r="I16" s="15">
        <v>0</v>
      </c>
      <c r="J16" s="15" t="e">
        <v>#VALUE!</v>
      </c>
      <c r="K16" s="102"/>
      <c r="O16" s="100"/>
      <c r="R16" s="67" t="s">
        <v>48</v>
      </c>
      <c r="S16" s="66"/>
      <c r="T16" s="66"/>
      <c r="U16" s="66"/>
      <c r="V16" s="66"/>
      <c r="W16" s="79"/>
      <c r="X16" s="89">
        <f>-33*1.055*D76/1000000</f>
        <v>-10.898592044999999</v>
      </c>
      <c r="Y16" s="86" t="s">
        <v>49</v>
      </c>
      <c r="Z16" s="2" t="s">
        <v>50</v>
      </c>
      <c r="AA16" s="2" t="s">
        <v>51</v>
      </c>
    </row>
    <row r="17" spans="1:28" ht="15.75" customHeight="1">
      <c r="A17" s="2" t="s">
        <v>52</v>
      </c>
      <c r="C17" s="7">
        <v>11436.4375</v>
      </c>
      <c r="D17" s="7">
        <v>1183.47900390625</v>
      </c>
      <c r="E17" s="7">
        <v>0</v>
      </c>
      <c r="F17" s="7">
        <v>0</v>
      </c>
      <c r="G17" s="7">
        <v>0</v>
      </c>
      <c r="H17" s="7">
        <v>0</v>
      </c>
      <c r="I17" s="7">
        <v>0</v>
      </c>
      <c r="J17" s="7" t="e">
        <v>#VALUE!</v>
      </c>
      <c r="K17" s="99"/>
      <c r="O17" s="100"/>
      <c r="R17" s="65" t="s">
        <v>53</v>
      </c>
      <c r="S17" s="65"/>
      <c r="T17" s="66"/>
      <c r="U17" s="66"/>
      <c r="V17" s="66"/>
      <c r="W17" s="78">
        <f>-C17/1000</f>
        <v>-11.4364375</v>
      </c>
      <c r="X17" s="83">
        <f>SUM(X18:X19)</f>
        <v>-25.53494730909091</v>
      </c>
      <c r="Y17" s="84"/>
    </row>
    <row r="18" spans="1:28" ht="15.75" customHeight="1">
      <c r="A18" s="10" t="s">
        <v>54</v>
      </c>
      <c r="B18" s="10"/>
      <c r="C18" s="11">
        <v>85693.523286819458</v>
      </c>
      <c r="D18" s="11">
        <v>23914.453944206238</v>
      </c>
      <c r="E18" s="11">
        <v>23257.001953125</v>
      </c>
      <c r="F18" s="11">
        <v>22961</v>
      </c>
      <c r="G18" s="11">
        <v>0</v>
      </c>
      <c r="H18" s="11">
        <v>0</v>
      </c>
      <c r="I18" s="11">
        <v>0</v>
      </c>
      <c r="J18" s="11" t="e">
        <v>#VALUE!</v>
      </c>
      <c r="K18" s="103"/>
      <c r="O18" s="100"/>
      <c r="R18" s="66"/>
      <c r="S18" s="67" t="s">
        <v>55</v>
      </c>
      <c r="T18" s="66"/>
      <c r="U18" s="66"/>
      <c r="V18" s="66"/>
      <c r="W18" s="79"/>
      <c r="X18" s="85">
        <f>-U59</f>
        <v>-19.17791290909091</v>
      </c>
      <c r="Y18" s="86" t="s">
        <v>56</v>
      </c>
    </row>
    <row r="19" spans="1:28" ht="15.75" customHeight="1">
      <c r="A19" s="14" t="s">
        <v>57</v>
      </c>
      <c r="B19" s="14"/>
      <c r="C19" s="15">
        <v>84240.725633621216</v>
      </c>
      <c r="D19" s="15">
        <v>23914.453944206238</v>
      </c>
      <c r="E19" s="15">
        <v>23257.001953125</v>
      </c>
      <c r="F19" s="15">
        <v>22961</v>
      </c>
      <c r="G19" s="15">
        <v>0</v>
      </c>
      <c r="H19" s="15">
        <v>0</v>
      </c>
      <c r="I19" s="15">
        <v>0</v>
      </c>
      <c r="J19" s="15" t="e">
        <v>#VALUE!</v>
      </c>
      <c r="K19" s="102"/>
      <c r="M19" s="104"/>
      <c r="N19" s="16" t="e">
        <f>SUM(J20:J32)</f>
        <v>#VALUE!</v>
      </c>
      <c r="O19" s="100"/>
      <c r="R19" s="66"/>
      <c r="S19" s="67" t="s">
        <v>58</v>
      </c>
      <c r="T19" s="66"/>
      <c r="U19" s="66"/>
      <c r="V19" s="66"/>
      <c r="W19" s="79"/>
      <c r="X19" s="85">
        <f>-U60</f>
        <v>-6.3570344000000008</v>
      </c>
      <c r="Y19" s="86" t="s">
        <v>56</v>
      </c>
    </row>
    <row r="20" spans="1:28" ht="15.75" customHeight="1">
      <c r="A20" s="2" t="s">
        <v>59</v>
      </c>
      <c r="C20" s="17">
        <v>9877.6650390625</v>
      </c>
      <c r="D20" s="17">
        <v>6049.716796875</v>
      </c>
      <c r="E20" s="17">
        <v>23257.001953125</v>
      </c>
      <c r="F20" s="17">
        <v>22961</v>
      </c>
      <c r="G20" s="7">
        <v>0</v>
      </c>
      <c r="H20" s="7">
        <v>0</v>
      </c>
      <c r="I20" s="7">
        <v>0</v>
      </c>
      <c r="J20" s="16" t="e">
        <v>#VALUE!</v>
      </c>
      <c r="K20" s="99"/>
      <c r="M20" s="104"/>
      <c r="O20" s="100"/>
      <c r="R20" s="65" t="s">
        <v>54</v>
      </c>
      <c r="S20" s="65"/>
      <c r="T20" s="66"/>
      <c r="U20" s="66"/>
      <c r="V20" s="69">
        <f>SUM(V25:V42)</f>
        <v>70</v>
      </c>
      <c r="W20" s="74">
        <f>W21+W39</f>
        <v>109.6079772310257</v>
      </c>
      <c r="X20" s="90">
        <f>X21+X39</f>
        <v>87.494395955000016</v>
      </c>
      <c r="Y20" s="84"/>
      <c r="AB20" s="9"/>
    </row>
    <row r="21" spans="1:28" ht="15.75" customHeight="1">
      <c r="A21" s="2" t="s">
        <v>60</v>
      </c>
      <c r="C21" s="17">
        <v>49995.85546875</v>
      </c>
      <c r="D21" s="17">
        <v>5246.56103515625</v>
      </c>
      <c r="E21" s="17">
        <v>0</v>
      </c>
      <c r="F21" s="17">
        <v>0</v>
      </c>
      <c r="G21" s="7">
        <v>0</v>
      </c>
      <c r="H21" s="7">
        <v>0</v>
      </c>
      <c r="I21" s="7">
        <v>0</v>
      </c>
      <c r="J21" s="16" t="e">
        <v>#VALUE!</v>
      </c>
      <c r="K21" s="99"/>
      <c r="M21" s="104"/>
      <c r="O21" s="100"/>
      <c r="R21" s="65" t="s">
        <v>57</v>
      </c>
      <c r="S21" s="65"/>
      <c r="T21" s="66"/>
      <c r="U21" s="66"/>
      <c r="V21" s="66"/>
      <c r="W21" s="74">
        <f>W22+SUM(W27:W38)</f>
        <v>108.15517957782745</v>
      </c>
      <c r="X21" s="90">
        <f>X22+SUM(X27:X38)</f>
        <v>86.04159830180177</v>
      </c>
      <c r="Y21" s="84"/>
      <c r="AA21" s="9"/>
      <c r="AB21" s="9"/>
    </row>
    <row r="22" spans="1:28" ht="15.75" customHeight="1">
      <c r="A22" s="2" t="s">
        <v>61</v>
      </c>
      <c r="C22" s="17">
        <v>506.87100219726563</v>
      </c>
      <c r="D22" s="17">
        <v>1747.2359619140625</v>
      </c>
      <c r="E22" s="17">
        <v>0</v>
      </c>
      <c r="F22" s="17">
        <v>0</v>
      </c>
      <c r="G22" s="7">
        <v>0</v>
      </c>
      <c r="H22" s="7">
        <v>0</v>
      </c>
      <c r="I22" s="7">
        <v>0</v>
      </c>
      <c r="J22" s="16" t="e">
        <v>#VALUE!</v>
      </c>
      <c r="K22" s="99"/>
      <c r="M22" s="104"/>
      <c r="O22" s="100"/>
      <c r="R22" s="65" t="s">
        <v>62</v>
      </c>
      <c r="S22" s="65"/>
      <c r="T22" s="66"/>
      <c r="U22" s="66"/>
      <c r="V22" s="66"/>
      <c r="W22" s="74">
        <f>(C21+D21)/1000</f>
        <v>55.242416503906249</v>
      </c>
      <c r="X22" s="90">
        <f>SUM(X23:X26)</f>
        <v>33.128835227880558</v>
      </c>
      <c r="Y22" s="84"/>
      <c r="Z22" s="9"/>
      <c r="AA22" s="9"/>
      <c r="AB22" s="9"/>
    </row>
    <row r="23" spans="1:28" ht="15.75" customHeight="1">
      <c r="A23" s="2" t="s">
        <v>63</v>
      </c>
      <c r="C23" s="17">
        <v>15122.775390625</v>
      </c>
      <c r="D23" s="17">
        <v>375.59799194335938</v>
      </c>
      <c r="E23" s="17">
        <v>0</v>
      </c>
      <c r="F23" s="17">
        <v>0</v>
      </c>
      <c r="G23" s="7">
        <v>0</v>
      </c>
      <c r="H23" s="7">
        <v>0</v>
      </c>
      <c r="I23" s="7">
        <v>0</v>
      </c>
      <c r="J23" s="16" t="e">
        <v>#VALUE!</v>
      </c>
      <c r="K23" s="99"/>
      <c r="M23" s="104"/>
      <c r="O23" s="100"/>
      <c r="R23" s="66"/>
      <c r="S23" s="67" t="s">
        <v>64</v>
      </c>
      <c r="T23" s="66"/>
      <c r="U23" s="66"/>
      <c r="V23" s="66"/>
      <c r="W23" s="75"/>
      <c r="X23" s="91">
        <f>D68/1000000</f>
        <v>0.91098800000000002</v>
      </c>
      <c r="Y23" s="86" t="s">
        <v>38</v>
      </c>
      <c r="Z23" s="9" t="s">
        <v>50</v>
      </c>
      <c r="AA23" s="9" t="s">
        <v>51</v>
      </c>
      <c r="AB23" s="9"/>
    </row>
    <row r="24" spans="1:28" ht="15.75" customHeight="1">
      <c r="A24" s="2" t="s">
        <v>65</v>
      </c>
      <c r="C24" s="17">
        <v>654.31597900390625</v>
      </c>
      <c r="D24" s="17">
        <v>14.824000358581543</v>
      </c>
      <c r="E24" s="17">
        <v>0</v>
      </c>
      <c r="F24" s="17">
        <v>0</v>
      </c>
      <c r="G24" s="7">
        <v>0</v>
      </c>
      <c r="H24" s="7">
        <v>0</v>
      </c>
      <c r="I24" s="7">
        <v>0</v>
      </c>
      <c r="J24" s="16" t="e">
        <v>#VALUE!</v>
      </c>
      <c r="K24" s="99"/>
      <c r="M24" s="104"/>
      <c r="O24" s="100"/>
      <c r="R24" s="66"/>
      <c r="S24" s="67" t="s">
        <v>66</v>
      </c>
      <c r="T24" s="66"/>
      <c r="U24" s="66"/>
      <c r="V24" s="66"/>
      <c r="W24" s="75"/>
      <c r="X24" s="85">
        <f>N38+X16</f>
        <v>26.659407954999999</v>
      </c>
      <c r="Y24" s="86" t="s">
        <v>4</v>
      </c>
      <c r="Z24" s="9" t="s">
        <v>50</v>
      </c>
      <c r="AA24" s="9" t="s">
        <v>51</v>
      </c>
      <c r="AB24" s="9"/>
    </row>
    <row r="25" spans="1:28" ht="15.75" customHeight="1">
      <c r="A25" s="2" t="s">
        <v>67</v>
      </c>
      <c r="C25" s="17">
        <v>1054.633056640625</v>
      </c>
      <c r="D25" s="17">
        <v>358.18099975585938</v>
      </c>
      <c r="E25" s="17">
        <v>0</v>
      </c>
      <c r="F25" s="17">
        <v>0</v>
      </c>
      <c r="G25" s="7">
        <v>0</v>
      </c>
      <c r="H25" s="7">
        <v>0</v>
      </c>
      <c r="I25" s="7">
        <v>0</v>
      </c>
      <c r="J25" s="16" t="e">
        <v>#VALUE!</v>
      </c>
      <c r="K25" s="99"/>
      <c r="M25" s="104"/>
      <c r="O25" s="100"/>
      <c r="R25" s="66"/>
      <c r="S25" s="67" t="s">
        <v>68</v>
      </c>
      <c r="T25" s="66"/>
      <c r="U25" s="66"/>
      <c r="V25" s="66">
        <v>3</v>
      </c>
      <c r="W25" s="75"/>
      <c r="X25" s="92">
        <f>(N40-X27-SUM(X28:X39))/2</f>
        <v>2.7792196364402777</v>
      </c>
      <c r="Y25" s="86" t="s">
        <v>69</v>
      </c>
      <c r="Z25" s="9" t="s">
        <v>50</v>
      </c>
      <c r="AA25" s="9" t="s">
        <v>51</v>
      </c>
      <c r="AB25" s="9"/>
    </row>
    <row r="26" spans="1:28" ht="15.75" customHeight="1">
      <c r="A26" s="2" t="s">
        <v>70</v>
      </c>
      <c r="C26" s="17">
        <v>0</v>
      </c>
      <c r="D26" s="17">
        <v>1001.4639892578125</v>
      </c>
      <c r="E26" s="17">
        <v>0</v>
      </c>
      <c r="F26" s="17">
        <v>0</v>
      </c>
      <c r="G26" s="7">
        <v>0</v>
      </c>
      <c r="H26" s="7">
        <v>0</v>
      </c>
      <c r="I26" s="7">
        <v>0</v>
      </c>
      <c r="J26" s="16" t="e">
        <v>#VALUE!</v>
      </c>
      <c r="K26" s="99"/>
      <c r="M26" s="104"/>
      <c r="O26" s="100"/>
      <c r="R26" s="66"/>
      <c r="S26" s="67" t="s">
        <v>71</v>
      </c>
      <c r="T26" s="66"/>
      <c r="U26" s="66"/>
      <c r="V26" s="66"/>
      <c r="W26" s="75"/>
      <c r="X26" s="92">
        <f>X25</f>
        <v>2.7792196364402777</v>
      </c>
      <c r="Y26" s="86" t="s">
        <v>69</v>
      </c>
      <c r="Z26" s="9" t="s">
        <v>50</v>
      </c>
      <c r="AA26" s="9" t="s">
        <v>51</v>
      </c>
      <c r="AB26" s="9"/>
    </row>
    <row r="27" spans="1:28" ht="15.75" customHeight="1">
      <c r="A27" s="2" t="s">
        <v>72</v>
      </c>
      <c r="C27" s="17">
        <v>3824.499755859375</v>
      </c>
      <c r="D27" s="17">
        <v>3541.3291015625</v>
      </c>
      <c r="E27" s="17">
        <v>0</v>
      </c>
      <c r="F27" s="17">
        <v>0</v>
      </c>
      <c r="G27" s="7">
        <v>0</v>
      </c>
      <c r="H27" s="7">
        <v>0</v>
      </c>
      <c r="I27" s="7">
        <v>0</v>
      </c>
      <c r="J27" s="16" t="e">
        <v>#VALUE!</v>
      </c>
      <c r="K27" s="99"/>
      <c r="L27" s="105" t="s">
        <v>73</v>
      </c>
      <c r="M27" s="4"/>
      <c r="N27" s="4"/>
      <c r="O27" s="100"/>
      <c r="R27" s="67" t="str">
        <f>A20</f>
        <v>Iron and Steel</v>
      </c>
      <c r="S27" s="66"/>
      <c r="T27" s="66"/>
      <c r="U27" s="66"/>
      <c r="V27" s="66">
        <v>15</v>
      </c>
      <c r="W27" s="75">
        <f>X27</f>
        <v>15.927381835937499</v>
      </c>
      <c r="X27" s="91">
        <f>(C20+D20)/1000</f>
        <v>15.927381835937499</v>
      </c>
      <c r="Y27" s="86" t="s">
        <v>0</v>
      </c>
      <c r="Z27" s="9"/>
      <c r="AA27" s="9"/>
      <c r="AB27" s="9"/>
    </row>
    <row r="28" spans="1:28" ht="15.75" customHeight="1">
      <c r="A28" s="2" t="s">
        <v>74</v>
      </c>
      <c r="C28" s="17">
        <v>624.001708984375</v>
      </c>
      <c r="D28" s="17">
        <v>3541.3291015625</v>
      </c>
      <c r="E28" s="17">
        <v>0</v>
      </c>
      <c r="F28" s="17">
        <v>0</v>
      </c>
      <c r="G28" s="7">
        <v>0</v>
      </c>
      <c r="H28" s="7">
        <v>0</v>
      </c>
      <c r="I28" s="7">
        <v>0</v>
      </c>
      <c r="J28" s="16" t="e">
        <v>#VALUE!</v>
      </c>
      <c r="K28" s="99"/>
      <c r="L28" s="4"/>
      <c r="M28" s="4" t="s">
        <v>75</v>
      </c>
      <c r="N28" s="4" t="s">
        <v>76</v>
      </c>
      <c r="O28" s="100"/>
      <c r="R28" s="67" t="str">
        <f>A22</f>
        <v>Non-Ferrous Metals</v>
      </c>
      <c r="S28" s="66"/>
      <c r="T28" s="66"/>
      <c r="U28" s="66"/>
      <c r="V28" s="66">
        <v>4</v>
      </c>
      <c r="W28" s="75">
        <f t="shared" ref="W28:W38" si="1">X28</f>
        <v>2.2541069641113283</v>
      </c>
      <c r="X28" s="91">
        <f t="shared" ref="X28:X33" si="2">(C22+D22)/1000</f>
        <v>2.2541069641113283</v>
      </c>
      <c r="Y28" s="86" t="s">
        <v>0</v>
      </c>
      <c r="Z28" s="9"/>
      <c r="AA28" s="9"/>
      <c r="AB28" s="9"/>
    </row>
    <row r="29" spans="1:28" ht="15.75" customHeight="1">
      <c r="A29" s="2" t="s">
        <v>77</v>
      </c>
      <c r="C29" s="7">
        <v>0</v>
      </c>
      <c r="D29" s="7">
        <v>0</v>
      </c>
      <c r="E29" s="7">
        <v>0</v>
      </c>
      <c r="F29" s="7">
        <v>0</v>
      </c>
      <c r="G29" s="7">
        <v>0</v>
      </c>
      <c r="H29" s="7">
        <v>0</v>
      </c>
      <c r="I29" s="7">
        <v>0</v>
      </c>
      <c r="J29" s="16" t="e">
        <v>#VALUE!</v>
      </c>
      <c r="K29" s="99"/>
      <c r="L29" s="2" t="s">
        <v>78</v>
      </c>
      <c r="M29" s="2">
        <v>166.6</v>
      </c>
      <c r="N29" s="2">
        <f>M29*1.055</f>
        <v>175.76299999999998</v>
      </c>
      <c r="O29" s="100"/>
      <c r="R29" s="67" t="str">
        <f>A23</f>
        <v>Non-Metallic Minerals</v>
      </c>
      <c r="S29" s="66"/>
      <c r="T29" s="66"/>
      <c r="U29" s="66"/>
      <c r="V29" s="66">
        <f>9+4</f>
        <v>13</v>
      </c>
      <c r="W29" s="75">
        <f>X29</f>
        <v>15.49837338256836</v>
      </c>
      <c r="X29" s="91">
        <f t="shared" si="2"/>
        <v>15.49837338256836</v>
      </c>
      <c r="Y29" s="86" t="s">
        <v>0</v>
      </c>
      <c r="Z29" s="9"/>
      <c r="AA29" s="9"/>
      <c r="AB29" s="8"/>
    </row>
    <row r="30" spans="1:28" ht="15.75" customHeight="1">
      <c r="A30" s="2" t="s">
        <v>79</v>
      </c>
      <c r="C30" s="7">
        <v>0</v>
      </c>
      <c r="D30" s="7">
        <v>0</v>
      </c>
      <c r="E30" s="7">
        <v>0</v>
      </c>
      <c r="F30" s="7">
        <v>0</v>
      </c>
      <c r="G30" s="7">
        <v>0</v>
      </c>
      <c r="H30" s="7">
        <v>0</v>
      </c>
      <c r="I30" s="7">
        <v>0</v>
      </c>
      <c r="J30" s="16" t="e">
        <v>#VALUE!</v>
      </c>
      <c r="K30" s="99"/>
      <c r="L30" s="2" t="s">
        <v>80</v>
      </c>
      <c r="M30" s="2">
        <v>23.2</v>
      </c>
      <c r="N30" s="2">
        <f t="shared" ref="N30" si="3">M30*1.055</f>
        <v>24.475999999999999</v>
      </c>
      <c r="O30" s="100"/>
      <c r="R30" s="67" t="str">
        <f>A24</f>
        <v>Transport Equipment</v>
      </c>
      <c r="S30" s="66"/>
      <c r="T30" s="66"/>
      <c r="U30" s="66"/>
      <c r="V30" s="66"/>
      <c r="W30" s="75">
        <f t="shared" si="1"/>
        <v>0.66913997936248781</v>
      </c>
      <c r="X30" s="91">
        <f t="shared" si="2"/>
        <v>0.66913997936248781</v>
      </c>
      <c r="Y30" s="86" t="s">
        <v>0</v>
      </c>
      <c r="Z30" s="9"/>
      <c r="AA30" s="8"/>
    </row>
    <row r="31" spans="1:28" ht="15.75" customHeight="1">
      <c r="A31" s="2" t="s">
        <v>81</v>
      </c>
      <c r="C31" s="7">
        <v>14.420000076293945</v>
      </c>
      <c r="D31" s="7">
        <v>0</v>
      </c>
      <c r="E31" s="7">
        <v>0</v>
      </c>
      <c r="F31" s="7">
        <v>0</v>
      </c>
      <c r="G31" s="7">
        <v>0</v>
      </c>
      <c r="H31" s="7">
        <v>0</v>
      </c>
      <c r="I31" s="7">
        <v>0</v>
      </c>
      <c r="J31" s="16" t="e">
        <v>#VALUE!</v>
      </c>
      <c r="K31" s="99"/>
      <c r="O31" s="100"/>
      <c r="R31" s="67" t="str">
        <f>A25</f>
        <v>Machinery</v>
      </c>
      <c r="S31" s="66"/>
      <c r="T31" s="66"/>
      <c r="U31" s="66"/>
      <c r="V31" s="66"/>
      <c r="W31" s="75">
        <f t="shared" si="1"/>
        <v>1.4128140563964844</v>
      </c>
      <c r="X31" s="91">
        <f t="shared" si="2"/>
        <v>1.4128140563964844</v>
      </c>
      <c r="Y31" s="86" t="s">
        <v>0</v>
      </c>
      <c r="Z31" s="8"/>
      <c r="AB31" s="3"/>
    </row>
    <row r="32" spans="1:28" ht="15.75" customHeight="1">
      <c r="A32" s="2" t="s">
        <v>82</v>
      </c>
      <c r="C32" s="7">
        <v>2565.688232421875</v>
      </c>
      <c r="D32" s="7">
        <v>2038.2149658203125</v>
      </c>
      <c r="E32" s="7">
        <v>0</v>
      </c>
      <c r="F32" s="7">
        <v>0</v>
      </c>
      <c r="G32" s="7">
        <v>0</v>
      </c>
      <c r="H32" s="7">
        <v>0</v>
      </c>
      <c r="I32" s="7">
        <v>0</v>
      </c>
      <c r="J32" s="16" t="e">
        <v>#VALUE!</v>
      </c>
      <c r="K32" s="99"/>
      <c r="L32" s="2" t="s">
        <v>83</v>
      </c>
      <c r="M32" s="2">
        <f>M29-M30</f>
        <v>143.4</v>
      </c>
      <c r="N32" s="2">
        <f>M32*1.055</f>
        <v>151.28700000000001</v>
      </c>
      <c r="O32" s="100"/>
      <c r="R32" s="67" t="str">
        <f>A26</f>
        <v>Mining and Quarrying</v>
      </c>
      <c r="S32" s="66"/>
      <c r="T32" s="66"/>
      <c r="U32" s="66"/>
      <c r="V32" s="66"/>
      <c r="W32" s="75">
        <f t="shared" si="1"/>
        <v>1.0014639892578125</v>
      </c>
      <c r="X32" s="91">
        <f t="shared" si="2"/>
        <v>1.0014639892578125</v>
      </c>
      <c r="Y32" s="86" t="s">
        <v>0</v>
      </c>
      <c r="AA32" s="3"/>
      <c r="AB32" s="18"/>
    </row>
    <row r="33" spans="1:32" ht="15.75" customHeight="1">
      <c r="A33" s="14" t="s">
        <v>84</v>
      </c>
      <c r="B33" s="14"/>
      <c r="C33" s="15">
        <v>1452.7976531982422</v>
      </c>
      <c r="D33" s="15">
        <v>0</v>
      </c>
      <c r="E33" s="15">
        <v>0</v>
      </c>
      <c r="F33" s="15">
        <v>0</v>
      </c>
      <c r="G33" s="15">
        <v>0</v>
      </c>
      <c r="H33" s="15">
        <v>0</v>
      </c>
      <c r="I33" s="15">
        <v>0</v>
      </c>
      <c r="J33" s="15" t="e">
        <v>#VALUE!</v>
      </c>
      <c r="K33" s="102"/>
      <c r="L33" s="2" t="s">
        <v>85</v>
      </c>
      <c r="M33" s="2">
        <v>23.3</v>
      </c>
      <c r="N33" s="2">
        <f t="shared" ref="N33" si="4">M33*1.055</f>
        <v>24.581499999999998</v>
      </c>
      <c r="O33" s="100"/>
      <c r="R33" s="67" t="str">
        <f t="shared" ref="R33:R38" si="5">A27</f>
        <v>Food and Tobacco</v>
      </c>
      <c r="S33" s="66"/>
      <c r="T33" s="66"/>
      <c r="U33" s="66"/>
      <c r="V33" s="66">
        <v>4</v>
      </c>
      <c r="W33" s="75">
        <f t="shared" si="1"/>
        <v>7.3658288574218753</v>
      </c>
      <c r="X33" s="91">
        <f t="shared" si="2"/>
        <v>7.3658288574218753</v>
      </c>
      <c r="Y33" s="86" t="s">
        <v>0</v>
      </c>
      <c r="Z33" s="3"/>
      <c r="AA33" s="18"/>
      <c r="AB33" s="18"/>
    </row>
    <row r="34" spans="1:32" ht="15.75" customHeight="1">
      <c r="A34" s="14" t="s">
        <v>86</v>
      </c>
      <c r="B34" s="14"/>
      <c r="C34" s="15">
        <v>0</v>
      </c>
      <c r="D34" s="15">
        <v>0</v>
      </c>
      <c r="E34" s="15">
        <v>0</v>
      </c>
      <c r="F34" s="15">
        <v>0</v>
      </c>
      <c r="G34" s="15">
        <v>0</v>
      </c>
      <c r="H34" s="15">
        <v>0</v>
      </c>
      <c r="I34" s="15">
        <v>0</v>
      </c>
      <c r="J34" s="15" t="e">
        <v>#VALUE!</v>
      </c>
      <c r="K34" s="102"/>
      <c r="O34" s="100"/>
      <c r="R34" s="67" t="str">
        <f t="shared" si="5"/>
        <v>Paper Pulp and Print</v>
      </c>
      <c r="S34" s="66"/>
      <c r="T34" s="66"/>
      <c r="U34" s="66"/>
      <c r="V34" s="66">
        <v>4</v>
      </c>
      <c r="W34" s="75">
        <f t="shared" si="1"/>
        <v>4.1653308105468749</v>
      </c>
      <c r="X34" s="91">
        <f t="shared" ref="X34:X38" si="6">(C28+D28)/1000</f>
        <v>4.1653308105468749</v>
      </c>
      <c r="Y34" s="86" t="s">
        <v>0</v>
      </c>
      <c r="Z34" s="18"/>
      <c r="AA34" s="18"/>
      <c r="AB34" s="18"/>
    </row>
    <row r="35" spans="1:32" ht="15.75" customHeight="1">
      <c r="A35" s="14" t="s">
        <v>87</v>
      </c>
      <c r="B35" s="14"/>
      <c r="C35" s="15">
        <v>1232.300537109375</v>
      </c>
      <c r="D35" s="15">
        <v>0</v>
      </c>
      <c r="E35" s="15">
        <v>0</v>
      </c>
      <c r="F35" s="15">
        <v>0</v>
      </c>
      <c r="G35" s="15">
        <v>0</v>
      </c>
      <c r="H35" s="15">
        <v>0</v>
      </c>
      <c r="I35" s="15">
        <v>0</v>
      </c>
      <c r="J35" s="15" t="e">
        <v>#VALUE!</v>
      </c>
      <c r="K35" s="102"/>
      <c r="L35" s="2" t="s">
        <v>88</v>
      </c>
      <c r="M35" s="2">
        <f>M32+M33</f>
        <v>166.70000000000002</v>
      </c>
      <c r="N35" s="2">
        <f>M35*1.055</f>
        <v>175.86850000000001</v>
      </c>
      <c r="O35" s="100"/>
      <c r="R35" s="67" t="str">
        <f t="shared" si="5"/>
        <v>Wood and Wood Products</v>
      </c>
      <c r="S35" s="66"/>
      <c r="T35" s="66"/>
      <c r="U35" s="66"/>
      <c r="V35" s="66"/>
      <c r="W35" s="75">
        <f t="shared" si="1"/>
        <v>0</v>
      </c>
      <c r="X35" s="91">
        <f>(C29+D29)/1000</f>
        <v>0</v>
      </c>
      <c r="Y35" s="86" t="s">
        <v>0</v>
      </c>
      <c r="Z35" s="18"/>
      <c r="AA35" s="18"/>
      <c r="AB35" s="18"/>
    </row>
    <row r="36" spans="1:32" ht="15.75" customHeight="1">
      <c r="A36" s="14" t="s">
        <v>89</v>
      </c>
      <c r="B36" s="14"/>
      <c r="C36" s="15">
        <v>220.49711608886719</v>
      </c>
      <c r="D36" s="15">
        <v>0</v>
      </c>
      <c r="E36" s="15">
        <v>0</v>
      </c>
      <c r="F36" s="15">
        <v>0</v>
      </c>
      <c r="G36" s="15">
        <v>0</v>
      </c>
      <c r="H36" s="15">
        <v>0</v>
      </c>
      <c r="I36" s="15">
        <v>0</v>
      </c>
      <c r="J36" s="15" t="e">
        <v>#VALUE!</v>
      </c>
      <c r="K36" s="102"/>
      <c r="L36" s="2" t="s">
        <v>90</v>
      </c>
      <c r="N36" s="2">
        <f>SUM(N37:N39)</f>
        <v>115.94449999999999</v>
      </c>
      <c r="O36" s="100"/>
      <c r="R36" s="67" t="str">
        <f t="shared" si="5"/>
        <v>Construction</v>
      </c>
      <c r="S36" s="66"/>
      <c r="T36" s="66"/>
      <c r="U36" s="66"/>
      <c r="V36" s="66"/>
      <c r="W36" s="75">
        <f t="shared" si="1"/>
        <v>0</v>
      </c>
      <c r="X36" s="91">
        <f t="shared" si="6"/>
        <v>0</v>
      </c>
      <c r="Y36" s="86" t="s">
        <v>0</v>
      </c>
      <c r="Z36" s="18"/>
      <c r="AA36" s="18"/>
      <c r="AB36" s="18"/>
    </row>
    <row r="37" spans="1:32" ht="15.75" customHeight="1">
      <c r="K37" s="99"/>
      <c r="L37" s="2" t="s">
        <v>91</v>
      </c>
      <c r="M37" s="2">
        <v>29.7</v>
      </c>
      <c r="N37" s="2">
        <f t="shared" ref="N37:N39" si="7">M37*1.055</f>
        <v>31.333499999999997</v>
      </c>
      <c r="O37" s="100"/>
      <c r="R37" s="67" t="str">
        <f t="shared" si="5"/>
        <v>Textile and Leather</v>
      </c>
      <c r="S37" s="66"/>
      <c r="T37" s="66"/>
      <c r="U37" s="66"/>
      <c r="V37" s="66"/>
      <c r="W37" s="75">
        <f t="shared" si="1"/>
        <v>1.4420000076293946E-2</v>
      </c>
      <c r="X37" s="91">
        <f t="shared" si="6"/>
        <v>1.4420000076293946E-2</v>
      </c>
      <c r="Y37" s="86" t="s">
        <v>0</v>
      </c>
      <c r="Z37" s="18"/>
      <c r="AA37" s="18"/>
      <c r="AB37" s="18"/>
    </row>
    <row r="38" spans="1:32" ht="15.75" customHeight="1">
      <c r="C38" s="19">
        <f>C18-C21</f>
        <v>35697.667818069458</v>
      </c>
      <c r="D38" s="19">
        <f>D18-D21</f>
        <v>18667.892909049988</v>
      </c>
      <c r="E38" s="19">
        <f>D38+C38</f>
        <v>54365.560727119446</v>
      </c>
      <c r="F38" s="9">
        <f>E38*65.1/1000</f>
        <v>3539.1980033354753</v>
      </c>
      <c r="G38" s="2">
        <f>C38*56.1/1000</f>
        <v>2002.6391645936967</v>
      </c>
      <c r="H38" s="2">
        <f>D38*41/1000</f>
        <v>765.38360927104952</v>
      </c>
      <c r="I38" s="2">
        <f>H38+G38</f>
        <v>2768.0227738647463</v>
      </c>
      <c r="K38" s="99"/>
      <c r="L38" s="2" t="s">
        <v>92</v>
      </c>
      <c r="M38" s="2">
        <v>35.6</v>
      </c>
      <c r="N38" s="2">
        <f t="shared" si="7"/>
        <v>37.558</v>
      </c>
      <c r="O38" s="100"/>
      <c r="R38" s="67" t="str">
        <f t="shared" si="5"/>
        <v>Non-specified (Industry)</v>
      </c>
      <c r="S38" s="66"/>
      <c r="T38" s="66"/>
      <c r="U38" s="66"/>
      <c r="V38" s="66">
        <v>14</v>
      </c>
      <c r="W38" s="75">
        <f t="shared" si="1"/>
        <v>4.6039031982421879</v>
      </c>
      <c r="X38" s="91">
        <f t="shared" si="6"/>
        <v>4.6039031982421879</v>
      </c>
      <c r="Y38" s="86" t="s">
        <v>0</v>
      </c>
      <c r="Z38" s="18"/>
      <c r="AA38" s="18"/>
      <c r="AB38" s="18"/>
    </row>
    <row r="39" spans="1:32" ht="15.75" customHeight="1">
      <c r="A39" t="s">
        <v>93</v>
      </c>
      <c r="C39" s="20" t="str">
        <f>C4</f>
        <v>Natural Gas</v>
      </c>
      <c r="F39" s="2">
        <f>F38/I38</f>
        <v>1.2786014756641633</v>
      </c>
      <c r="K39" s="99"/>
      <c r="L39" s="2" t="s">
        <v>94</v>
      </c>
      <c r="M39" s="2">
        <v>44.6</v>
      </c>
      <c r="N39" s="2">
        <f t="shared" si="7"/>
        <v>47.052999999999997</v>
      </c>
      <c r="O39" s="100"/>
      <c r="R39" s="65" t="s">
        <v>84</v>
      </c>
      <c r="S39" s="65"/>
      <c r="T39" s="66"/>
      <c r="U39" s="66"/>
      <c r="V39" s="66">
        <v>13</v>
      </c>
      <c r="W39" s="74">
        <f>SUM(W40:W42)</f>
        <v>1.4527976531982421</v>
      </c>
      <c r="X39" s="90">
        <f>SUM(X40:X42)</f>
        <v>1.4527976531982421</v>
      </c>
      <c r="Y39" s="84"/>
      <c r="Z39" s="18"/>
      <c r="AA39" s="18"/>
      <c r="AB39" s="18"/>
    </row>
    <row r="40" spans="1:32" ht="15.75" customHeight="1">
      <c r="A40" t="s">
        <v>57</v>
      </c>
      <c r="C40" s="2" t="e">
        <v>#VALUE!</v>
      </c>
      <c r="D40" t="s">
        <v>95</v>
      </c>
      <c r="K40" s="99"/>
      <c r="L40" s="2" t="s">
        <v>96</v>
      </c>
      <c r="M40" s="2">
        <v>56.8</v>
      </c>
      <c r="N40" s="3">
        <v>59.923999999999992</v>
      </c>
      <c r="O40" s="100"/>
      <c r="R40" s="67" t="str">
        <f t="shared" ref="R40:R42" si="8">A34</f>
        <v>Agriculture</v>
      </c>
      <c r="S40" s="66"/>
      <c r="T40" s="66"/>
      <c r="U40" s="66"/>
      <c r="V40" s="66"/>
      <c r="W40" s="75">
        <f t="shared" ref="W40:W42" si="9">X40</f>
        <v>0</v>
      </c>
      <c r="X40" s="91">
        <f>(C34+D34)/1000</f>
        <v>0</v>
      </c>
      <c r="Y40" s="86" t="s">
        <v>0</v>
      </c>
      <c r="Z40" s="18"/>
      <c r="AA40" s="18"/>
      <c r="AB40" s="18"/>
    </row>
    <row r="41" spans="1:32" ht="15.75" customHeight="1">
      <c r="A41" s="2" t="s">
        <v>70</v>
      </c>
      <c r="C41" s="2" t="e">
        <v>#VALUE!</v>
      </c>
      <c r="K41" s="99"/>
      <c r="O41" s="100"/>
      <c r="R41" s="67" t="str">
        <f t="shared" si="8"/>
        <v>Commerce and Public Services</v>
      </c>
      <c r="S41" s="66"/>
      <c r="T41" s="66"/>
      <c r="U41" s="66"/>
      <c r="V41" s="66"/>
      <c r="W41" s="75">
        <f t="shared" si="9"/>
        <v>1.2323005371093749</v>
      </c>
      <c r="X41" s="91">
        <f>(C35+D35)/1000</f>
        <v>1.2323005371093749</v>
      </c>
      <c r="Y41" s="86" t="s">
        <v>0</v>
      </c>
      <c r="Z41" s="18"/>
      <c r="AA41" s="18"/>
      <c r="AB41" s="18"/>
    </row>
    <row r="42" spans="1:32" ht="15.75" customHeight="1">
      <c r="A42" s="2" t="s">
        <v>97</v>
      </c>
      <c r="C42" s="2" t="e">
        <v>#VALUE!</v>
      </c>
      <c r="K42" s="99"/>
      <c r="L42" s="3" t="s">
        <v>98</v>
      </c>
      <c r="O42" s="100"/>
      <c r="R42" s="67" t="str">
        <f t="shared" si="8"/>
        <v>Residential</v>
      </c>
      <c r="S42" s="66"/>
      <c r="T42" s="66"/>
      <c r="U42" s="66"/>
      <c r="V42" s="66"/>
      <c r="W42" s="75">
        <f t="shared" si="9"/>
        <v>0.22049711608886718</v>
      </c>
      <c r="X42" s="91">
        <f>(C36+D36)/1000</f>
        <v>0.22049711608886718</v>
      </c>
      <c r="Y42" s="86" t="s">
        <v>0</v>
      </c>
      <c r="Z42" s="18"/>
      <c r="AA42" s="18"/>
      <c r="AB42" s="18"/>
    </row>
    <row r="43" spans="1:32" ht="15.75" customHeight="1">
      <c r="A43" s="2" t="s">
        <v>86</v>
      </c>
      <c r="C43" s="2" t="e">
        <v>#VALUE!</v>
      </c>
      <c r="K43" s="99"/>
      <c r="L43" s="2" t="s">
        <v>99</v>
      </c>
      <c r="N43" s="9">
        <f>D64/1000000</f>
        <v>28.640346999999998</v>
      </c>
      <c r="O43" s="100"/>
      <c r="R43" s="66"/>
      <c r="S43" s="66"/>
      <c r="T43" s="66"/>
      <c r="U43" s="66"/>
      <c r="V43" s="66"/>
      <c r="W43" s="79"/>
      <c r="X43" s="91"/>
      <c r="Y43" s="93"/>
      <c r="Z43" s="18"/>
      <c r="AA43" s="18"/>
      <c r="AB43" s="18"/>
    </row>
    <row r="44" spans="1:32" ht="15.75" customHeight="1" thickBot="1">
      <c r="A44" s="2" t="s">
        <v>87</v>
      </c>
      <c r="C44" s="2" t="e">
        <v>#VALUE!</v>
      </c>
      <c r="K44" s="99"/>
      <c r="L44" s="2" t="s">
        <v>100</v>
      </c>
      <c r="N44" s="9">
        <f>O63</f>
        <v>25.323368983957216</v>
      </c>
      <c r="O44" s="100"/>
      <c r="R44" s="71" t="s">
        <v>101</v>
      </c>
      <c r="S44" s="72"/>
      <c r="T44" s="72"/>
      <c r="U44" s="72"/>
      <c r="V44" s="72"/>
      <c r="W44" s="80"/>
      <c r="X44" s="94">
        <f>X39+SUM(X25:X38)</f>
        <v>59.924000000000007</v>
      </c>
      <c r="Y44" s="95"/>
      <c r="Z44" s="18"/>
      <c r="AA44" s="18"/>
      <c r="AB44" s="18"/>
      <c r="AD44" t="s">
        <v>102</v>
      </c>
      <c r="AE44" s="2" t="s">
        <v>103</v>
      </c>
      <c r="AF44" s="20">
        <f>-X14</f>
        <v>25.570812499999999</v>
      </c>
    </row>
    <row r="45" spans="1:32" ht="15.75" customHeight="1">
      <c r="A45" s="2" t="s">
        <v>89</v>
      </c>
      <c r="C45" s="2" t="e">
        <v>#VALUE!</v>
      </c>
      <c r="K45" s="99"/>
      <c r="L45" s="2" t="s">
        <v>104</v>
      </c>
      <c r="N45" s="9">
        <f>D68/1000000</f>
        <v>0.91098800000000002</v>
      </c>
      <c r="O45" s="100"/>
      <c r="U45" s="18"/>
      <c r="V45" s="18"/>
      <c r="W45" s="18"/>
      <c r="X45" s="18"/>
      <c r="Y45" s="18"/>
      <c r="Z45" s="18"/>
      <c r="AA45" s="18"/>
      <c r="AB45" s="18"/>
      <c r="AD45" t="s">
        <v>105</v>
      </c>
      <c r="AE45" s="2" t="s">
        <v>105</v>
      </c>
      <c r="AF45" s="20">
        <f>AF44</f>
        <v>25.570812499999999</v>
      </c>
    </row>
    <row r="46" spans="1:32" ht="15.75" customHeight="1">
      <c r="A46" s="2" t="s">
        <v>106</v>
      </c>
      <c r="C46" s="2" t="e">
        <v>#VALUE!</v>
      </c>
      <c r="K46" s="99"/>
      <c r="L46" s="3" t="s">
        <v>107</v>
      </c>
      <c r="N46" s="9"/>
      <c r="O46" s="100"/>
      <c r="U46" s="18"/>
      <c r="V46" s="18"/>
      <c r="W46" s="18"/>
      <c r="X46" s="18"/>
      <c r="Y46" s="18"/>
      <c r="Z46" s="18"/>
      <c r="AA46" s="18"/>
      <c r="AB46" s="18"/>
    </row>
    <row r="47" spans="1:32" ht="15.75" customHeight="1">
      <c r="A47" s="2" t="s">
        <v>28</v>
      </c>
      <c r="C47" s="2" t="e">
        <v>#VALUE!</v>
      </c>
      <c r="K47" s="99"/>
      <c r="L47" s="2" t="s">
        <v>108</v>
      </c>
      <c r="N47" s="9">
        <f>N36-SUM(N48:N51)</f>
        <v>23.300217690909065</v>
      </c>
      <c r="O47" s="100"/>
      <c r="U47" s="18"/>
      <c r="V47" s="18"/>
      <c r="W47" s="18"/>
      <c r="X47" s="18"/>
      <c r="Y47" s="18"/>
      <c r="Z47" s="18"/>
      <c r="AA47" s="18"/>
      <c r="AB47" s="18"/>
    </row>
    <row r="48" spans="1:32" ht="15.75" customHeight="1">
      <c r="K48" s="99"/>
      <c r="L48" s="2" t="s">
        <v>109</v>
      </c>
      <c r="N48" s="9">
        <f>N38</f>
        <v>37.558</v>
      </c>
      <c r="O48" s="100"/>
      <c r="U48" s="18"/>
      <c r="V48" s="18"/>
      <c r="W48" s="18"/>
      <c r="X48" s="18"/>
      <c r="Y48" s="18"/>
      <c r="Z48" s="18"/>
      <c r="AA48" s="18"/>
      <c r="AB48" s="18"/>
    </row>
    <row r="49" spans="1:33" ht="15.75" customHeight="1">
      <c r="K49" s="99"/>
      <c r="L49" s="2" t="s">
        <v>110</v>
      </c>
      <c r="N49" s="9">
        <v>25.534947309090914</v>
      </c>
      <c r="O49" s="100"/>
    </row>
    <row r="50" spans="1:33" ht="15.75" customHeight="1">
      <c r="K50" s="99"/>
      <c r="L50" s="2" t="s">
        <v>111</v>
      </c>
      <c r="N50" s="106">
        <f>N43</f>
        <v>28.640346999999998</v>
      </c>
      <c r="O50" s="107">
        <f>0.00105*8760</f>
        <v>9.1979999999999986</v>
      </c>
      <c r="R50" s="2" t="s">
        <v>112</v>
      </c>
    </row>
    <row r="51" spans="1:33" ht="15.75" customHeight="1">
      <c r="A51" s="2" t="s">
        <v>38</v>
      </c>
      <c r="K51" s="99"/>
      <c r="L51" s="2" t="s">
        <v>113</v>
      </c>
      <c r="N51" s="9">
        <f>N45</f>
        <v>0.91098800000000002</v>
      </c>
      <c r="O51" s="100"/>
      <c r="R51" s="3" t="s">
        <v>114</v>
      </c>
      <c r="S51" s="2" t="s">
        <v>115</v>
      </c>
      <c r="T51" s="21" t="s">
        <v>116</v>
      </c>
      <c r="U51" s="2" t="s">
        <v>117</v>
      </c>
      <c r="V51" s="2" t="s">
        <v>118</v>
      </c>
      <c r="W51" s="2" t="s">
        <v>119</v>
      </c>
      <c r="X51" s="2" t="s">
        <v>120</v>
      </c>
      <c r="Y51" s="2" t="s">
        <v>22</v>
      </c>
      <c r="Z51" s="21" t="s">
        <v>121</v>
      </c>
      <c r="AA51" s="21" t="s">
        <v>122</v>
      </c>
      <c r="AB51" s="2" t="s">
        <v>123</v>
      </c>
      <c r="AD51" s="63" t="s">
        <v>124</v>
      </c>
      <c r="AF51" s="63" t="s">
        <v>125</v>
      </c>
    </row>
    <row r="52" spans="1:33" ht="15.75" customHeight="1" thickBot="1">
      <c r="A52" s="2" t="s">
        <v>126</v>
      </c>
      <c r="K52" s="108"/>
      <c r="L52" s="109" t="s">
        <v>90</v>
      </c>
      <c r="M52" s="109"/>
      <c r="N52" s="110">
        <f>SUM(N47:N51)</f>
        <v>115.94449999999998</v>
      </c>
      <c r="O52" s="111"/>
      <c r="R52" s="2" t="s">
        <v>108</v>
      </c>
      <c r="S52" s="2" t="s">
        <v>127</v>
      </c>
      <c r="T52" s="2" t="s">
        <v>128</v>
      </c>
      <c r="U52" s="9">
        <f>N47</f>
        <v>23.300217690909065</v>
      </c>
      <c r="V52" s="2">
        <v>51.8</v>
      </c>
      <c r="W52" s="2" t="s">
        <v>129</v>
      </c>
      <c r="X52" s="2" t="s">
        <v>130</v>
      </c>
      <c r="Y52" s="2" t="s">
        <v>131</v>
      </c>
      <c r="Z52" s="2" t="s">
        <v>132</v>
      </c>
      <c r="AA52" s="2"/>
      <c r="AB52" s="2" t="s">
        <v>133</v>
      </c>
      <c r="AD52" s="2" t="s">
        <v>103</v>
      </c>
      <c r="AF52" s="2" t="s">
        <v>103</v>
      </c>
      <c r="AG52" s="7">
        <f>SUMIFS($U$52:$U$73,$AD$52:$AD$73,AF52)+AF44</f>
        <v>77.511377190909059</v>
      </c>
    </row>
    <row r="53" spans="1:33" ht="15.75" customHeight="1">
      <c r="A53" s="206" t="s">
        <v>134</v>
      </c>
      <c r="B53" s="207"/>
      <c r="C53" s="207"/>
      <c r="D53" s="207"/>
      <c r="E53" s="207"/>
      <c r="F53" s="207"/>
      <c r="G53" s="207"/>
      <c r="H53" s="22"/>
      <c r="I53" s="22"/>
      <c r="J53" s="22"/>
      <c r="K53" s="22"/>
      <c r="R53" s="2" t="s">
        <v>135</v>
      </c>
      <c r="S53" s="2" t="s">
        <v>136</v>
      </c>
      <c r="T53" s="2" t="s">
        <v>128</v>
      </c>
      <c r="U53" s="9">
        <f>N43</f>
        <v>28.640346999999998</v>
      </c>
      <c r="V53" s="2">
        <v>0</v>
      </c>
      <c r="W53" s="2" t="s">
        <v>129</v>
      </c>
      <c r="X53" s="2" t="s">
        <v>130</v>
      </c>
      <c r="Y53" s="2" t="s">
        <v>131</v>
      </c>
      <c r="Z53" s="2" t="s">
        <v>132</v>
      </c>
      <c r="AA53" s="2"/>
      <c r="AB53" s="2" t="s">
        <v>133</v>
      </c>
      <c r="AD53" s="2" t="s">
        <v>103</v>
      </c>
      <c r="AF53" s="2" t="s">
        <v>137</v>
      </c>
      <c r="AG53" s="7">
        <f t="shared" ref="AG53:AG55" si="10">SUMIFS($U$52:$U$73,$AD$52:$AD$73,AF53)</f>
        <v>95.527376290405272</v>
      </c>
    </row>
    <row r="54" spans="1:33" ht="15.75" customHeight="1">
      <c r="A54" s="186" t="s">
        <v>138</v>
      </c>
      <c r="B54" s="188"/>
      <c r="C54" s="196" t="s">
        <v>139</v>
      </c>
      <c r="D54" s="187"/>
      <c r="E54" s="187"/>
      <c r="F54" s="187"/>
      <c r="G54" s="187"/>
      <c r="H54" s="187"/>
      <c r="I54" s="187"/>
      <c r="J54" s="187"/>
      <c r="K54" s="187"/>
      <c r="L54" s="187"/>
      <c r="M54" s="187"/>
      <c r="N54" s="188"/>
      <c r="AF54" s="2" t="s">
        <v>140</v>
      </c>
      <c r="AG54" s="7">
        <f t="shared" si="10"/>
        <v>25.53494730909091</v>
      </c>
    </row>
    <row r="55" spans="1:33" ht="15.75" customHeight="1">
      <c r="A55" s="186" t="s">
        <v>141</v>
      </c>
      <c r="B55" s="188"/>
      <c r="C55" s="189">
        <v>170500107</v>
      </c>
      <c r="D55" s="187"/>
      <c r="E55" s="187"/>
      <c r="F55" s="187"/>
      <c r="G55" s="187"/>
      <c r="H55" s="187"/>
      <c r="I55" s="187"/>
      <c r="J55" s="187"/>
      <c r="K55" s="187"/>
      <c r="L55" s="187"/>
      <c r="M55" s="187"/>
      <c r="N55" s="188"/>
      <c r="R55" s="2" t="s">
        <v>48</v>
      </c>
      <c r="S55" s="2" t="s">
        <v>142</v>
      </c>
      <c r="T55" s="2" t="s">
        <v>143</v>
      </c>
      <c r="V55" s="2" t="s">
        <v>144</v>
      </c>
      <c r="W55" s="2" t="s">
        <v>145</v>
      </c>
      <c r="X55" s="2" t="s">
        <v>146</v>
      </c>
      <c r="Y55" s="2" t="s">
        <v>51</v>
      </c>
      <c r="Z55" s="2" t="s">
        <v>147</v>
      </c>
      <c r="AA55" s="2" t="s">
        <v>148</v>
      </c>
      <c r="AB55" s="2" t="s">
        <v>133</v>
      </c>
      <c r="AF55" s="2" t="s">
        <v>149</v>
      </c>
      <c r="AG55" s="7">
        <f t="shared" si="10"/>
        <v>1.4527976531982421</v>
      </c>
    </row>
    <row r="56" spans="1:33" ht="15.75" customHeight="1">
      <c r="A56" s="186" t="s">
        <v>150</v>
      </c>
      <c r="B56" s="188"/>
      <c r="C56" s="195">
        <v>43190</v>
      </c>
      <c r="D56" s="187"/>
      <c r="E56" s="187"/>
      <c r="F56" s="187"/>
      <c r="G56" s="187"/>
      <c r="H56" s="187"/>
      <c r="I56" s="187"/>
      <c r="J56" s="187"/>
      <c r="K56" s="187"/>
      <c r="L56" s="187"/>
      <c r="M56" s="187"/>
      <c r="N56" s="188"/>
      <c r="T56" s="2" t="s">
        <v>128</v>
      </c>
      <c r="U56" s="9">
        <f>33*1.055*D76/1000000</f>
        <v>10.898592044999999</v>
      </c>
      <c r="V56" s="2" t="s">
        <v>144</v>
      </c>
      <c r="W56" s="2" t="s">
        <v>151</v>
      </c>
      <c r="X56" s="2" t="s">
        <v>152</v>
      </c>
      <c r="Y56" s="2" t="s">
        <v>153</v>
      </c>
      <c r="Z56" s="2" t="s">
        <v>154</v>
      </c>
      <c r="AA56" s="2" t="s">
        <v>132</v>
      </c>
      <c r="AB56" s="2" t="s">
        <v>133</v>
      </c>
      <c r="AD56" s="2" t="s">
        <v>137</v>
      </c>
      <c r="AF56" s="3" t="s">
        <v>155</v>
      </c>
      <c r="AG56" s="64">
        <f>SUM(AG52:AG55)</f>
        <v>200.02649844360349</v>
      </c>
    </row>
    <row r="57" spans="1:33" ht="15.75" customHeight="1">
      <c r="A57" s="186" t="s">
        <v>156</v>
      </c>
      <c r="B57" s="188"/>
      <c r="C57" s="196" t="s">
        <v>157</v>
      </c>
      <c r="D57" s="187"/>
      <c r="E57" s="187"/>
      <c r="F57" s="187"/>
      <c r="G57" s="187"/>
      <c r="H57" s="187"/>
      <c r="I57" s="187"/>
      <c r="J57" s="187"/>
      <c r="K57" s="187"/>
      <c r="L57" s="187"/>
      <c r="M57" s="187"/>
      <c r="N57" s="188"/>
      <c r="S57" s="2" t="s">
        <v>158</v>
      </c>
      <c r="T57" s="2" t="s">
        <v>143</v>
      </c>
      <c r="V57" s="2" t="s">
        <v>144</v>
      </c>
      <c r="W57" s="2" t="s">
        <v>159</v>
      </c>
      <c r="Y57" s="2" t="s">
        <v>51</v>
      </c>
      <c r="Z57" s="2" t="s">
        <v>154</v>
      </c>
      <c r="AA57" s="2" t="s">
        <v>132</v>
      </c>
      <c r="AB57" s="2" t="s">
        <v>133</v>
      </c>
    </row>
    <row r="58" spans="1:33" ht="15.75" customHeight="1">
      <c r="A58" s="186" t="s">
        <v>160</v>
      </c>
      <c r="B58" s="187"/>
      <c r="C58" s="187"/>
      <c r="D58" s="187"/>
      <c r="E58" s="187"/>
      <c r="F58" s="187"/>
      <c r="G58" s="187"/>
      <c r="H58" s="187"/>
      <c r="I58" s="187"/>
      <c r="J58" s="187"/>
      <c r="K58" s="187"/>
      <c r="L58" s="187"/>
      <c r="M58" s="187"/>
      <c r="N58" s="188"/>
      <c r="W58" s="2" t="s">
        <v>161</v>
      </c>
      <c r="X58" s="2" t="s">
        <v>152</v>
      </c>
      <c r="Y58" s="2" t="s">
        <v>153</v>
      </c>
      <c r="Z58" s="2" t="s">
        <v>154</v>
      </c>
      <c r="AA58" s="2" t="s">
        <v>132</v>
      </c>
      <c r="AB58" s="2" t="s">
        <v>133</v>
      </c>
      <c r="AF58" s="3" t="s">
        <v>162</v>
      </c>
    </row>
    <row r="59" spans="1:33" ht="15.75" customHeight="1">
      <c r="A59" s="190" t="s">
        <v>163</v>
      </c>
      <c r="B59" s="193" t="s">
        <v>164</v>
      </c>
      <c r="C59" s="194" t="s">
        <v>165</v>
      </c>
      <c r="D59" s="187"/>
      <c r="E59" s="188"/>
      <c r="F59" s="194" t="s">
        <v>166</v>
      </c>
      <c r="G59" s="187"/>
      <c r="H59" s="187"/>
      <c r="I59" s="187"/>
      <c r="J59" s="187"/>
      <c r="K59" s="187"/>
      <c r="L59" s="187"/>
      <c r="M59" s="187"/>
      <c r="N59" s="188"/>
      <c r="R59" s="2" t="s">
        <v>167</v>
      </c>
      <c r="S59" s="23" t="s">
        <v>168</v>
      </c>
      <c r="T59" s="2" t="s">
        <v>128</v>
      </c>
      <c r="U59" s="9">
        <v>19.17791290909091</v>
      </c>
      <c r="V59" s="2">
        <v>16.7</v>
      </c>
      <c r="W59" s="2" t="s">
        <v>129</v>
      </c>
      <c r="X59" s="2" t="s">
        <v>169</v>
      </c>
      <c r="Y59" s="2" t="s">
        <v>170</v>
      </c>
      <c r="Z59" s="2" t="s">
        <v>132</v>
      </c>
      <c r="AA59" s="2" t="s">
        <v>132</v>
      </c>
      <c r="AB59" s="2" t="s">
        <v>171</v>
      </c>
      <c r="AD59" s="2" t="s">
        <v>140</v>
      </c>
      <c r="AF59" s="2" t="s">
        <v>172</v>
      </c>
      <c r="AG59" s="7">
        <f>N32</f>
        <v>151.28700000000001</v>
      </c>
    </row>
    <row r="60" spans="1:33" ht="15.75" customHeight="1">
      <c r="A60" s="191"/>
      <c r="B60" s="191"/>
      <c r="C60" s="190" t="s">
        <v>173</v>
      </c>
      <c r="D60" s="193" t="s">
        <v>174</v>
      </c>
      <c r="E60" s="193" t="s">
        <v>175</v>
      </c>
      <c r="F60" s="194" t="s">
        <v>176</v>
      </c>
      <c r="G60" s="187"/>
      <c r="H60" s="188"/>
      <c r="I60" s="194" t="s">
        <v>177</v>
      </c>
      <c r="J60" s="187"/>
      <c r="K60" s="188"/>
      <c r="L60" s="194" t="s">
        <v>178</v>
      </c>
      <c r="M60" s="187"/>
      <c r="N60" s="188"/>
      <c r="Q60" s="9"/>
      <c r="R60" s="2" t="s">
        <v>179</v>
      </c>
      <c r="S60" s="23" t="s">
        <v>180</v>
      </c>
      <c r="T60" s="2" t="s">
        <v>181</v>
      </c>
      <c r="U60" s="9">
        <v>6.3570344000000008</v>
      </c>
      <c r="V60" s="2">
        <v>6.7</v>
      </c>
      <c r="W60" s="2" t="s">
        <v>129</v>
      </c>
      <c r="X60" s="2" t="s">
        <v>169</v>
      </c>
      <c r="Y60" s="2" t="s">
        <v>170</v>
      </c>
      <c r="Z60" s="2" t="s">
        <v>132</v>
      </c>
      <c r="AA60" s="2" t="s">
        <v>132</v>
      </c>
      <c r="AB60" s="2" t="s">
        <v>171</v>
      </c>
      <c r="AD60" s="2" t="s">
        <v>140</v>
      </c>
      <c r="AF60" s="2" t="s">
        <v>105</v>
      </c>
      <c r="AG60" s="7">
        <f>AF45</f>
        <v>25.570812499999999</v>
      </c>
    </row>
    <row r="61" spans="1:33" ht="15.75" customHeight="1">
      <c r="A61" s="192"/>
      <c r="B61" s="192"/>
      <c r="C61" s="192"/>
      <c r="D61" s="192"/>
      <c r="E61" s="192"/>
      <c r="F61" s="24" t="s">
        <v>182</v>
      </c>
      <c r="G61" s="24" t="s">
        <v>183</v>
      </c>
      <c r="H61" s="24" t="s">
        <v>184</v>
      </c>
      <c r="I61" s="24" t="s">
        <v>182</v>
      </c>
      <c r="J61" s="24" t="s">
        <v>183</v>
      </c>
      <c r="K61" s="24" t="s">
        <v>184</v>
      </c>
      <c r="L61" s="24" t="s">
        <v>182</v>
      </c>
      <c r="M61" s="24" t="s">
        <v>183</v>
      </c>
      <c r="N61" s="24" t="s">
        <v>184</v>
      </c>
      <c r="AF61" s="2" t="s">
        <v>103</v>
      </c>
      <c r="AG61" s="7">
        <f>N33</f>
        <v>24.581499999999998</v>
      </c>
    </row>
    <row r="62" spans="1:33" ht="15.75" customHeight="1">
      <c r="A62" s="25" t="s">
        <v>185</v>
      </c>
      <c r="B62" s="26" t="s">
        <v>186</v>
      </c>
      <c r="C62" s="26" t="s">
        <v>187</v>
      </c>
      <c r="D62" s="27">
        <v>14977374</v>
      </c>
      <c r="E62" s="26" t="s">
        <v>188</v>
      </c>
      <c r="F62" s="27">
        <v>25429246</v>
      </c>
      <c r="G62" s="28">
        <v>3</v>
      </c>
      <c r="H62" s="26" t="s">
        <v>189</v>
      </c>
      <c r="I62" s="29">
        <v>300</v>
      </c>
      <c r="J62" s="28">
        <v>1</v>
      </c>
      <c r="K62" s="26" t="s">
        <v>189</v>
      </c>
      <c r="L62" s="29">
        <v>449</v>
      </c>
      <c r="M62" s="28">
        <v>1</v>
      </c>
      <c r="N62" s="26" t="s">
        <v>189</v>
      </c>
      <c r="R62" s="2" t="s">
        <v>190</v>
      </c>
      <c r="T62" s="2" t="s">
        <v>181</v>
      </c>
      <c r="U62" s="18">
        <f>X25+X23</f>
        <v>3.6902076364402778</v>
      </c>
      <c r="V62" s="2">
        <v>0</v>
      </c>
      <c r="W62" s="2" t="s">
        <v>129</v>
      </c>
      <c r="X62" s="2" t="s">
        <v>191</v>
      </c>
      <c r="Y62" s="2" t="s">
        <v>192</v>
      </c>
      <c r="Z62" s="2" t="s">
        <v>132</v>
      </c>
      <c r="AA62" s="2" t="s">
        <v>193</v>
      </c>
      <c r="AB62" s="2" t="s">
        <v>133</v>
      </c>
      <c r="AD62" s="2" t="s">
        <v>137</v>
      </c>
      <c r="AF62" s="3" t="s">
        <v>194</v>
      </c>
      <c r="AG62" s="64">
        <f>SUM(AG59:AG61)</f>
        <v>201.4393125</v>
      </c>
    </row>
    <row r="63" spans="1:33" ht="15.75" customHeight="1">
      <c r="A63" s="25" t="s">
        <v>185</v>
      </c>
      <c r="B63" s="26" t="s">
        <v>186</v>
      </c>
      <c r="C63" s="26" t="s">
        <v>195</v>
      </c>
      <c r="D63" s="27">
        <v>750271</v>
      </c>
      <c r="E63" s="30" t="s">
        <v>196</v>
      </c>
      <c r="F63" s="27">
        <v>1420641</v>
      </c>
      <c r="G63" s="28">
        <v>3</v>
      </c>
      <c r="H63" s="26" t="s">
        <v>189</v>
      </c>
      <c r="I63" s="29">
        <v>25.3</v>
      </c>
      <c r="J63" s="28">
        <v>1</v>
      </c>
      <c r="K63" s="26" t="s">
        <v>189</v>
      </c>
      <c r="L63" s="29">
        <v>2.5299999999999998</v>
      </c>
      <c r="M63" s="28">
        <v>1</v>
      </c>
      <c r="N63" s="26" t="s">
        <v>189</v>
      </c>
      <c r="O63" s="18">
        <f>F63/56.1/1000</f>
        <v>25.323368983957216</v>
      </c>
      <c r="P63" s="18">
        <f>D63*0.03825/1000</f>
        <v>28.697865750000002</v>
      </c>
      <c r="R63" s="2" t="s">
        <v>197</v>
      </c>
      <c r="T63" s="2" t="s">
        <v>198</v>
      </c>
      <c r="U63" s="18">
        <f>X26+X24</f>
        <v>29.438627591440277</v>
      </c>
      <c r="V63" s="2">
        <v>28.6</v>
      </c>
      <c r="W63" s="2" t="s">
        <v>129</v>
      </c>
      <c r="X63" s="2" t="s">
        <v>191</v>
      </c>
      <c r="Y63" s="2" t="s">
        <v>192</v>
      </c>
      <c r="Z63" s="2" t="s">
        <v>154</v>
      </c>
      <c r="AA63" s="2" t="s">
        <v>193</v>
      </c>
      <c r="AB63" s="2" t="s">
        <v>133</v>
      </c>
      <c r="AD63" s="2" t="s">
        <v>137</v>
      </c>
    </row>
    <row r="64" spans="1:33" ht="15.75" customHeight="1">
      <c r="A64" s="25" t="s">
        <v>185</v>
      </c>
      <c r="B64" s="26" t="s">
        <v>186</v>
      </c>
      <c r="C64" s="26" t="s">
        <v>199</v>
      </c>
      <c r="D64" s="27">
        <v>28640347</v>
      </c>
      <c r="E64" s="26" t="s">
        <v>200</v>
      </c>
      <c r="F64" s="27">
        <v>1194110</v>
      </c>
      <c r="G64" s="28">
        <v>3</v>
      </c>
      <c r="H64" s="26" t="s">
        <v>189</v>
      </c>
      <c r="I64" s="29">
        <v>21.3</v>
      </c>
      <c r="J64" s="28">
        <v>1</v>
      </c>
      <c r="K64" s="26" t="s">
        <v>189</v>
      </c>
      <c r="L64" s="29">
        <v>2.13</v>
      </c>
      <c r="M64" s="28">
        <v>1</v>
      </c>
      <c r="N64" s="26" t="s">
        <v>189</v>
      </c>
      <c r="O64" s="2">
        <f>F64/D64</f>
        <v>4.1693279763684428E-2</v>
      </c>
      <c r="R64" s="2" t="s">
        <v>201</v>
      </c>
      <c r="T64" s="2" t="s">
        <v>202</v>
      </c>
      <c r="U64" s="18">
        <f>X27</f>
        <v>15.927381835937499</v>
      </c>
      <c r="V64" s="2">
        <v>4.7</v>
      </c>
      <c r="W64" s="2" t="s">
        <v>129</v>
      </c>
      <c r="X64" s="2" t="s">
        <v>191</v>
      </c>
      <c r="Y64" s="2" t="s">
        <v>192</v>
      </c>
      <c r="Z64" s="2" t="s">
        <v>132</v>
      </c>
      <c r="AA64" s="2" t="s">
        <v>203</v>
      </c>
      <c r="AB64" s="2" t="s">
        <v>133</v>
      </c>
      <c r="AD64" s="2" t="s">
        <v>137</v>
      </c>
    </row>
    <row r="65" spans="1:30" ht="15.75" customHeight="1">
      <c r="A65" s="25" t="s">
        <v>185</v>
      </c>
      <c r="B65" s="26" t="s">
        <v>186</v>
      </c>
      <c r="C65" s="26" t="s">
        <v>204</v>
      </c>
      <c r="D65" s="27">
        <v>1100948</v>
      </c>
      <c r="E65" s="26" t="s">
        <v>200</v>
      </c>
      <c r="F65" s="27">
        <v>118860</v>
      </c>
      <c r="G65" s="28">
        <v>3</v>
      </c>
      <c r="H65" s="26" t="s">
        <v>189</v>
      </c>
      <c r="I65" s="29">
        <v>4.5999999999999996</v>
      </c>
      <c r="J65" s="28">
        <v>1</v>
      </c>
      <c r="K65" s="26" t="s">
        <v>189</v>
      </c>
      <c r="L65" s="29">
        <v>0.92</v>
      </c>
      <c r="M65" s="28">
        <v>1</v>
      </c>
      <c r="N65" s="26" t="s">
        <v>189</v>
      </c>
      <c r="O65" s="2">
        <f>56/41</f>
        <v>1.3658536585365855</v>
      </c>
      <c r="R65" s="2" t="s">
        <v>205</v>
      </c>
      <c r="T65" s="2" t="s">
        <v>206</v>
      </c>
      <c r="U65" s="18">
        <f>X28</f>
        <v>2.2541069641113283</v>
      </c>
      <c r="V65" s="2">
        <v>0.5</v>
      </c>
      <c r="W65" s="2" t="s">
        <v>129</v>
      </c>
      <c r="X65" s="2" t="s">
        <v>191</v>
      </c>
      <c r="Y65" s="2" t="s">
        <v>192</v>
      </c>
      <c r="Z65" s="2" t="s">
        <v>132</v>
      </c>
      <c r="AA65" s="2" t="s">
        <v>193</v>
      </c>
      <c r="AB65" s="2" t="s">
        <v>133</v>
      </c>
      <c r="AD65" s="2" t="s">
        <v>137</v>
      </c>
    </row>
    <row r="66" spans="1:30" ht="15.75" customHeight="1">
      <c r="A66" s="25" t="s">
        <v>185</v>
      </c>
      <c r="B66" s="26" t="s">
        <v>186</v>
      </c>
      <c r="C66" s="26" t="s">
        <v>207</v>
      </c>
      <c r="D66" s="27">
        <v>1199845</v>
      </c>
      <c r="E66" s="30" t="s">
        <v>196</v>
      </c>
      <c r="F66" s="27">
        <v>188429</v>
      </c>
      <c r="G66" s="28">
        <v>3</v>
      </c>
      <c r="H66" s="26" t="s">
        <v>189</v>
      </c>
      <c r="I66" s="29">
        <v>7.3</v>
      </c>
      <c r="J66" s="28">
        <v>1</v>
      </c>
      <c r="K66" s="26" t="s">
        <v>189</v>
      </c>
      <c r="L66" s="29">
        <v>1.46</v>
      </c>
      <c r="M66" s="28">
        <v>1</v>
      </c>
      <c r="N66" s="26" t="s">
        <v>189</v>
      </c>
      <c r="R66" s="2" t="s">
        <v>208</v>
      </c>
      <c r="T66" s="2" t="s">
        <v>209</v>
      </c>
      <c r="U66" s="18">
        <f>X29</f>
        <v>15.49837338256836</v>
      </c>
      <c r="V66" s="2">
        <v>8.4</v>
      </c>
      <c r="W66" s="2" t="s">
        <v>129</v>
      </c>
      <c r="X66" s="2" t="s">
        <v>191</v>
      </c>
      <c r="Y66" s="2" t="s">
        <v>192</v>
      </c>
      <c r="Z66" s="2" t="s">
        <v>203</v>
      </c>
      <c r="AA66" s="2" t="s">
        <v>193</v>
      </c>
      <c r="AB66" s="2" t="s">
        <v>133</v>
      </c>
      <c r="AD66" s="2" t="s">
        <v>137</v>
      </c>
    </row>
    <row r="67" spans="1:30" ht="15.75" customHeight="1">
      <c r="A67" s="25" t="s">
        <v>185</v>
      </c>
      <c r="B67" s="26" t="s">
        <v>186</v>
      </c>
      <c r="C67" s="26" t="s">
        <v>210</v>
      </c>
      <c r="D67" s="27">
        <v>177871</v>
      </c>
      <c r="E67" s="30" t="s">
        <v>196</v>
      </c>
      <c r="F67" s="27">
        <v>68055</v>
      </c>
      <c r="G67" s="28">
        <v>3</v>
      </c>
      <c r="H67" s="26" t="s">
        <v>189</v>
      </c>
      <c r="I67" s="29">
        <v>1.2</v>
      </c>
      <c r="J67" s="28">
        <v>1</v>
      </c>
      <c r="K67" s="26" t="s">
        <v>189</v>
      </c>
      <c r="L67" s="29">
        <v>0.12</v>
      </c>
      <c r="M67" s="28">
        <v>1</v>
      </c>
      <c r="N67" s="26" t="s">
        <v>189</v>
      </c>
      <c r="R67" s="2" t="s">
        <v>211</v>
      </c>
      <c r="T67" s="2" t="s">
        <v>212</v>
      </c>
      <c r="U67" s="18">
        <f>X32</f>
        <v>1.0014639892578125</v>
      </c>
      <c r="V67" s="2">
        <v>0</v>
      </c>
      <c r="W67" s="2" t="s">
        <v>129</v>
      </c>
      <c r="X67" s="2" t="s">
        <v>191</v>
      </c>
      <c r="Y67" s="2" t="s">
        <v>192</v>
      </c>
      <c r="Z67" s="2" t="s">
        <v>132</v>
      </c>
      <c r="AA67" s="2" t="s">
        <v>132</v>
      </c>
      <c r="AB67" s="2" t="s">
        <v>133</v>
      </c>
      <c r="AD67" s="2" t="s">
        <v>137</v>
      </c>
    </row>
    <row r="68" spans="1:30" ht="15.75" customHeight="1">
      <c r="A68" s="25" t="s">
        <v>213</v>
      </c>
      <c r="B68" s="26" t="s">
        <v>186</v>
      </c>
      <c r="C68" s="26" t="s">
        <v>214</v>
      </c>
      <c r="D68" s="27">
        <v>910988</v>
      </c>
      <c r="E68" s="26" t="s">
        <v>215</v>
      </c>
      <c r="F68" s="27">
        <v>39454</v>
      </c>
      <c r="G68" s="28">
        <v>3</v>
      </c>
      <c r="H68" s="26" t="s">
        <v>189</v>
      </c>
      <c r="I68" s="29">
        <v>0.7</v>
      </c>
      <c r="J68" s="28">
        <v>1</v>
      </c>
      <c r="K68" s="26" t="s">
        <v>189</v>
      </c>
      <c r="L68" s="29">
        <v>7.0000000000000007E-2</v>
      </c>
      <c r="M68" s="28">
        <v>1</v>
      </c>
      <c r="N68" s="26" t="s">
        <v>189</v>
      </c>
      <c r="R68" s="2" t="s">
        <v>216</v>
      </c>
      <c r="T68" s="2" t="s">
        <v>217</v>
      </c>
      <c r="U68" s="18">
        <f>X33</f>
        <v>7.3658288574218753</v>
      </c>
      <c r="V68" s="2">
        <v>3.8</v>
      </c>
      <c r="W68" s="2" t="s">
        <v>129</v>
      </c>
      <c r="X68" s="2" t="s">
        <v>191</v>
      </c>
      <c r="Y68" s="2" t="s">
        <v>192</v>
      </c>
      <c r="Z68" s="2" t="s">
        <v>132</v>
      </c>
      <c r="AA68" s="2" t="s">
        <v>193</v>
      </c>
      <c r="AB68" s="2" t="s">
        <v>133</v>
      </c>
      <c r="AD68" s="2" t="s">
        <v>137</v>
      </c>
    </row>
    <row r="69" spans="1:30" ht="15.75" customHeight="1">
      <c r="A69" s="31" t="s">
        <v>218</v>
      </c>
      <c r="B69" s="32" t="s">
        <v>219</v>
      </c>
      <c r="C69" s="32" t="s">
        <v>220</v>
      </c>
      <c r="D69" s="33">
        <v>30042216</v>
      </c>
      <c r="E69" s="34" t="s">
        <v>221</v>
      </c>
      <c r="F69" s="33">
        <v>23227198</v>
      </c>
      <c r="G69" s="35">
        <v>3</v>
      </c>
      <c r="H69" s="32" t="s">
        <v>189</v>
      </c>
      <c r="I69" s="32" t="s">
        <v>222</v>
      </c>
      <c r="J69" s="35">
        <v>3</v>
      </c>
      <c r="K69" s="32" t="s">
        <v>189</v>
      </c>
      <c r="L69" s="34">
        <v>0</v>
      </c>
      <c r="M69" s="34"/>
      <c r="N69" s="34"/>
      <c r="R69" s="2" t="s">
        <v>223</v>
      </c>
      <c r="T69" s="2" t="s">
        <v>224</v>
      </c>
      <c r="U69" s="18">
        <f>X34</f>
        <v>4.1653308105468749</v>
      </c>
      <c r="V69" s="2">
        <v>4</v>
      </c>
      <c r="W69" s="2" t="s">
        <v>129</v>
      </c>
      <c r="X69" s="2" t="s">
        <v>191</v>
      </c>
      <c r="Y69" s="2" t="s">
        <v>192</v>
      </c>
      <c r="Z69" s="2" t="s">
        <v>225</v>
      </c>
      <c r="AA69" s="2" t="s">
        <v>132</v>
      </c>
      <c r="AB69" s="2" t="s">
        <v>133</v>
      </c>
      <c r="AD69" s="2" t="s">
        <v>137</v>
      </c>
    </row>
    <row r="70" spans="1:30" ht="15.75" customHeight="1">
      <c r="A70" s="36" t="s">
        <v>218</v>
      </c>
      <c r="B70" s="37" t="s">
        <v>219</v>
      </c>
      <c r="C70" s="38" t="s">
        <v>226</v>
      </c>
      <c r="D70" s="38" t="s">
        <v>227</v>
      </c>
      <c r="E70" s="37" t="s">
        <v>228</v>
      </c>
      <c r="F70" s="39">
        <v>2027278</v>
      </c>
      <c r="G70" s="40">
        <v>3</v>
      </c>
      <c r="H70" s="37" t="s">
        <v>189</v>
      </c>
      <c r="I70" s="37" t="s">
        <v>229</v>
      </c>
      <c r="J70" s="37" t="s">
        <v>229</v>
      </c>
      <c r="K70" s="37" t="s">
        <v>229</v>
      </c>
      <c r="L70" s="37" t="s">
        <v>229</v>
      </c>
      <c r="M70" s="37" t="s">
        <v>229</v>
      </c>
      <c r="N70" s="37" t="s">
        <v>229</v>
      </c>
      <c r="R70" s="2" t="s">
        <v>230</v>
      </c>
      <c r="T70" s="2" t="s">
        <v>231</v>
      </c>
      <c r="U70" s="18">
        <f>SUM(X35:X38)+X30</f>
        <v>5.2874631776809693</v>
      </c>
      <c r="V70" s="2">
        <v>4.3</v>
      </c>
      <c r="W70" s="2" t="s">
        <v>129</v>
      </c>
      <c r="X70" s="2" t="s">
        <v>191</v>
      </c>
      <c r="Y70" s="2" t="s">
        <v>192</v>
      </c>
      <c r="Z70" s="2" t="s">
        <v>132</v>
      </c>
      <c r="AA70" s="2" t="s">
        <v>132</v>
      </c>
      <c r="AB70" s="2" t="s">
        <v>133</v>
      </c>
      <c r="AD70" s="2" t="s">
        <v>137</v>
      </c>
    </row>
    <row r="71" spans="1:30" ht="15.75" customHeight="1">
      <c r="A71" s="41" t="s">
        <v>218</v>
      </c>
      <c r="B71" s="38" t="s">
        <v>219</v>
      </c>
      <c r="C71" s="38" t="s">
        <v>232</v>
      </c>
      <c r="D71" s="42">
        <v>177871</v>
      </c>
      <c r="E71" s="43" t="s">
        <v>196</v>
      </c>
      <c r="F71" s="42">
        <v>309044</v>
      </c>
      <c r="G71" s="44">
        <v>3</v>
      </c>
      <c r="H71" s="38" t="s">
        <v>189</v>
      </c>
      <c r="I71" s="38" t="s">
        <v>229</v>
      </c>
      <c r="J71" s="38" t="s">
        <v>229</v>
      </c>
      <c r="K71" s="38" t="s">
        <v>229</v>
      </c>
      <c r="L71" s="38" t="s">
        <v>229</v>
      </c>
      <c r="M71" s="38" t="s">
        <v>229</v>
      </c>
      <c r="N71" s="38" t="s">
        <v>229</v>
      </c>
      <c r="W71" s="2" t="s">
        <v>129</v>
      </c>
    </row>
    <row r="72" spans="1:30" ht="15.75" customHeight="1">
      <c r="A72" s="41" t="s">
        <v>218</v>
      </c>
      <c r="B72" s="38" t="s">
        <v>219</v>
      </c>
      <c r="C72" s="38" t="s">
        <v>233</v>
      </c>
      <c r="D72" s="42">
        <v>182658</v>
      </c>
      <c r="E72" s="38" t="s">
        <v>234</v>
      </c>
      <c r="F72" s="42">
        <v>15323</v>
      </c>
      <c r="G72" s="44">
        <v>3</v>
      </c>
      <c r="H72" s="38" t="s">
        <v>189</v>
      </c>
      <c r="I72" s="38" t="s">
        <v>229</v>
      </c>
      <c r="J72" s="38" t="s">
        <v>229</v>
      </c>
      <c r="K72" s="38" t="s">
        <v>229</v>
      </c>
      <c r="L72" s="38" t="s">
        <v>229</v>
      </c>
      <c r="M72" s="38" t="s">
        <v>229</v>
      </c>
      <c r="N72" s="38" t="s">
        <v>229</v>
      </c>
      <c r="R72" s="2" t="s">
        <v>235</v>
      </c>
      <c r="T72" s="2" t="s">
        <v>236</v>
      </c>
      <c r="U72" s="18">
        <f>X41</f>
        <v>1.2323005371093749</v>
      </c>
      <c r="V72" s="2">
        <v>1.6</v>
      </c>
      <c r="W72" s="2" t="s">
        <v>129</v>
      </c>
      <c r="X72" s="2" t="s">
        <v>237</v>
      </c>
      <c r="Y72" s="2" t="s">
        <v>238</v>
      </c>
      <c r="Z72" s="2" t="s">
        <v>132</v>
      </c>
      <c r="AA72" s="2" t="s">
        <v>132</v>
      </c>
      <c r="AB72" s="2" t="s">
        <v>133</v>
      </c>
      <c r="AD72" s="2" t="s">
        <v>149</v>
      </c>
    </row>
    <row r="73" spans="1:30" ht="15.75" customHeight="1">
      <c r="A73" s="45" t="s">
        <v>239</v>
      </c>
      <c r="B73" s="46" t="s">
        <v>240</v>
      </c>
      <c r="C73" s="46" t="s">
        <v>241</v>
      </c>
      <c r="D73" s="47">
        <v>23360</v>
      </c>
      <c r="E73" s="46" t="s">
        <v>242</v>
      </c>
      <c r="F73" s="47">
        <v>7065</v>
      </c>
      <c r="G73" s="48">
        <v>3</v>
      </c>
      <c r="H73" s="46" t="s">
        <v>189</v>
      </c>
      <c r="I73" s="49">
        <v>3853</v>
      </c>
      <c r="J73" s="48">
        <v>3</v>
      </c>
      <c r="K73" s="46" t="s">
        <v>189</v>
      </c>
      <c r="L73" s="50">
        <v>0</v>
      </c>
      <c r="M73" s="50"/>
      <c r="N73" s="50"/>
      <c r="R73" s="2" t="s">
        <v>89</v>
      </c>
      <c r="T73" s="2" t="s">
        <v>243</v>
      </c>
      <c r="U73" s="18">
        <f>X42</f>
        <v>0.22049711608886718</v>
      </c>
      <c r="V73" s="2">
        <v>0</v>
      </c>
      <c r="W73" s="2" t="s">
        <v>129</v>
      </c>
      <c r="X73" s="2" t="s">
        <v>244</v>
      </c>
      <c r="Y73" s="2" t="s">
        <v>238</v>
      </c>
      <c r="Z73" s="2" t="s">
        <v>132</v>
      </c>
      <c r="AA73" s="2" t="s">
        <v>132</v>
      </c>
      <c r="AB73" s="2" t="s">
        <v>133</v>
      </c>
      <c r="AD73" s="2" t="s">
        <v>149</v>
      </c>
    </row>
    <row r="74" spans="1:30" ht="15.75" customHeight="1">
      <c r="A74" s="51" t="s">
        <v>239</v>
      </c>
      <c r="B74" s="52" t="s">
        <v>240</v>
      </c>
      <c r="C74" s="46" t="s">
        <v>245</v>
      </c>
      <c r="D74" s="53">
        <v>119401</v>
      </c>
      <c r="E74" s="46" t="s">
        <v>246</v>
      </c>
      <c r="F74" s="53">
        <v>180962</v>
      </c>
      <c r="G74" s="54">
        <v>3</v>
      </c>
      <c r="H74" s="52" t="s">
        <v>189</v>
      </c>
      <c r="I74" s="52" t="s">
        <v>229</v>
      </c>
      <c r="J74" s="52" t="s">
        <v>229</v>
      </c>
      <c r="K74" s="52" t="s">
        <v>229</v>
      </c>
      <c r="L74" s="52" t="s">
        <v>229</v>
      </c>
      <c r="M74" s="52" t="s">
        <v>229</v>
      </c>
      <c r="N74" s="52" t="s">
        <v>229</v>
      </c>
    </row>
    <row r="75" spans="1:30" ht="15.75" customHeight="1">
      <c r="A75" s="55" t="s">
        <v>247</v>
      </c>
      <c r="B75" s="56" t="s">
        <v>248</v>
      </c>
      <c r="C75" s="56" t="s">
        <v>249</v>
      </c>
      <c r="D75" s="57">
        <v>643962</v>
      </c>
      <c r="E75" s="56" t="s">
        <v>250</v>
      </c>
      <c r="F75" s="58" t="s">
        <v>229</v>
      </c>
      <c r="G75" s="56" t="s">
        <v>229</v>
      </c>
      <c r="H75" s="56" t="s">
        <v>229</v>
      </c>
      <c r="I75" s="56" t="s">
        <v>229</v>
      </c>
      <c r="J75" s="56" t="s">
        <v>229</v>
      </c>
      <c r="K75" s="56" t="s">
        <v>229</v>
      </c>
      <c r="L75" s="59">
        <v>692</v>
      </c>
      <c r="M75" s="60">
        <v>3</v>
      </c>
      <c r="N75" s="56" t="s">
        <v>189</v>
      </c>
      <c r="R75" s="3" t="s">
        <v>251</v>
      </c>
    </row>
    <row r="76" spans="1:30" ht="15.75" customHeight="1">
      <c r="A76" s="55" t="s">
        <v>247</v>
      </c>
      <c r="B76" s="56" t="s">
        <v>252</v>
      </c>
      <c r="C76" s="56" t="s">
        <v>253</v>
      </c>
      <c r="D76" s="57">
        <v>313043</v>
      </c>
      <c r="E76" s="56" t="s">
        <v>254</v>
      </c>
      <c r="F76" s="57">
        <v>241415</v>
      </c>
      <c r="G76" s="60">
        <v>3</v>
      </c>
      <c r="H76" s="56" t="s">
        <v>189</v>
      </c>
      <c r="I76" s="59">
        <v>7962</v>
      </c>
      <c r="J76" s="60">
        <v>3</v>
      </c>
      <c r="K76" s="56" t="s">
        <v>189</v>
      </c>
      <c r="L76" s="56" t="s">
        <v>229</v>
      </c>
      <c r="M76" s="56" t="s">
        <v>229</v>
      </c>
      <c r="N76" s="56" t="s">
        <v>229</v>
      </c>
      <c r="R76" s="2" t="s">
        <v>255</v>
      </c>
    </row>
    <row r="77" spans="1:30" ht="15.75" customHeight="1">
      <c r="A77" s="41" t="s">
        <v>218</v>
      </c>
      <c r="B77" s="38" t="s">
        <v>256</v>
      </c>
      <c r="C77" s="38" t="s">
        <v>257</v>
      </c>
      <c r="D77" s="42">
        <v>40020782</v>
      </c>
      <c r="E77" s="38" t="s">
        <v>258</v>
      </c>
      <c r="F77" s="44" t="s">
        <v>259</v>
      </c>
      <c r="G77" s="38" t="s">
        <v>229</v>
      </c>
      <c r="H77" s="38" t="s">
        <v>229</v>
      </c>
      <c r="I77" s="61">
        <v>3229</v>
      </c>
      <c r="J77" s="44">
        <v>2</v>
      </c>
      <c r="K77" s="38" t="s">
        <v>189</v>
      </c>
      <c r="L77" s="38" t="s">
        <v>229</v>
      </c>
      <c r="M77" s="38" t="s">
        <v>229</v>
      </c>
      <c r="N77" s="38" t="s">
        <v>229</v>
      </c>
      <c r="R77" s="2" t="s">
        <v>260</v>
      </c>
      <c r="W77" s="2" t="s">
        <v>261</v>
      </c>
      <c r="Y77" s="2" t="s">
        <v>51</v>
      </c>
      <c r="Z77" s="2" t="s">
        <v>154</v>
      </c>
      <c r="AA77" s="2" t="s">
        <v>203</v>
      </c>
      <c r="AB77" s="2" t="s">
        <v>133</v>
      </c>
    </row>
    <row r="78" spans="1:30" ht="15.75" customHeight="1">
      <c r="A78" s="41" t="s">
        <v>262</v>
      </c>
      <c r="B78" s="38" t="s">
        <v>263</v>
      </c>
      <c r="C78" s="38" t="s">
        <v>264</v>
      </c>
      <c r="D78" s="42">
        <v>4555664</v>
      </c>
      <c r="E78" s="43" t="s">
        <v>265</v>
      </c>
      <c r="F78" s="44" t="s">
        <v>259</v>
      </c>
      <c r="G78" s="38" t="s">
        <v>229</v>
      </c>
      <c r="H78" s="38" t="s">
        <v>229</v>
      </c>
      <c r="I78" s="61">
        <v>243</v>
      </c>
      <c r="J78" s="44">
        <v>2</v>
      </c>
      <c r="K78" s="38" t="s">
        <v>189</v>
      </c>
      <c r="L78" s="38" t="s">
        <v>229</v>
      </c>
      <c r="M78" s="38" t="s">
        <v>229</v>
      </c>
      <c r="N78" s="38" t="s">
        <v>229</v>
      </c>
      <c r="R78" s="2" t="s">
        <v>266</v>
      </c>
      <c r="W78" s="2" t="s">
        <v>261</v>
      </c>
      <c r="Y78" s="2" t="s">
        <v>51</v>
      </c>
      <c r="Z78" s="2" t="s">
        <v>154</v>
      </c>
      <c r="AA78" s="2" t="s">
        <v>203</v>
      </c>
      <c r="AB78" s="2" t="s">
        <v>133</v>
      </c>
    </row>
    <row r="79" spans="1:30" ht="15.75" customHeight="1">
      <c r="A79" s="45" t="s">
        <v>267</v>
      </c>
      <c r="B79" s="46" t="s">
        <v>268</v>
      </c>
      <c r="C79" s="46" t="s">
        <v>269</v>
      </c>
      <c r="D79" s="46" t="s">
        <v>270</v>
      </c>
      <c r="E79" s="46" t="s">
        <v>229</v>
      </c>
      <c r="F79" s="46" t="s">
        <v>229</v>
      </c>
      <c r="G79" s="46" t="s">
        <v>229</v>
      </c>
      <c r="H79" s="46" t="s">
        <v>229</v>
      </c>
      <c r="I79" s="46" t="s">
        <v>229</v>
      </c>
      <c r="J79" s="46" t="s">
        <v>229</v>
      </c>
      <c r="K79" s="46" t="s">
        <v>229</v>
      </c>
      <c r="L79" s="46" t="s">
        <v>229</v>
      </c>
      <c r="M79" s="46" t="s">
        <v>229</v>
      </c>
      <c r="N79" s="46" t="s">
        <v>229</v>
      </c>
    </row>
    <row r="80" spans="1:30" ht="15.75" customHeight="1">
      <c r="A80" s="25" t="s">
        <v>271</v>
      </c>
      <c r="B80" s="26" t="s">
        <v>272</v>
      </c>
      <c r="C80" s="26" t="s">
        <v>273</v>
      </c>
      <c r="D80" s="27">
        <v>245406</v>
      </c>
      <c r="E80" s="26" t="s">
        <v>274</v>
      </c>
      <c r="F80" s="27">
        <v>19410</v>
      </c>
      <c r="G80" s="28">
        <v>1</v>
      </c>
      <c r="H80" s="26" t="s">
        <v>275</v>
      </c>
      <c r="I80" s="26" t="s">
        <v>229</v>
      </c>
      <c r="J80" s="26" t="s">
        <v>229</v>
      </c>
      <c r="K80" s="26" t="s">
        <v>229</v>
      </c>
      <c r="L80" s="26" t="s">
        <v>229</v>
      </c>
      <c r="M80" s="26" t="s">
        <v>229</v>
      </c>
      <c r="N80" s="26" t="s">
        <v>229</v>
      </c>
      <c r="R80" s="2" t="s">
        <v>276</v>
      </c>
    </row>
    <row r="81" spans="1:28" ht="15.75" customHeight="1">
      <c r="R81" s="2" t="s">
        <v>260</v>
      </c>
      <c r="W81" s="2" t="s">
        <v>261</v>
      </c>
      <c r="Y81" s="2" t="s">
        <v>51</v>
      </c>
      <c r="Z81" s="2" t="s">
        <v>154</v>
      </c>
      <c r="AA81" s="2" t="s">
        <v>203</v>
      </c>
      <c r="AB81" s="2" t="s">
        <v>133</v>
      </c>
    </row>
    <row r="82" spans="1:28" ht="15.75" customHeight="1">
      <c r="R82" s="2" t="s">
        <v>277</v>
      </c>
      <c r="W82" s="2" t="s">
        <v>261</v>
      </c>
      <c r="Y82" s="2" t="s">
        <v>51</v>
      </c>
      <c r="Z82" s="2" t="s">
        <v>154</v>
      </c>
      <c r="AA82" s="2" t="s">
        <v>203</v>
      </c>
      <c r="AB82" s="2" t="s">
        <v>133</v>
      </c>
    </row>
    <row r="83" spans="1:28" ht="15.75" customHeight="1">
      <c r="A83" s="2" t="s">
        <v>278</v>
      </c>
      <c r="R83" s="2" t="s">
        <v>279</v>
      </c>
      <c r="W83" s="2" t="s">
        <v>261</v>
      </c>
      <c r="Y83" s="2" t="s">
        <v>51</v>
      </c>
      <c r="Z83" s="2" t="s">
        <v>154</v>
      </c>
      <c r="AA83" s="2" t="s">
        <v>203</v>
      </c>
      <c r="AB83" s="2" t="s">
        <v>133</v>
      </c>
    </row>
    <row r="84" spans="1:28" ht="15.75" customHeight="1">
      <c r="A84" s="2" t="s">
        <v>23</v>
      </c>
      <c r="B84" s="62" t="s">
        <v>280</v>
      </c>
    </row>
    <row r="85" spans="1:28" ht="15.75" customHeight="1">
      <c r="R85" s="2" t="s">
        <v>161</v>
      </c>
      <c r="X85" s="2" t="s">
        <v>281</v>
      </c>
      <c r="Y85" s="2" t="s">
        <v>170</v>
      </c>
      <c r="Z85" s="2" t="s">
        <v>154</v>
      </c>
      <c r="AA85" s="2" t="s">
        <v>203</v>
      </c>
      <c r="AB85" s="2" t="s">
        <v>133</v>
      </c>
    </row>
    <row r="86" spans="1:28" ht="15.75" customHeight="1"/>
    <row r="87" spans="1:28" ht="15.75" customHeight="1"/>
    <row r="88" spans="1:28" ht="15.75" customHeight="1"/>
    <row r="89" spans="1:28" ht="15.75" customHeight="1"/>
    <row r="90" spans="1:28" ht="15.75" customHeight="1"/>
    <row r="91" spans="1:28" ht="15.75" customHeight="1"/>
    <row r="92" spans="1:28" ht="15.75" customHeight="1"/>
    <row r="93" spans="1:28" ht="15.75" customHeight="1"/>
    <row r="94" spans="1:28" ht="15.75" customHeight="1"/>
    <row r="95" spans="1:28" ht="15.75" customHeight="1"/>
    <row r="96" spans="1:28"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C57:N57"/>
    <mergeCell ref="R3:Y3"/>
    <mergeCell ref="K3:O3"/>
    <mergeCell ref="C3:J3"/>
    <mergeCell ref="A53:G53"/>
    <mergeCell ref="A54:B54"/>
    <mergeCell ref="C54:N54"/>
    <mergeCell ref="A58:N58"/>
    <mergeCell ref="A55:B55"/>
    <mergeCell ref="C55:N55"/>
    <mergeCell ref="A59:A61"/>
    <mergeCell ref="B59:B61"/>
    <mergeCell ref="C59:E59"/>
    <mergeCell ref="F59:N59"/>
    <mergeCell ref="C60:C61"/>
    <mergeCell ref="D60:D61"/>
    <mergeCell ref="E60:E61"/>
    <mergeCell ref="F60:H60"/>
    <mergeCell ref="I60:K60"/>
    <mergeCell ref="L60:N60"/>
    <mergeCell ref="A56:B56"/>
    <mergeCell ref="C56:N56"/>
    <mergeCell ref="A57:B57"/>
  </mergeCells>
  <hyperlinks>
    <hyperlink ref="K4" r:id="rId1" xr:uid="{89E2A8E1-6C1D-4D8B-9998-A37A51277189}"/>
    <hyperlink ref="B84" r:id="rId2" xr:uid="{E0F364A6-BDC3-45AF-A011-67728A7C5BB1}"/>
  </hyperlinks>
  <pageMargins left="0.7" right="0.7" top="0.75" bottom="0.75" header="0" footer="0"/>
  <pageSetup orientation="landscape" r:id="rId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77AF5-BAA7-446E-B93E-ED11F1376E59}">
  <dimension ref="B1:G41"/>
  <sheetViews>
    <sheetView showZeros="0" topLeftCell="B1" workbookViewId="0">
      <selection activeCell="D15" sqref="D15"/>
    </sheetView>
  </sheetViews>
  <sheetFormatPr defaultRowHeight="15"/>
  <cols>
    <col min="2" max="2" width="26.90625" bestFit="1" customWidth="1"/>
    <col min="3" max="3" width="27.81640625" bestFit="1" customWidth="1"/>
    <col min="4" max="4" width="13.81640625" bestFit="1" customWidth="1"/>
  </cols>
  <sheetData>
    <row r="1" spans="2:7" ht="15.6" thickBot="1"/>
    <row r="2" spans="2:7" ht="15.6">
      <c r="B2" s="208" t="s">
        <v>282</v>
      </c>
      <c r="C2" s="209"/>
      <c r="D2" s="113" t="s">
        <v>283</v>
      </c>
    </row>
    <row r="3" spans="2:7" ht="16.2" thickBot="1">
      <c r="B3" s="210" t="s">
        <v>284</v>
      </c>
      <c r="C3" s="211"/>
      <c r="D3" s="154" t="s">
        <v>76</v>
      </c>
    </row>
    <row r="4" spans="2:7" ht="16.2" thickBot="1">
      <c r="B4" s="155" t="str">
        <f>'GasBalance for word'!A4</f>
        <v>Final Supply</v>
      </c>
      <c r="C4" s="158"/>
      <c r="D4" s="157">
        <f>'GasBalance for word'!G4</f>
        <v>104.75002240000003</v>
      </c>
      <c r="G4" s="167"/>
    </row>
    <row r="5" spans="2:7" ht="16.2" thickTop="1">
      <c r="B5" s="171" t="str">
        <f>'GasBalance for word'!A5</f>
        <v>Indigenous Production</v>
      </c>
      <c r="C5" s="112"/>
      <c r="D5" s="172">
        <f>'GasBalance for word'!G5</f>
        <v>50.152312499999994</v>
      </c>
      <c r="F5" s="167"/>
    </row>
    <row r="6" spans="2:7">
      <c r="B6" s="124">
        <f>'GasBalance for word'!A6</f>
        <v>0</v>
      </c>
      <c r="C6" s="66" t="s">
        <v>26</v>
      </c>
      <c r="D6" s="122">
        <f>'GasBalance for word'!G6</f>
        <v>25.570812499999999</v>
      </c>
    </row>
    <row r="7" spans="2:7">
      <c r="B7" s="124">
        <f>'GasBalance for word'!A7</f>
        <v>0</v>
      </c>
      <c r="C7" s="66" t="s">
        <v>29</v>
      </c>
      <c r="D7" s="122">
        <f>'GasBalance for word'!G7</f>
        <v>24.581499999999998</v>
      </c>
    </row>
    <row r="8" spans="2:7">
      <c r="B8" s="170" t="str">
        <f>'GasBalance for word'!A8</f>
        <v>Import</v>
      </c>
      <c r="C8" s="66"/>
      <c r="D8" s="169">
        <f>'GasBalance for word'!G8</f>
        <v>151.28700000000001</v>
      </c>
    </row>
    <row r="9" spans="2:7" ht="15.6">
      <c r="B9" s="159" t="str">
        <f>'GasBalance for word'!A9</f>
        <v>Domestic Supply (TPES)</v>
      </c>
      <c r="C9" s="160"/>
      <c r="D9" s="161">
        <f>'GasBalance for word'!G9</f>
        <v>201.4393125</v>
      </c>
      <c r="E9" s="167">
        <f>D9+D10</f>
        <v>104.75002240000003</v>
      </c>
      <c r="F9" s="168"/>
    </row>
    <row r="10" spans="2:7" ht="15.6">
      <c r="B10" s="159" t="str">
        <f>'GasBalance for word'!A10</f>
        <v>Transformation Sector</v>
      </c>
      <c r="C10" s="160"/>
      <c r="D10" s="161">
        <f>'GasBalance for word'!G10</f>
        <v>-96.689290099999965</v>
      </c>
      <c r="F10" s="167"/>
    </row>
    <row r="11" spans="2:7">
      <c r="B11" s="170" t="str">
        <f>'GasBalance for word'!A11</f>
        <v>Oil Refineries (Natref?)</v>
      </c>
      <c r="C11" s="66"/>
      <c r="D11" s="169">
        <f>'GasBalance for word'!G11</f>
        <v>-28.640346999999998</v>
      </c>
    </row>
    <row r="12" spans="2:7">
      <c r="B12" s="170" t="str">
        <f>'GasBalance for word'!A12</f>
        <v>Liquefaction</v>
      </c>
      <c r="C12" s="66"/>
      <c r="D12" s="169">
        <f>'GasBalance for word'!G12</f>
        <v>-68.048943099999974</v>
      </c>
    </row>
    <row r="13" spans="2:7">
      <c r="B13" s="124">
        <f>'GasBalance for word'!A13</f>
        <v>0</v>
      </c>
      <c r="C13" s="66" t="s">
        <v>44</v>
      </c>
      <c r="D13" s="122">
        <f>'GasBalance for word'!G13</f>
        <v>-25.570812499999999</v>
      </c>
      <c r="E13" s="167"/>
    </row>
    <row r="14" spans="2:7">
      <c r="B14" s="124">
        <f>'GasBalance for word'!A14</f>
        <v>0</v>
      </c>
      <c r="C14" s="66" t="s">
        <v>45</v>
      </c>
      <c r="D14" s="122">
        <f>'GasBalance for word'!G14</f>
        <v>-23.300217690909065</v>
      </c>
    </row>
    <row r="15" spans="2:7">
      <c r="B15" s="170" t="str">
        <f>'GasBalance for word'!B23</f>
        <v>Ammonia Production</v>
      </c>
      <c r="C15" s="66"/>
      <c r="D15" s="169">
        <f>'GasBalance for word'!G15</f>
        <v>-19.17791290909091</v>
      </c>
    </row>
    <row r="16" spans="2:7" ht="15.6">
      <c r="B16" s="174" t="e">
        <f>'GasBalance for word'!#REF!</f>
        <v>#REF!</v>
      </c>
      <c r="C16" s="69"/>
      <c r="D16" s="173" t="e">
        <f>'GasBalance for word'!#REF!</f>
        <v>#REF!</v>
      </c>
      <c r="F16" s="167"/>
    </row>
    <row r="17" spans="2:4">
      <c r="B17" s="124" t="e">
        <f>'GasBalance for word'!#REF!</f>
        <v>#REF!</v>
      </c>
      <c r="C17" s="66" t="s">
        <v>55</v>
      </c>
      <c r="D17" s="122" t="e">
        <f>'GasBalance for word'!#REF!</f>
        <v>#REF!</v>
      </c>
    </row>
    <row r="18" spans="2:4" ht="15.6" thickBot="1">
      <c r="B18" s="125" t="e">
        <f>'GasBalance for word'!#REF!</f>
        <v>#REF!</v>
      </c>
      <c r="C18" s="118" t="s">
        <v>58</v>
      </c>
      <c r="D18" s="123" t="e">
        <f>'GasBalance for word'!#REF!</f>
        <v>#REF!</v>
      </c>
    </row>
    <row r="19" spans="2:4" ht="16.2" thickBot="1">
      <c r="B19" s="155" t="str">
        <f>'GasBalance for word'!A16</f>
        <v>Final Consumption</v>
      </c>
      <c r="C19" s="156"/>
      <c r="D19" s="157">
        <f>'GasBalance for word'!G16</f>
        <v>104.75002240000001</v>
      </c>
    </row>
    <row r="20" spans="2:4" ht="16.2" thickTop="1">
      <c r="B20" s="162" t="str">
        <f>'GasBalance for word'!A17</f>
        <v>Industry Sector</v>
      </c>
      <c r="C20" s="163"/>
      <c r="D20" s="164">
        <f>'GasBalance for word'!G17</f>
        <v>103.29722474680176</v>
      </c>
    </row>
    <row r="21" spans="2:4" ht="15.6">
      <c r="B21" s="165" t="s">
        <v>62</v>
      </c>
      <c r="C21" s="163"/>
      <c r="D21" s="164">
        <f>'GasBalance for word'!G18</f>
        <v>50.384461672880562</v>
      </c>
    </row>
    <row r="22" spans="2:4">
      <c r="B22" s="115">
        <f>'GasBalance for word'!A19</f>
        <v>0</v>
      </c>
      <c r="C22" s="66" t="s">
        <v>64</v>
      </c>
      <c r="D22" s="122">
        <f>'GasBalance for word'!G19</f>
        <v>0.91098800000000002</v>
      </c>
    </row>
    <row r="23" spans="2:4">
      <c r="B23" s="115">
        <f>'GasBalance for word'!A20</f>
        <v>0</v>
      </c>
      <c r="C23" s="66" t="s">
        <v>66</v>
      </c>
      <c r="D23" s="122">
        <f>'GasBalance for word'!G20</f>
        <v>26.659407954999999</v>
      </c>
    </row>
    <row r="24" spans="2:4">
      <c r="B24" s="115">
        <f>'GasBalance for word'!A21</f>
        <v>0</v>
      </c>
      <c r="C24" s="66" t="s">
        <v>68</v>
      </c>
      <c r="D24" s="122">
        <f>'GasBalance for word'!G21</f>
        <v>2.7792196364402777</v>
      </c>
    </row>
    <row r="25" spans="2:4">
      <c r="B25" s="115">
        <f>'GasBalance for word'!A22</f>
        <v>0</v>
      </c>
      <c r="C25" s="66" t="s">
        <v>71</v>
      </c>
      <c r="D25" s="122">
        <f>'GasBalance for word'!G22</f>
        <v>2.7792196364402777</v>
      </c>
    </row>
    <row r="26" spans="2:4">
      <c r="B26" s="115" t="str">
        <f>'GasBalance for word'!A25</f>
        <v>Iron and Steel</v>
      </c>
      <c r="C26" s="66"/>
      <c r="D26" s="122">
        <f>'GasBalance for word'!G25</f>
        <v>15.927381835937499</v>
      </c>
    </row>
    <row r="27" spans="2:4">
      <c r="B27" s="115" t="str">
        <f>'GasBalance for word'!A26</f>
        <v>Non-Ferrous Metals</v>
      </c>
      <c r="C27" s="66"/>
      <c r="D27" s="122">
        <f>'GasBalance for word'!G26</f>
        <v>2.2541069641113283</v>
      </c>
    </row>
    <row r="28" spans="2:4">
      <c r="B28" s="115" t="str">
        <f>'GasBalance for word'!A27</f>
        <v>Non-Metallic Minerals</v>
      </c>
      <c r="C28" s="66"/>
      <c r="D28" s="122">
        <f>'GasBalance for word'!G27</f>
        <v>15.49837338256836</v>
      </c>
    </row>
    <row r="29" spans="2:4">
      <c r="B29" s="115" t="str">
        <f>'GasBalance for word'!A28</f>
        <v>Transport Equipment</v>
      </c>
      <c r="C29" s="66"/>
      <c r="D29" s="122">
        <f>'GasBalance for word'!G28</f>
        <v>0.66913997936248781</v>
      </c>
    </row>
    <row r="30" spans="2:4">
      <c r="B30" s="115" t="str">
        <f>'GasBalance for word'!A29</f>
        <v>Machinery</v>
      </c>
      <c r="C30" s="66"/>
      <c r="D30" s="122">
        <f>'GasBalance for word'!G29</f>
        <v>1.4128140563964844</v>
      </c>
    </row>
    <row r="31" spans="2:4">
      <c r="B31" s="115" t="str">
        <f>'GasBalance for word'!A30</f>
        <v>Mining and Quarrying</v>
      </c>
      <c r="C31" s="66"/>
      <c r="D31" s="122">
        <f>'GasBalance for word'!G30</f>
        <v>1.0014639892578125</v>
      </c>
    </row>
    <row r="32" spans="2:4">
      <c r="B32" s="115" t="str">
        <f>'GasBalance for word'!A31</f>
        <v>Food and Tobacco</v>
      </c>
      <c r="C32" s="66"/>
      <c r="D32" s="122">
        <f>'GasBalance for word'!G31</f>
        <v>7.3658288574218753</v>
      </c>
    </row>
    <row r="33" spans="2:4">
      <c r="B33" s="115" t="str">
        <f>'GasBalance for word'!A32</f>
        <v>Paper Pulp and Print</v>
      </c>
      <c r="C33" s="66"/>
      <c r="D33" s="122">
        <f>'GasBalance for word'!G32</f>
        <v>4.1653308105468749</v>
      </c>
    </row>
    <row r="34" spans="2:4">
      <c r="B34" s="115" t="str">
        <f>'GasBalance for word'!A33</f>
        <v>Wood and Wood Products</v>
      </c>
      <c r="C34" s="66"/>
      <c r="D34" s="122">
        <f>'GasBalance for word'!G33</f>
        <v>0</v>
      </c>
    </row>
    <row r="35" spans="2:4">
      <c r="B35" s="115" t="str">
        <f>'GasBalance for word'!A34</f>
        <v>Construction</v>
      </c>
      <c r="C35" s="66"/>
      <c r="D35" s="122">
        <f>'GasBalance for word'!G34</f>
        <v>0</v>
      </c>
    </row>
    <row r="36" spans="2:4">
      <c r="B36" s="115" t="str">
        <f>'GasBalance for word'!A35</f>
        <v>Textile and Leather</v>
      </c>
      <c r="C36" s="66"/>
      <c r="D36" s="122">
        <f>'GasBalance for word'!G35</f>
        <v>1.4420000076293946E-2</v>
      </c>
    </row>
    <row r="37" spans="2:4">
      <c r="B37" s="115" t="str">
        <f>'GasBalance for word'!A36</f>
        <v>Non-specified (Industry)</v>
      </c>
      <c r="C37" s="66"/>
      <c r="D37" s="122">
        <f>'GasBalance for word'!G36</f>
        <v>4.6039031982421879</v>
      </c>
    </row>
    <row r="38" spans="2:4" ht="15.6">
      <c r="B38" s="166" t="str">
        <f>'GasBalance for word'!A37</f>
        <v>Other Sectors</v>
      </c>
      <c r="C38" s="160"/>
      <c r="D38" s="161">
        <f>'GasBalance for word'!G37</f>
        <v>1.4527976531982421</v>
      </c>
    </row>
    <row r="39" spans="2:4">
      <c r="B39" s="115" t="str">
        <f>'GasBalance for word'!A38</f>
        <v>Agriculture</v>
      </c>
      <c r="C39" s="66"/>
      <c r="D39" s="122">
        <f>'GasBalance for word'!G38</f>
        <v>0</v>
      </c>
    </row>
    <row r="40" spans="2:4">
      <c r="B40" s="115" t="str">
        <f>'GasBalance for word'!A39</f>
        <v>Commerce and Public Services</v>
      </c>
      <c r="C40" s="66"/>
      <c r="D40" s="122">
        <f>'GasBalance for word'!G39</f>
        <v>1.2323005371093749</v>
      </c>
    </row>
    <row r="41" spans="2:4" ht="15.6" thickBot="1">
      <c r="B41" s="117" t="str">
        <f>'GasBalance for word'!A40</f>
        <v>Residential</v>
      </c>
      <c r="C41" s="118"/>
      <c r="D41" s="123">
        <f>'GasBalance for word'!G40</f>
        <v>0.22049711608886718</v>
      </c>
    </row>
  </sheetData>
  <mergeCells count="2">
    <mergeCell ref="B2:C2"/>
    <mergeCell ref="B3:C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340F1-528B-40B3-8531-F33E0C1219C8}">
  <dimension ref="A1:G40"/>
  <sheetViews>
    <sheetView showZeros="0" zoomScale="70" zoomScaleNormal="70" workbookViewId="0">
      <selection activeCell="A2" sqref="A2:B2"/>
    </sheetView>
  </sheetViews>
  <sheetFormatPr defaultRowHeight="15"/>
  <cols>
    <col min="1" max="1" width="37" bestFit="1" customWidth="1"/>
    <col min="2" max="2" width="27.81640625" bestFit="1" customWidth="1"/>
    <col min="3" max="4" width="12.90625" bestFit="1" customWidth="1"/>
    <col min="5" max="5" width="4.6328125" bestFit="1" customWidth="1"/>
    <col min="6" max="6" width="7.6328125" bestFit="1" customWidth="1"/>
    <col min="7" max="7" width="14" bestFit="1" customWidth="1"/>
    <col min="8" max="8" width="40.81640625" bestFit="1" customWidth="1"/>
  </cols>
  <sheetData>
    <row r="1" spans="1:7" ht="16.2" thickBot="1">
      <c r="A1" s="216"/>
      <c r="B1" s="216"/>
      <c r="C1" s="216"/>
      <c r="D1" s="216"/>
      <c r="E1" s="216"/>
      <c r="F1" s="216"/>
      <c r="G1" s="216"/>
    </row>
    <row r="2" spans="1:7" ht="16.2" thickBot="1">
      <c r="A2" s="217" t="s">
        <v>282</v>
      </c>
      <c r="B2" s="218"/>
      <c r="C2" s="153" t="s">
        <v>15</v>
      </c>
      <c r="D2" s="153" t="s">
        <v>16</v>
      </c>
      <c r="E2" s="153" t="s">
        <v>17</v>
      </c>
      <c r="F2" s="153" t="s">
        <v>18</v>
      </c>
      <c r="G2" s="153" t="s">
        <v>283</v>
      </c>
    </row>
    <row r="3" spans="1:7" ht="16.2" thickBot="1">
      <c r="A3" s="214" t="s">
        <v>284</v>
      </c>
      <c r="B3" s="215"/>
      <c r="C3" s="212" t="s">
        <v>76</v>
      </c>
      <c r="D3" s="212"/>
      <c r="E3" s="212"/>
      <c r="F3" s="212"/>
      <c r="G3" s="213"/>
    </row>
    <row r="4" spans="1:7" ht="16.2" thickBot="1">
      <c r="A4" s="120" t="s">
        <v>285</v>
      </c>
      <c r="B4" s="126"/>
      <c r="C4" s="132"/>
      <c r="D4" s="132"/>
      <c r="E4" s="132"/>
      <c r="F4" s="180">
        <f>F9+F10</f>
        <v>61.376703124999992</v>
      </c>
      <c r="G4" s="146">
        <f>G9+G10</f>
        <v>104.75002240000003</v>
      </c>
    </row>
    <row r="5" spans="1:7" ht="15.6" thickTop="1">
      <c r="A5" s="121" t="s">
        <v>24</v>
      </c>
      <c r="B5" s="127"/>
      <c r="C5" s="133"/>
      <c r="D5" s="133"/>
      <c r="E5" s="133"/>
      <c r="F5" s="181">
        <f>F6+F7</f>
        <v>25.570812499999999</v>
      </c>
      <c r="G5" s="147">
        <f>G6+G7</f>
        <v>50.152312499999994</v>
      </c>
    </row>
    <row r="6" spans="1:7" s="63" customFormat="1" ht="15.6">
      <c r="A6" s="115"/>
      <c r="B6" s="79" t="s">
        <v>26</v>
      </c>
      <c r="C6" s="134"/>
      <c r="D6" s="134"/>
      <c r="E6" s="134"/>
      <c r="F6" s="179">
        <f>GasBalance!C5/1000</f>
        <v>25.570812499999999</v>
      </c>
      <c r="G6" s="148">
        <f>F6</f>
        <v>25.570812499999999</v>
      </c>
    </row>
    <row r="7" spans="1:7">
      <c r="A7" s="115"/>
      <c r="B7" s="79" t="s">
        <v>29</v>
      </c>
      <c r="C7" s="134">
        <v>27.411000000000001</v>
      </c>
      <c r="D7" s="134">
        <v>21.280999999999999</v>
      </c>
      <c r="E7" s="134"/>
      <c r="F7" s="179">
        <v>0</v>
      </c>
      <c r="G7" s="148">
        <f>GasBalance!N33</f>
        <v>24.581499999999998</v>
      </c>
    </row>
    <row r="8" spans="1:7">
      <c r="A8" s="115" t="s">
        <v>25</v>
      </c>
      <c r="B8" s="79"/>
      <c r="C8" s="134">
        <v>153.55799999999999</v>
      </c>
      <c r="D8" s="134">
        <v>155.483</v>
      </c>
      <c r="E8" s="134"/>
      <c r="F8" s="179">
        <f>GasBalance!C6/1000</f>
        <v>124.1244375</v>
      </c>
      <c r="G8" s="148">
        <f>GasBalance!N32</f>
        <v>151.28700000000001</v>
      </c>
    </row>
    <row r="9" spans="1:7" ht="15.6">
      <c r="A9" s="114" t="s">
        <v>32</v>
      </c>
      <c r="B9" s="128"/>
      <c r="C9" s="135">
        <f>C7+C8</f>
        <v>180.96899999999999</v>
      </c>
      <c r="D9" s="135">
        <f>D7+D8</f>
        <v>176.76400000000001</v>
      </c>
      <c r="E9" s="135">
        <f>-E12+E16</f>
        <v>180</v>
      </c>
      <c r="F9" s="182">
        <f>F8+F5</f>
        <v>149.69524999999999</v>
      </c>
      <c r="G9" s="149">
        <f>G8+G5</f>
        <v>201.4393125</v>
      </c>
    </row>
    <row r="10" spans="1:7" ht="15.6">
      <c r="A10" s="114" t="s">
        <v>33</v>
      </c>
      <c r="B10" s="128"/>
      <c r="C10" s="135"/>
      <c r="D10" s="135"/>
      <c r="E10" s="135"/>
      <c r="F10" s="182">
        <f>F11+F12</f>
        <v>-88.318546874999996</v>
      </c>
      <c r="G10" s="149">
        <f>G11+G12</f>
        <v>-96.689290099999965</v>
      </c>
    </row>
    <row r="11" spans="1:7" s="63" customFormat="1" ht="15.6">
      <c r="A11" s="115" t="s">
        <v>37</v>
      </c>
      <c r="B11" s="79"/>
      <c r="C11" s="134"/>
      <c r="D11" s="134"/>
      <c r="E11" s="134"/>
      <c r="F11" s="179"/>
      <c r="G11" s="148">
        <f>-GasBalance!N43</f>
        <v>-28.640346999999998</v>
      </c>
    </row>
    <row r="12" spans="1:7">
      <c r="A12" s="115" t="s">
        <v>42</v>
      </c>
      <c r="B12" s="79"/>
      <c r="C12" s="134"/>
      <c r="D12" s="134"/>
      <c r="E12" s="134">
        <v>-110</v>
      </c>
      <c r="F12" s="179">
        <f>GasBalance!C15/1000</f>
        <v>-88.318546874999996</v>
      </c>
      <c r="G12" s="148">
        <f>SUM(G13:G15)</f>
        <v>-68.048943099999974</v>
      </c>
    </row>
    <row r="13" spans="1:7">
      <c r="A13" s="115"/>
      <c r="B13" s="79" t="s">
        <v>44</v>
      </c>
      <c r="C13" s="134"/>
      <c r="D13" s="134"/>
      <c r="E13" s="134"/>
      <c r="F13" s="179"/>
      <c r="G13" s="148">
        <f>-G6</f>
        <v>-25.570812499999999</v>
      </c>
    </row>
    <row r="14" spans="1:7">
      <c r="A14" s="115"/>
      <c r="B14" s="79" t="s">
        <v>286</v>
      </c>
      <c r="C14" s="134"/>
      <c r="D14" s="134"/>
      <c r="E14" s="134"/>
      <c r="F14" s="179"/>
      <c r="G14" s="148">
        <f>-GasBalance!N47</f>
        <v>-23.300217690909065</v>
      </c>
    </row>
    <row r="15" spans="1:7" ht="15.6" thickBot="1">
      <c r="B15" s="79" t="s">
        <v>287</v>
      </c>
      <c r="C15" s="134"/>
      <c r="D15" s="134"/>
      <c r="E15" s="134"/>
      <c r="F15" s="179"/>
      <c r="G15" s="148">
        <f>-GasBalance!U59</f>
        <v>-19.17791290909091</v>
      </c>
    </row>
    <row r="16" spans="1:7" ht="16.2" thickBot="1">
      <c r="A16" s="119" t="s">
        <v>54</v>
      </c>
      <c r="B16" s="130"/>
      <c r="C16" s="137"/>
      <c r="D16" s="137"/>
      <c r="E16" s="137">
        <f>SUM(E21:E40)</f>
        <v>70</v>
      </c>
      <c r="F16" s="184">
        <f>F17+F37</f>
        <v>109.6079772310257</v>
      </c>
      <c r="G16" s="151">
        <f>G17+G37</f>
        <v>104.75002240000001</v>
      </c>
    </row>
    <row r="17" spans="1:7" s="63" customFormat="1" ht="16.2" thickTop="1">
      <c r="A17" s="116" t="s">
        <v>57</v>
      </c>
      <c r="B17" s="131"/>
      <c r="C17" s="138"/>
      <c r="D17" s="138"/>
      <c r="E17" s="138"/>
      <c r="F17" s="185">
        <f>F18+SUM(F25:F36)</f>
        <v>108.15517957782745</v>
      </c>
      <c r="G17" s="152">
        <f>G18+SUM(G25:G36)</f>
        <v>103.29722474680176</v>
      </c>
    </row>
    <row r="18" spans="1:7" ht="15.6">
      <c r="A18" s="114" t="s">
        <v>62</v>
      </c>
      <c r="B18" s="128"/>
      <c r="C18" s="135"/>
      <c r="D18" s="135"/>
      <c r="E18" s="135"/>
      <c r="F18" s="182">
        <f>(GasBalance!C21+GasBalance!D21)/1000</f>
        <v>55.242416503906249</v>
      </c>
      <c r="G18" s="149">
        <f>SUM(G19:G24)</f>
        <v>50.384461672880562</v>
      </c>
    </row>
    <row r="19" spans="1:7" s="63" customFormat="1" ht="15.6">
      <c r="A19" s="115"/>
      <c r="B19" s="79" t="s">
        <v>64</v>
      </c>
      <c r="C19" s="134"/>
      <c r="D19" s="134"/>
      <c r="E19" s="134"/>
      <c r="F19" s="179"/>
      <c r="G19" s="148">
        <f>GasBalance!D68/1000000</f>
        <v>0.91098800000000002</v>
      </c>
    </row>
    <row r="20" spans="1:7" s="63" customFormat="1" ht="15.6">
      <c r="A20" s="115"/>
      <c r="B20" s="79" t="s">
        <v>66</v>
      </c>
      <c r="C20" s="134"/>
      <c r="D20" s="134"/>
      <c r="E20" s="134"/>
      <c r="F20" s="179"/>
      <c r="G20" s="148">
        <f>GasBalance!N38+GasBalance!X16</f>
        <v>26.659407954999999</v>
      </c>
    </row>
    <row r="21" spans="1:7">
      <c r="A21" s="115"/>
      <c r="B21" s="79" t="s">
        <v>68</v>
      </c>
      <c r="C21" s="134"/>
      <c r="D21" s="134"/>
      <c r="E21" s="134">
        <v>3</v>
      </c>
      <c r="F21" s="179"/>
      <c r="G21" s="148">
        <f>(GasBalance!N40-G25-SUM(G26:G37))/2</f>
        <v>2.7792196364402777</v>
      </c>
    </row>
    <row r="22" spans="1:7">
      <c r="A22" s="115"/>
      <c r="B22" s="79" t="s">
        <v>71</v>
      </c>
      <c r="C22" s="134"/>
      <c r="D22" s="134"/>
      <c r="E22" s="134"/>
      <c r="F22" s="179"/>
      <c r="G22" s="148">
        <f>G21</f>
        <v>2.7792196364402777</v>
      </c>
    </row>
    <row r="23" spans="1:7">
      <c r="A23" s="115"/>
      <c r="B23" s="115" t="s">
        <v>48</v>
      </c>
      <c r="C23" s="134"/>
      <c r="D23" s="134"/>
      <c r="E23" s="134"/>
      <c r="F23" s="179"/>
      <c r="G23" s="148">
        <f>33*1.055*GasBalance!D76/1000000</f>
        <v>10.898592044999999</v>
      </c>
    </row>
    <row r="24" spans="1:7">
      <c r="A24" s="115"/>
      <c r="B24" s="79" t="s">
        <v>288</v>
      </c>
      <c r="C24" s="134"/>
      <c r="D24" s="134"/>
      <c r="E24" s="134"/>
      <c r="F24" s="179"/>
      <c r="G24" s="148">
        <f>GasBalance!U60</f>
        <v>6.3570344000000008</v>
      </c>
    </row>
    <row r="25" spans="1:7">
      <c r="A25" s="115" t="str">
        <f>GasBalance!A20</f>
        <v>Iron and Steel</v>
      </c>
      <c r="B25" s="79"/>
      <c r="C25" s="134"/>
      <c r="D25" s="134"/>
      <c r="E25" s="134">
        <v>15</v>
      </c>
      <c r="F25" s="179">
        <f>G25</f>
        <v>15.927381835937499</v>
      </c>
      <c r="G25" s="147">
        <f>(GasBalance!C20+GasBalance!D20)/1000</f>
        <v>15.927381835937499</v>
      </c>
    </row>
    <row r="26" spans="1:7">
      <c r="A26" s="115" t="str">
        <f>GasBalance!A22</f>
        <v>Non-Ferrous Metals</v>
      </c>
      <c r="B26" s="79"/>
      <c r="C26" s="134"/>
      <c r="D26" s="134"/>
      <c r="E26" s="134">
        <v>4</v>
      </c>
      <c r="F26" s="179">
        <f t="shared" ref="F26:F36" si="0">G26</f>
        <v>2.2541069641113283</v>
      </c>
      <c r="G26" s="148">
        <f>(GasBalance!C22+GasBalance!D22)/1000</f>
        <v>2.2541069641113283</v>
      </c>
    </row>
    <row r="27" spans="1:7">
      <c r="A27" s="115" t="str">
        <f>GasBalance!A23</f>
        <v>Non-Metallic Minerals</v>
      </c>
      <c r="B27" s="79"/>
      <c r="C27" s="134"/>
      <c r="D27" s="134"/>
      <c r="E27" s="134">
        <f>9+4</f>
        <v>13</v>
      </c>
      <c r="F27" s="179">
        <f>G27</f>
        <v>15.49837338256836</v>
      </c>
      <c r="G27" s="148">
        <f>(GasBalance!C23+GasBalance!D23)/1000</f>
        <v>15.49837338256836</v>
      </c>
    </row>
    <row r="28" spans="1:7">
      <c r="A28" s="115" t="str">
        <f>GasBalance!A24</f>
        <v>Transport Equipment</v>
      </c>
      <c r="B28" s="79"/>
      <c r="C28" s="134"/>
      <c r="D28" s="134"/>
      <c r="E28" s="134"/>
      <c r="F28" s="179">
        <f t="shared" si="0"/>
        <v>0.66913997936248781</v>
      </c>
      <c r="G28" s="148">
        <f>(GasBalance!C24+GasBalance!D24)/1000</f>
        <v>0.66913997936248781</v>
      </c>
    </row>
    <row r="29" spans="1:7">
      <c r="A29" s="115" t="str">
        <f>GasBalance!A25</f>
        <v>Machinery</v>
      </c>
      <c r="B29" s="79"/>
      <c r="C29" s="134"/>
      <c r="D29" s="134"/>
      <c r="E29" s="134"/>
      <c r="F29" s="179">
        <f t="shared" si="0"/>
        <v>1.4128140563964844</v>
      </c>
      <c r="G29" s="148">
        <f>(GasBalance!C25+GasBalance!D25)/1000</f>
        <v>1.4128140563964844</v>
      </c>
    </row>
    <row r="30" spans="1:7">
      <c r="A30" s="115" t="str">
        <f>GasBalance!A26</f>
        <v>Mining and Quarrying</v>
      </c>
      <c r="B30" s="79"/>
      <c r="C30" s="134"/>
      <c r="D30" s="134"/>
      <c r="E30" s="134"/>
      <c r="F30" s="179">
        <f t="shared" si="0"/>
        <v>1.0014639892578125</v>
      </c>
      <c r="G30" s="148">
        <f>(GasBalance!C26+GasBalance!D26)/1000</f>
        <v>1.0014639892578125</v>
      </c>
    </row>
    <row r="31" spans="1:7">
      <c r="A31" s="115" t="str">
        <f>GasBalance!A27</f>
        <v>Food and Tobacco</v>
      </c>
      <c r="B31" s="79"/>
      <c r="C31" s="134"/>
      <c r="D31" s="134"/>
      <c r="E31" s="134">
        <v>4</v>
      </c>
      <c r="F31" s="179">
        <f t="shared" si="0"/>
        <v>7.3658288574218753</v>
      </c>
      <c r="G31" s="148">
        <f>(GasBalance!C27+GasBalance!D27)/1000</f>
        <v>7.3658288574218753</v>
      </c>
    </row>
    <row r="32" spans="1:7">
      <c r="A32" s="115" t="str">
        <f>GasBalance!A28</f>
        <v>Paper Pulp and Print</v>
      </c>
      <c r="B32" s="79"/>
      <c r="C32" s="134"/>
      <c r="D32" s="134"/>
      <c r="E32" s="134">
        <v>4</v>
      </c>
      <c r="F32" s="179">
        <f t="shared" si="0"/>
        <v>4.1653308105468749</v>
      </c>
      <c r="G32" s="148">
        <f>(GasBalance!C28+GasBalance!D28)/1000</f>
        <v>4.1653308105468749</v>
      </c>
    </row>
    <row r="33" spans="1:7">
      <c r="A33" s="115" t="str">
        <f>GasBalance!A29</f>
        <v>Wood and Wood Products</v>
      </c>
      <c r="B33" s="79"/>
      <c r="C33" s="134"/>
      <c r="D33" s="134"/>
      <c r="E33" s="134"/>
      <c r="F33" s="179">
        <f t="shared" si="0"/>
        <v>0</v>
      </c>
      <c r="G33" s="148">
        <f>(GasBalance!C29+GasBalance!D29)/1000</f>
        <v>0</v>
      </c>
    </row>
    <row r="34" spans="1:7">
      <c r="A34" s="115" t="str">
        <f>GasBalance!A30</f>
        <v>Construction</v>
      </c>
      <c r="B34" s="79"/>
      <c r="C34" s="134"/>
      <c r="D34" s="134"/>
      <c r="E34" s="134"/>
      <c r="F34" s="179">
        <f t="shared" si="0"/>
        <v>0</v>
      </c>
      <c r="G34" s="148">
        <f>(GasBalance!C30+GasBalance!D30)/1000</f>
        <v>0</v>
      </c>
    </row>
    <row r="35" spans="1:7">
      <c r="A35" s="115" t="str">
        <f>GasBalance!A31</f>
        <v>Textile and Leather</v>
      </c>
      <c r="B35" s="79"/>
      <c r="C35" s="134"/>
      <c r="D35" s="134"/>
      <c r="E35" s="134"/>
      <c r="F35" s="179">
        <f t="shared" si="0"/>
        <v>1.4420000076293946E-2</v>
      </c>
      <c r="G35" s="148">
        <f>(GasBalance!C31+GasBalance!D31)/1000</f>
        <v>1.4420000076293946E-2</v>
      </c>
    </row>
    <row r="36" spans="1:7">
      <c r="A36" s="115" t="str">
        <f>GasBalance!A32</f>
        <v>Non-specified (Industry)</v>
      </c>
      <c r="B36" s="79"/>
      <c r="C36" s="134"/>
      <c r="D36" s="134"/>
      <c r="E36" s="134">
        <v>14</v>
      </c>
      <c r="F36" s="179">
        <f t="shared" si="0"/>
        <v>4.6039031982421879</v>
      </c>
      <c r="G36" s="148">
        <f>(GasBalance!C32+GasBalance!D32)/1000</f>
        <v>4.6039031982421879</v>
      </c>
    </row>
    <row r="37" spans="1:7" ht="15.6">
      <c r="A37" s="114" t="s">
        <v>84</v>
      </c>
      <c r="B37" s="128"/>
      <c r="C37" s="135"/>
      <c r="D37" s="135"/>
      <c r="E37" s="135">
        <v>13</v>
      </c>
      <c r="F37" s="182">
        <f>SUM(F38:F40)</f>
        <v>1.4527976531982421</v>
      </c>
      <c r="G37" s="149">
        <f>SUM(G38:G40)</f>
        <v>1.4527976531982421</v>
      </c>
    </row>
    <row r="38" spans="1:7">
      <c r="A38" s="115" t="str">
        <f>GasBalance!A34</f>
        <v>Agriculture</v>
      </c>
      <c r="B38" s="79"/>
      <c r="C38" s="134"/>
      <c r="D38" s="134"/>
      <c r="E38" s="134"/>
      <c r="F38" s="179">
        <f t="shared" ref="F38:F40" si="1">G38</f>
        <v>0</v>
      </c>
      <c r="G38" s="148">
        <f>(GasBalance!C34+GasBalance!D34)/1000</f>
        <v>0</v>
      </c>
    </row>
    <row r="39" spans="1:7">
      <c r="A39" s="115" t="str">
        <f>GasBalance!A35</f>
        <v>Commerce and Public Services</v>
      </c>
      <c r="B39" s="79"/>
      <c r="C39" s="134"/>
      <c r="D39" s="134"/>
      <c r="E39" s="134"/>
      <c r="F39" s="179">
        <f t="shared" si="1"/>
        <v>1.2323005371093749</v>
      </c>
      <c r="G39" s="148">
        <f>(GasBalance!C35+GasBalance!D35)/1000</f>
        <v>1.2323005371093749</v>
      </c>
    </row>
    <row r="40" spans="1:7" s="63" customFormat="1" ht="16.2" thickBot="1">
      <c r="A40" s="117" t="str">
        <f>GasBalance!A36</f>
        <v>Residential</v>
      </c>
      <c r="B40" s="129"/>
      <c r="C40" s="136"/>
      <c r="D40" s="136"/>
      <c r="E40" s="136"/>
      <c r="F40" s="183">
        <f t="shared" si="1"/>
        <v>0.22049711608886718</v>
      </c>
      <c r="G40" s="150">
        <f>(GasBalance!C36+GasBalance!D36)/1000</f>
        <v>0.22049711608886718</v>
      </c>
    </row>
  </sheetData>
  <mergeCells count="4">
    <mergeCell ref="C3:G3"/>
    <mergeCell ref="A3:B3"/>
    <mergeCell ref="A1:G1"/>
    <mergeCell ref="A2:B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AACC1-95D6-4804-81C0-6CEAB3691989}">
  <dimension ref="A1:I40"/>
  <sheetViews>
    <sheetView showZeros="0" tabSelected="1" topLeftCell="A5" zoomScale="70" zoomScaleNormal="70" workbookViewId="0">
      <selection activeCell="I18" sqref="I18"/>
    </sheetView>
  </sheetViews>
  <sheetFormatPr defaultRowHeight="15"/>
  <cols>
    <col min="1" max="1" width="37" bestFit="1" customWidth="1"/>
    <col min="2" max="2" width="27.81640625" bestFit="1" customWidth="1"/>
    <col min="3" max="4" width="12.90625" hidden="1" customWidth="1"/>
    <col min="5" max="5" width="4.6328125" hidden="1" customWidth="1"/>
    <col min="6" max="6" width="7.6328125" hidden="1" customWidth="1"/>
    <col min="7" max="7" width="14" bestFit="1" customWidth="1"/>
    <col min="8" max="8" width="29.08984375" customWidth="1"/>
  </cols>
  <sheetData>
    <row r="1" spans="1:9" ht="15.6" thickBot="1"/>
    <row r="2" spans="1:9" ht="16.2" thickBot="1">
      <c r="A2" s="219" t="s">
        <v>282</v>
      </c>
      <c r="B2" s="220"/>
      <c r="C2" s="221" t="s">
        <v>15</v>
      </c>
      <c r="D2" s="221" t="s">
        <v>16</v>
      </c>
      <c r="E2" s="221" t="s">
        <v>17</v>
      </c>
      <c r="F2" s="221" t="s">
        <v>18</v>
      </c>
      <c r="G2" s="222" t="s">
        <v>283</v>
      </c>
      <c r="H2" t="s">
        <v>289</v>
      </c>
      <c r="I2" s="176">
        <f>G9+G10-G16</f>
        <v>0</v>
      </c>
    </row>
    <row r="3" spans="1:9" ht="16.2" thickBot="1">
      <c r="A3" s="214" t="s">
        <v>284</v>
      </c>
      <c r="B3" s="215"/>
      <c r="C3" s="212" t="s">
        <v>76</v>
      </c>
      <c r="D3" s="212"/>
      <c r="E3" s="212"/>
      <c r="F3" s="212"/>
      <c r="G3" s="213"/>
    </row>
    <row r="4" spans="1:9" ht="16.2" thickBot="1">
      <c r="A4" s="120" t="s">
        <v>285</v>
      </c>
      <c r="B4" s="126"/>
      <c r="C4" s="132"/>
      <c r="D4" s="132"/>
      <c r="E4" s="132"/>
      <c r="F4" s="146">
        <f>F9+F10</f>
        <v>61.376703124999992</v>
      </c>
      <c r="G4" s="139">
        <f>G9+G10</f>
        <v>104.75002240000003</v>
      </c>
    </row>
    <row r="5" spans="1:9" ht="15.6" thickTop="1">
      <c r="A5" s="121" t="s">
        <v>24</v>
      </c>
      <c r="B5" s="127"/>
      <c r="C5" s="133"/>
      <c r="D5" s="133"/>
      <c r="E5" s="133"/>
      <c r="F5" s="147">
        <f>F6+F7</f>
        <v>25.570812499999999</v>
      </c>
      <c r="G5" s="140">
        <f>G6+G7</f>
        <v>50.152312499999994</v>
      </c>
    </row>
    <row r="6" spans="1:9" s="63" customFormat="1" ht="15.6">
      <c r="A6" s="115"/>
      <c r="B6" s="79" t="s">
        <v>26</v>
      </c>
      <c r="C6" s="134"/>
      <c r="D6" s="134"/>
      <c r="E6" s="134"/>
      <c r="F6" s="148">
        <f>GasBalance!C5/1000</f>
        <v>25.570812499999999</v>
      </c>
      <c r="G6" s="141">
        <f>F6</f>
        <v>25.570812499999999</v>
      </c>
    </row>
    <row r="7" spans="1:9">
      <c r="A7" s="115"/>
      <c r="B7" s="79" t="s">
        <v>29</v>
      </c>
      <c r="C7" s="134">
        <v>27.411000000000001</v>
      </c>
      <c r="D7" s="134">
        <v>21.280999999999999</v>
      </c>
      <c r="E7" s="134"/>
      <c r="F7" s="148">
        <v>0</v>
      </c>
      <c r="G7" s="141">
        <f>GasBalance!N33</f>
        <v>24.581499999999998</v>
      </c>
    </row>
    <row r="8" spans="1:9">
      <c r="A8" s="115" t="s">
        <v>25</v>
      </c>
      <c r="B8" s="79"/>
      <c r="C8" s="134">
        <v>153.55799999999999</v>
      </c>
      <c r="D8" s="134">
        <v>155.483</v>
      </c>
      <c r="E8" s="134"/>
      <c r="F8" s="148">
        <f>GasBalance!C6/1000</f>
        <v>124.1244375</v>
      </c>
      <c r="G8" s="141">
        <f>GasBalance!N32</f>
        <v>151.28700000000001</v>
      </c>
    </row>
    <row r="9" spans="1:9" ht="15.6">
      <c r="A9" s="114" t="s">
        <v>32</v>
      </c>
      <c r="B9" s="128"/>
      <c r="C9" s="135">
        <f>C7+C8</f>
        <v>180.96899999999999</v>
      </c>
      <c r="D9" s="135">
        <f>D7+D8</f>
        <v>176.76400000000001</v>
      </c>
      <c r="E9" s="135">
        <f>-E12+E16</f>
        <v>180</v>
      </c>
      <c r="F9" s="149">
        <f>F8+F5</f>
        <v>149.69524999999999</v>
      </c>
      <c r="G9" s="142">
        <f>G8+G5</f>
        <v>201.4393125</v>
      </c>
      <c r="H9" s="175"/>
    </row>
    <row r="10" spans="1:9" ht="15.6">
      <c r="A10" s="114" t="s">
        <v>33</v>
      </c>
      <c r="B10" s="128"/>
      <c r="C10" s="135"/>
      <c r="D10" s="135"/>
      <c r="E10" s="135"/>
      <c r="F10" s="149">
        <f>F11+F12</f>
        <v>-88.318546874999996</v>
      </c>
      <c r="G10" s="142">
        <f>G11+G12</f>
        <v>-96.689290099999965</v>
      </c>
      <c r="H10" s="167"/>
    </row>
    <row r="11" spans="1:9" s="63" customFormat="1" ht="15.6">
      <c r="A11" s="115" t="s">
        <v>37</v>
      </c>
      <c r="B11" s="79"/>
      <c r="C11" s="134"/>
      <c r="D11" s="134"/>
      <c r="E11" s="134"/>
      <c r="F11" s="148"/>
      <c r="G11" s="141">
        <f>-GasBalance!N43</f>
        <v>-28.640346999999998</v>
      </c>
    </row>
    <row r="12" spans="1:9" ht="15.6">
      <c r="A12" s="115" t="s">
        <v>42</v>
      </c>
      <c r="B12" s="79"/>
      <c r="C12" s="134"/>
      <c r="D12" s="134"/>
      <c r="E12" s="135">
        <v>-110</v>
      </c>
      <c r="F12" s="149">
        <f>GasBalance!C15/1000</f>
        <v>-88.318546874999996</v>
      </c>
      <c r="G12" s="142">
        <f>SUM(G13:G15)</f>
        <v>-68.048943099999974</v>
      </c>
      <c r="H12" s="167"/>
    </row>
    <row r="13" spans="1:9">
      <c r="A13" s="115"/>
      <c r="B13" s="79" t="s">
        <v>44</v>
      </c>
      <c r="C13" s="134"/>
      <c r="D13" s="134"/>
      <c r="E13" s="134"/>
      <c r="F13" s="148"/>
      <c r="G13" s="141">
        <f>-G6</f>
        <v>-25.570812499999999</v>
      </c>
      <c r="H13" s="167"/>
    </row>
    <row r="14" spans="1:9">
      <c r="A14" s="115"/>
      <c r="B14" s="79" t="s">
        <v>286</v>
      </c>
      <c r="C14" s="134"/>
      <c r="D14" s="134"/>
      <c r="E14" s="134"/>
      <c r="F14" s="148"/>
      <c r="G14" s="141">
        <f>-GasBalance!N47</f>
        <v>-23.300217690909065</v>
      </c>
    </row>
    <row r="15" spans="1:9" ht="15.6" thickBot="1">
      <c r="A15" s="99"/>
      <c r="B15" s="79" t="s">
        <v>287</v>
      </c>
      <c r="C15" s="134"/>
      <c r="D15" s="134"/>
      <c r="E15" s="134"/>
      <c r="F15" s="148"/>
      <c r="G15" s="141">
        <f>-GasBalance!U59</f>
        <v>-19.17791290909091</v>
      </c>
      <c r="H15" s="167"/>
    </row>
    <row r="16" spans="1:9" s="63" customFormat="1" ht="16.2" thickBot="1">
      <c r="A16" s="119" t="s">
        <v>54</v>
      </c>
      <c r="B16" s="130"/>
      <c r="C16" s="137"/>
      <c r="D16" s="137"/>
      <c r="E16" s="137">
        <f>SUM(E21:E40)</f>
        <v>70</v>
      </c>
      <c r="F16" s="151">
        <f>F17+F37</f>
        <v>109.6079772310257</v>
      </c>
      <c r="G16" s="144">
        <f>G17+G37</f>
        <v>104.75002240000001</v>
      </c>
    </row>
    <row r="17" spans="1:7" ht="16.2" thickTop="1">
      <c r="A17" s="116" t="s">
        <v>57</v>
      </c>
      <c r="B17" s="131"/>
      <c r="C17" s="138"/>
      <c r="D17" s="138"/>
      <c r="E17" s="138"/>
      <c r="F17" s="152">
        <f>F18+SUM(F25:F36)</f>
        <v>108.15517957782745</v>
      </c>
      <c r="G17" s="145">
        <f>G18+SUM(G25:G36)</f>
        <v>103.29722474680176</v>
      </c>
    </row>
    <row r="18" spans="1:7" ht="15.6">
      <c r="A18" s="114" t="s">
        <v>62</v>
      </c>
      <c r="B18" s="128"/>
      <c r="C18" s="135"/>
      <c r="D18" s="135"/>
      <c r="E18" s="135"/>
      <c r="F18" s="149">
        <f>(GasBalance!C21+GasBalance!D21)/1000</f>
        <v>55.242416503906249</v>
      </c>
      <c r="G18" s="142">
        <f>SUM(G19:G24)</f>
        <v>50.384461672880562</v>
      </c>
    </row>
    <row r="19" spans="1:7" s="63" customFormat="1" ht="15.6">
      <c r="A19" s="115"/>
      <c r="B19" s="79" t="s">
        <v>64</v>
      </c>
      <c r="C19" s="134"/>
      <c r="D19" s="134"/>
      <c r="E19" s="134"/>
      <c r="F19" s="148"/>
      <c r="G19" s="141">
        <f>GasBalance!D68/1000000</f>
        <v>0.91098800000000002</v>
      </c>
    </row>
    <row r="20" spans="1:7" s="63" customFormat="1" ht="15.6">
      <c r="A20" s="115"/>
      <c r="B20" s="79" t="s">
        <v>66</v>
      </c>
      <c r="C20" s="134"/>
      <c r="D20" s="134"/>
      <c r="E20" s="134"/>
      <c r="F20" s="148"/>
      <c r="G20" s="141">
        <f>GasBalance!N38+GasBalance!X16</f>
        <v>26.659407954999999</v>
      </c>
    </row>
    <row r="21" spans="1:7">
      <c r="A21" s="115"/>
      <c r="B21" s="79" t="s">
        <v>68</v>
      </c>
      <c r="C21" s="134"/>
      <c r="D21" s="134"/>
      <c r="E21" s="134">
        <v>3</v>
      </c>
      <c r="F21" s="148"/>
      <c r="G21" s="141">
        <f>(GasBalance!N40-G25-SUM(G26:G37))/2</f>
        <v>2.7792196364402777</v>
      </c>
    </row>
    <row r="22" spans="1:7">
      <c r="A22" s="115"/>
      <c r="B22" s="79" t="s">
        <v>71</v>
      </c>
      <c r="C22" s="134"/>
      <c r="D22" s="134"/>
      <c r="E22" s="134"/>
      <c r="F22" s="148"/>
      <c r="G22" s="141">
        <f>G21</f>
        <v>2.7792196364402777</v>
      </c>
    </row>
    <row r="23" spans="1:7">
      <c r="A23" s="115"/>
      <c r="B23" s="66" t="s">
        <v>48</v>
      </c>
      <c r="C23" s="66"/>
      <c r="D23" s="66"/>
      <c r="E23" s="66"/>
      <c r="F23" s="177"/>
      <c r="G23" s="178">
        <f>33*1.055*GasBalance!D76/1000000</f>
        <v>10.898592044999999</v>
      </c>
    </row>
    <row r="24" spans="1:7">
      <c r="A24" s="115"/>
      <c r="B24" s="66" t="s">
        <v>288</v>
      </c>
      <c r="C24" s="66"/>
      <c r="D24" s="66"/>
      <c r="E24" s="66"/>
      <c r="F24" s="177"/>
      <c r="G24" s="178">
        <f>GasBalance!U60</f>
        <v>6.3570344000000008</v>
      </c>
    </row>
    <row r="25" spans="1:7">
      <c r="A25" s="121" t="str">
        <f>GasBalance!A20</f>
        <v>Iron and Steel</v>
      </c>
      <c r="B25" s="127"/>
      <c r="C25" s="133"/>
      <c r="D25" s="133"/>
      <c r="E25" s="133">
        <v>15</v>
      </c>
      <c r="F25" s="147">
        <f t="shared" ref="F25:F36" si="0">G25</f>
        <v>15.927381835937499</v>
      </c>
      <c r="G25" s="140">
        <f>(GasBalance!C20+GasBalance!D20)/1000</f>
        <v>15.927381835937499</v>
      </c>
    </row>
    <row r="26" spans="1:7">
      <c r="A26" s="115" t="str">
        <f>GasBalance!A22</f>
        <v>Non-Ferrous Metals</v>
      </c>
      <c r="B26" s="79"/>
      <c r="C26" s="134"/>
      <c r="D26" s="134"/>
      <c r="E26" s="134">
        <v>4</v>
      </c>
      <c r="F26" s="148">
        <f t="shared" si="0"/>
        <v>2.2541069641113283</v>
      </c>
      <c r="G26" s="141">
        <f>(GasBalance!C22+GasBalance!D22)/1000</f>
        <v>2.2541069641113283</v>
      </c>
    </row>
    <row r="27" spans="1:7">
      <c r="A27" s="115" t="str">
        <f>GasBalance!A23</f>
        <v>Non-Metallic Minerals</v>
      </c>
      <c r="B27" s="79"/>
      <c r="C27" s="134"/>
      <c r="D27" s="134"/>
      <c r="E27" s="134">
        <f>9+4</f>
        <v>13</v>
      </c>
      <c r="F27" s="148">
        <f t="shared" si="0"/>
        <v>15.49837338256836</v>
      </c>
      <c r="G27" s="141">
        <f>(GasBalance!C23+GasBalance!D23)/1000</f>
        <v>15.49837338256836</v>
      </c>
    </row>
    <row r="28" spans="1:7">
      <c r="A28" s="115" t="str">
        <f>GasBalance!A24</f>
        <v>Transport Equipment</v>
      </c>
      <c r="B28" s="79"/>
      <c r="C28" s="134"/>
      <c r="D28" s="134"/>
      <c r="E28" s="134"/>
      <c r="F28" s="148">
        <f t="shared" si="0"/>
        <v>0.66913997936248781</v>
      </c>
      <c r="G28" s="141">
        <f>(GasBalance!C24+GasBalance!D24)/1000</f>
        <v>0.66913997936248781</v>
      </c>
    </row>
    <row r="29" spans="1:7">
      <c r="A29" s="115" t="str">
        <f>GasBalance!A25</f>
        <v>Machinery</v>
      </c>
      <c r="B29" s="79"/>
      <c r="C29" s="134"/>
      <c r="D29" s="134"/>
      <c r="E29" s="134"/>
      <c r="F29" s="148">
        <f t="shared" si="0"/>
        <v>1.4128140563964844</v>
      </c>
      <c r="G29" s="141">
        <f>(GasBalance!C25+GasBalance!D25)/1000</f>
        <v>1.4128140563964844</v>
      </c>
    </row>
    <row r="30" spans="1:7">
      <c r="A30" s="115" t="str">
        <f>GasBalance!A26</f>
        <v>Mining and Quarrying</v>
      </c>
      <c r="B30" s="79"/>
      <c r="C30" s="134"/>
      <c r="D30" s="134"/>
      <c r="E30" s="134"/>
      <c r="F30" s="148">
        <f t="shared" si="0"/>
        <v>1.0014639892578125</v>
      </c>
      <c r="G30" s="141">
        <f>(GasBalance!C26+GasBalance!D26)/1000</f>
        <v>1.0014639892578125</v>
      </c>
    </row>
    <row r="31" spans="1:7">
      <c r="A31" s="115" t="str">
        <f>GasBalance!A27</f>
        <v>Food and Tobacco</v>
      </c>
      <c r="B31" s="79"/>
      <c r="C31" s="134"/>
      <c r="D31" s="134"/>
      <c r="E31" s="134">
        <v>4</v>
      </c>
      <c r="F31" s="148">
        <f t="shared" si="0"/>
        <v>7.3658288574218753</v>
      </c>
      <c r="G31" s="141">
        <f>(GasBalance!C27+GasBalance!D27)/1000</f>
        <v>7.3658288574218753</v>
      </c>
    </row>
    <row r="32" spans="1:7">
      <c r="A32" s="115" t="str">
        <f>GasBalance!A28</f>
        <v>Paper Pulp and Print</v>
      </c>
      <c r="B32" s="79"/>
      <c r="C32" s="134"/>
      <c r="D32" s="134"/>
      <c r="E32" s="134">
        <v>4</v>
      </c>
      <c r="F32" s="148">
        <f t="shared" si="0"/>
        <v>4.1653308105468749</v>
      </c>
      <c r="G32" s="141">
        <f>(GasBalance!C28+GasBalance!D28)/1000</f>
        <v>4.1653308105468749</v>
      </c>
    </row>
    <row r="33" spans="1:7">
      <c r="A33" s="115" t="str">
        <f>GasBalance!A29</f>
        <v>Wood and Wood Products</v>
      </c>
      <c r="B33" s="79"/>
      <c r="C33" s="134"/>
      <c r="D33" s="134"/>
      <c r="E33" s="134"/>
      <c r="F33" s="148">
        <f t="shared" si="0"/>
        <v>0</v>
      </c>
      <c r="G33" s="141">
        <f>(GasBalance!C29+GasBalance!D29)/1000</f>
        <v>0</v>
      </c>
    </row>
    <row r="34" spans="1:7">
      <c r="A34" s="115" t="str">
        <f>GasBalance!A30</f>
        <v>Construction</v>
      </c>
      <c r="B34" s="79"/>
      <c r="C34" s="134"/>
      <c r="D34" s="134"/>
      <c r="E34" s="134"/>
      <c r="F34" s="148">
        <f t="shared" si="0"/>
        <v>0</v>
      </c>
      <c r="G34" s="141">
        <f>(GasBalance!C30+GasBalance!D30)/1000</f>
        <v>0</v>
      </c>
    </row>
    <row r="35" spans="1:7">
      <c r="A35" s="115" t="str">
        <f>GasBalance!A31</f>
        <v>Textile and Leather</v>
      </c>
      <c r="B35" s="79"/>
      <c r="C35" s="134"/>
      <c r="D35" s="134"/>
      <c r="E35" s="134"/>
      <c r="F35" s="148">
        <f t="shared" si="0"/>
        <v>1.4420000076293946E-2</v>
      </c>
      <c r="G35" s="141">
        <f>(GasBalance!C31+GasBalance!D31)/1000</f>
        <v>1.4420000076293946E-2</v>
      </c>
    </row>
    <row r="36" spans="1:7">
      <c r="A36" s="115" t="str">
        <f>GasBalance!A32</f>
        <v>Non-specified (Industry)</v>
      </c>
      <c r="B36" s="79"/>
      <c r="C36" s="134"/>
      <c r="D36" s="134"/>
      <c r="E36" s="134">
        <v>14</v>
      </c>
      <c r="F36" s="148">
        <f t="shared" si="0"/>
        <v>4.6039031982421879</v>
      </c>
      <c r="G36" s="141">
        <f>(GasBalance!C32+GasBalance!D32)/1000</f>
        <v>4.6039031982421879</v>
      </c>
    </row>
    <row r="37" spans="1:7" ht="15.6">
      <c r="A37" s="114" t="s">
        <v>84</v>
      </c>
      <c r="B37" s="128"/>
      <c r="C37" s="135"/>
      <c r="D37" s="135"/>
      <c r="E37" s="135">
        <v>13</v>
      </c>
      <c r="F37" s="149">
        <f>SUM(F38:F40)</f>
        <v>1.4527976531982421</v>
      </c>
      <c r="G37" s="142">
        <f>SUM(G38:G40)</f>
        <v>1.4527976531982421</v>
      </c>
    </row>
    <row r="38" spans="1:7">
      <c r="A38" s="115" t="str">
        <f>GasBalance!A34</f>
        <v>Agriculture</v>
      </c>
      <c r="B38" s="79"/>
      <c r="C38" s="134"/>
      <c r="D38" s="134"/>
      <c r="E38" s="134"/>
      <c r="F38" s="148">
        <f>G38</f>
        <v>0</v>
      </c>
      <c r="G38" s="141">
        <f>(GasBalance!C34+GasBalance!D34)/1000</f>
        <v>0</v>
      </c>
    </row>
    <row r="39" spans="1:7">
      <c r="A39" s="115" t="str">
        <f>GasBalance!A35</f>
        <v>Commerce and Public Services</v>
      </c>
      <c r="B39" s="79"/>
      <c r="C39" s="134"/>
      <c r="D39" s="134"/>
      <c r="E39" s="134"/>
      <c r="F39" s="148">
        <f>G39</f>
        <v>1.2323005371093749</v>
      </c>
      <c r="G39" s="141">
        <f>(GasBalance!C35+GasBalance!D35)/1000</f>
        <v>1.2323005371093749</v>
      </c>
    </row>
    <row r="40" spans="1:7" s="63" customFormat="1" ht="16.2" thickBot="1">
      <c r="A40" s="117" t="str">
        <f>GasBalance!A36</f>
        <v>Residential</v>
      </c>
      <c r="B40" s="129"/>
      <c r="C40" s="136"/>
      <c r="D40" s="136"/>
      <c r="E40" s="136"/>
      <c r="F40" s="150">
        <f>G40</f>
        <v>0.22049711608886718</v>
      </c>
      <c r="G40" s="143">
        <f>(GasBalance!C36+GasBalance!D36)/1000</f>
        <v>0.22049711608886718</v>
      </c>
    </row>
  </sheetData>
  <mergeCells count="3">
    <mergeCell ref="A2:B2"/>
    <mergeCell ref="A3:B3"/>
    <mergeCell ref="C3:G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FD7248BD8DF148A7A7FB604E252829" ma:contentTypeVersion="14" ma:contentTypeDescription="Create a new document." ma:contentTypeScope="" ma:versionID="fda623d9592031d881d05d553cffd355">
  <xsd:schema xmlns:xsd="http://www.w3.org/2001/XMLSchema" xmlns:xs="http://www.w3.org/2001/XMLSchema" xmlns:p="http://schemas.microsoft.com/office/2006/metadata/properties" xmlns:ns3="ac37cf54-3dc3-45ed-8b67-84d297c63d94" xmlns:ns4="cb948bf5-c56f-4b9d-9a7f-039a89f1c626" targetNamespace="http://schemas.microsoft.com/office/2006/metadata/properties" ma:root="true" ma:fieldsID="829f2f2d911d2b358f0151b3b256703b" ns3:_="" ns4:_="">
    <xsd:import namespace="ac37cf54-3dc3-45ed-8b67-84d297c63d94"/>
    <xsd:import namespace="cb948bf5-c56f-4b9d-9a7f-039a89f1c62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37cf54-3dc3-45ed-8b67-84d297c63d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948bf5-c56f-4b9d-9a7f-039a89f1c62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EE99AD-3261-4ECD-B20F-EB634B1524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37cf54-3dc3-45ed-8b67-84d297c63d94"/>
    <ds:schemaRef ds:uri="cb948bf5-c56f-4b9d-9a7f-039a89f1c6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D64D65-513F-4166-A6A2-DF832E6AB13C}">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cb948bf5-c56f-4b9d-9a7f-039a89f1c626"/>
    <ds:schemaRef ds:uri="ac37cf54-3dc3-45ed-8b67-84d297c63d94"/>
    <ds:schemaRef ds:uri="http://www.w3.org/XML/1998/namespace"/>
  </ds:schemaRefs>
</ds:datastoreItem>
</file>

<file path=customXml/itemProps3.xml><?xml version="1.0" encoding="utf-8"?>
<ds:datastoreItem xmlns:ds="http://schemas.openxmlformats.org/officeDocument/2006/customXml" ds:itemID="{C62BDC0E-34D8-4757-AEF9-B086510F7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GasBalance</vt:lpstr>
      <vt:lpstr>GasBalance SATIM</vt:lpstr>
      <vt:lpstr>GasBalance for word</vt:lpstr>
      <vt:lpstr>GasBalanceSATIM edited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Bruno</dc:creator>
  <cp:keywords/>
  <dc:description/>
  <cp:lastModifiedBy>IdeaPadL340</cp:lastModifiedBy>
  <cp:revision/>
  <dcterms:created xsi:type="dcterms:W3CDTF">2021-10-27T09:17:17Z</dcterms:created>
  <dcterms:modified xsi:type="dcterms:W3CDTF">2022-08-29T11:55:36Z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0x0101001EFD7248BD8DF148A7A7FB604E252829</vt:lpwstr>
  </property>
</Properties>
</file>