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0E5BDD57-F4B5-429C-90E3-DF8BA47BDF3B}" xr6:coauthVersionLast="47" xr6:coauthVersionMax="47" xr10:uidLastSave="{00000000-0000-0000-0000-000000000000}"/>
  <bookViews>
    <workbookView xWindow="-120" yWindow="-120" windowWidth="38640" windowHeight="21240" tabRatio="842" activeTab="3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Production and Capacity" sheetId="63" r:id="rId20"/>
    <sheet name="RES of chrome industry with EE" sheetId="65" r:id="rId21"/>
    <sheet name="ANSv2-692-ConstrData" sheetId="24" state="veryHidden" r:id="rId22"/>
    <sheet name="ANSv2-692-ITEMS" sheetId="10" state="veryHidden" r:id="rId23"/>
    <sheet name="ANSv2-692-TS DATA" sheetId="12" state="veryHidden" r:id="rId24"/>
    <sheet name="ANSv2-692-TID DATA" sheetId="13" state="veryHidden" r:id="rId25"/>
    <sheet name="ANSv2-692-TS&amp;TID DATA" sheetId="14" state="veryHidden" r:id="rId26"/>
    <sheet name="ANSv2-692-TS TRADE" sheetId="15" state="veryHidden" r:id="rId27"/>
    <sheet name="ANSv2-692-TID TRADE" sheetId="16" state="veryHidden" r:id="rId28"/>
    <sheet name="ANSv2-692-TS&amp;TID TRADE" sheetId="17" state="veryHidden" r:id="rId29"/>
  </sheets>
  <definedNames>
    <definedName name="FA_PAMS_index">Index!$J$5</definedName>
    <definedName name="FID_1">#REF!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0" l="1"/>
  <c r="E19" i="30"/>
  <c r="C20" i="30"/>
  <c r="C19" i="30"/>
  <c r="N7" i="56" l="1"/>
  <c r="B8" i="56"/>
  <c r="C8" i="56"/>
  <c r="R26" i="56" l="1"/>
  <c r="Q26" i="56"/>
  <c r="I26" i="56"/>
  <c r="C13" i="31"/>
  <c r="B13" i="31"/>
  <c r="B27" i="27"/>
  <c r="A21" i="27"/>
  <c r="A8" i="27"/>
  <c r="U25" i="56"/>
  <c r="T24" i="56"/>
  <c r="S23" i="56"/>
  <c r="U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S32" i="56"/>
  <c r="T28" i="56"/>
  <c r="J26" i="56"/>
  <c r="R31" i="56"/>
  <c r="R36" i="56" s="1"/>
  <c r="D27" i="56"/>
  <c r="D32" i="56" s="1"/>
  <c r="E32" i="56"/>
  <c r="E33" i="56"/>
  <c r="E34" i="56"/>
  <c r="U34" i="56"/>
  <c r="E35" i="56"/>
  <c r="F36" i="56"/>
  <c r="N31" i="56"/>
  <c r="N36" i="56"/>
  <c r="B23" i="56"/>
  <c r="B10" i="61" s="1"/>
  <c r="C23" i="56"/>
  <c r="C10" i="61" s="1"/>
  <c r="F10" i="61"/>
  <c r="C16" i="29"/>
  <c r="B16" i="29"/>
  <c r="B15" i="29"/>
  <c r="T33" i="56" l="1"/>
  <c r="V35" i="56"/>
  <c r="S27" i="56"/>
  <c r="V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Q5" i="56" s="1"/>
  <c r="Q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Q155" i="62"/>
  <c r="Q156" i="62" s="1"/>
  <c r="S148" i="62"/>
  <c r="Q145" i="62" s="1"/>
  <c r="Q144" i="62"/>
  <c r="Q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4" i="62"/>
  <c r="F33" i="62" s="1"/>
  <c r="L52" i="62"/>
  <c r="G69" i="62" s="1"/>
  <c r="K52" i="62"/>
  <c r="G68" i="62" s="1"/>
  <c r="H68" i="62" s="1"/>
  <c r="J52" i="62"/>
  <c r="G67" i="62" s="1"/>
  <c r="H67" i="62" s="1"/>
  <c r="I52" i="62"/>
  <c r="G66" i="62" s="1"/>
  <c r="H66" i="62" s="1"/>
  <c r="H52" i="62"/>
  <c r="G52" i="62"/>
  <c r="G33" i="62" s="1"/>
  <c r="K50" i="62"/>
  <c r="F68" i="62" s="1"/>
  <c r="J50" i="62"/>
  <c r="F67" i="62" s="1"/>
  <c r="I50" i="62"/>
  <c r="F66" i="62" s="1"/>
  <c r="H50" i="62"/>
  <c r="G50" i="62"/>
  <c r="F64" i="62" s="1"/>
  <c r="H35" i="62"/>
  <c r="D35" i="62" s="1"/>
  <c r="F32" i="62"/>
  <c r="H30" i="62"/>
  <c r="F77" i="62" s="1"/>
  <c r="I29" i="62"/>
  <c r="F76" i="62" s="1"/>
  <c r="H27" i="62"/>
  <c r="F75" i="62" s="1"/>
  <c r="P25" i="62"/>
  <c r="H137" i="62" s="1"/>
  <c r="K137" i="62" s="1"/>
  <c r="H24" i="62"/>
  <c r="F74" i="62" s="1"/>
  <c r="H23" i="62"/>
  <c r="F73" i="62" s="1"/>
  <c r="H21" i="62"/>
  <c r="F72" i="62" s="1"/>
  <c r="G21" i="62"/>
  <c r="G72" i="62" s="1"/>
  <c r="G20" i="62"/>
  <c r="G71" i="62" s="1"/>
  <c r="E19" i="63" l="1"/>
  <c r="D40" i="63"/>
  <c r="F39" i="63" s="1"/>
  <c r="G64" i="62"/>
  <c r="F78" i="62"/>
  <c r="H33" i="62"/>
  <c r="H90" i="62"/>
  <c r="H95" i="62" s="1"/>
  <c r="H32" i="62"/>
  <c r="F34" i="62"/>
  <c r="H145" i="62"/>
  <c r="L50" i="62"/>
  <c r="F69" i="62" s="1"/>
  <c r="F70" i="62" s="1"/>
  <c r="G78" i="62"/>
  <c r="G90" i="62"/>
  <c r="N137" i="62"/>
  <c r="H69" i="62"/>
  <c r="H144" i="62"/>
  <c r="I33" i="62"/>
  <c r="D138" i="62"/>
  <c r="G70" i="62"/>
  <c r="G32" i="62"/>
  <c r="H64" i="62"/>
  <c r="I32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4" i="62"/>
  <c r="H94" i="62"/>
  <c r="H93" i="62"/>
  <c r="F79" i="62"/>
  <c r="D136" i="62" s="1"/>
  <c r="F138" i="62" s="1"/>
  <c r="H114" i="62"/>
  <c r="D32" i="62"/>
  <c r="I34" i="62"/>
  <c r="F90" i="62"/>
  <c r="F114" i="62" s="1"/>
  <c r="J114" i="62" s="1"/>
  <c r="G114" i="62"/>
  <c r="G92" i="62"/>
  <c r="G94" i="62"/>
  <c r="G113" i="62"/>
  <c r="G96" i="62"/>
  <c r="G93" i="62"/>
  <c r="G95" i="62"/>
  <c r="H96" i="62"/>
  <c r="G34" i="62"/>
  <c r="H143" i="62"/>
  <c r="H146" i="62" s="1"/>
  <c r="H142" i="62"/>
  <c r="J142" i="62" s="1"/>
  <c r="H92" i="62"/>
  <c r="H70" i="62"/>
  <c r="K8" i="27"/>
  <c r="K7" i="27"/>
  <c r="K6" i="27"/>
  <c r="D34" i="62" l="1"/>
  <c r="D36" i="62" s="1"/>
  <c r="D39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U11" i="56" s="1"/>
  <c r="H9" i="61" s="1"/>
  <c r="I9" i="61" s="1"/>
  <c r="J9" i="61" s="1"/>
  <c r="D38" i="62" l="1"/>
  <c r="J146" i="62"/>
  <c r="F100" i="62"/>
  <c r="D143" i="62" s="1"/>
  <c r="J101" i="62"/>
  <c r="F101" i="62" s="1"/>
  <c r="F106" i="62" s="1"/>
  <c r="F99" i="62"/>
  <c r="D142" i="62" s="1"/>
  <c r="L90" i="62"/>
  <c r="D111" i="62"/>
  <c r="S9" i="56"/>
  <c r="T10" i="56"/>
  <c r="J148" i="62"/>
  <c r="E9" i="30"/>
  <c r="I12" i="56"/>
  <c r="J12" i="56" s="1"/>
  <c r="F105" i="62" l="1"/>
  <c r="D144" i="62"/>
  <c r="D146" i="62" s="1"/>
  <c r="F104" i="62"/>
  <c r="R12" i="56"/>
  <c r="P12" i="56"/>
  <c r="K4" i="27"/>
  <c r="C13" i="56"/>
  <c r="C18" i="56"/>
  <c r="B18" i="56" l="1"/>
  <c r="N22" i="56"/>
  <c r="N17" i="56"/>
  <c r="E14" i="56"/>
  <c r="E19" i="56" s="1"/>
  <c r="E13" i="56"/>
  <c r="E18" i="56" s="1"/>
  <c r="R17" i="56"/>
  <c r="R22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R5" i="56"/>
  <c r="R7" i="56" s="1"/>
  <c r="P5" i="56"/>
  <c r="P7" i="56" s="1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B12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<sst xmlns="http://schemas.openxmlformats.org/spreadsheetml/2006/main" count="1097" uniqueCount="601">
  <si>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</si>
  <si>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</si>
  <si>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</si>
  <si>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</si>
  <si>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</si>
  <si>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</si>
  <si>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</si>
  <si>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</si>
  <si>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</si>
  <si>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</si>
  <si>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</si>
  <si>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</si>
  <si>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</si>
  <si>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</si>
  <si>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</si>
  <si>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</si>
  <si>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</si>
  <si>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</si>
  <si>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</si>
  <si>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</si>
  <si>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</si>
  <si>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</si>
  <si>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</si>
  <si>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</si>
  <si>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</si>
  <si>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</si>
  <si>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</si>
  <si>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</si>
  <si>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</si>
  <si>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</si>
  <si>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</si>
  <si>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</si>
  <si>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</si>
  <si>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</si>
  <si>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</si>
  <si>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</si>
  <si>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</si>
  <si>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</si>
  <si>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</si>
  <si>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</si>
  <si>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</si>
  <si>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</si>
  <si>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</si>
  <si>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</si>
  <si>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</si>
  <si>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</si>
  <si>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</si>
  <si>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</si>
  <si>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</si>
  <si>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</si>
  <si>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</si>
  <si>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</si>
  <si>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</si>
  <si>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</si>
  <si>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</si>
  <si>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</si>
  <si>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</si>
  <si>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</si>
  <si>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</si>
  <si>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</si>
  <si>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</si>
  <si>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</si>
  <si>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</si>
  <si>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</si>
  <si>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</si>
  <si>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</si>
  <si>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</si>
  <si>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</si>
  <si>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</si>
  <si>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</si>
  <si>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</si>
  <si>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</si>
  <si>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</si>
  <si>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</si>
  <si>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</si>
  <si>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</si>
  <si>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</si>
  <si>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</si>
  <si>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</si>
  <si>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</si>
  <si>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</si>
  <si>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</si>
  <si>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</si>
  <si>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</si>
  <si>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</si>
  <si>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</si>
  <si>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</si>
  <si>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</si>
  <si>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</si>
  <si>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</si>
  <si>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</si>
  <si>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</si>
  <si>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</si>
  <si>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</si>
  <si>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</si>
  <si>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</si>
  <si>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</si>
  <si>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</si>
  <si>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</si>
  <si>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</si>
  <si>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</si>
  <si>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</si>
  <si>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</si>
  <si>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</si>
  <si>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</si>
  <si>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</si>
  <si>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</si>
  <si>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</si>
  <si>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</si>
  <si>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</si>
  <si>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</si>
  <si>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</si>
  <si>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</si>
  <si>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</si>
  <si>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</si>
  <si>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</si>
  <si>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</si>
  <si>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</si>
  <si>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</si>
  <si>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</si>
  <si>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</si>
  <si>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</si>
  <si>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</si>
  <si>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</si>
  <si>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</si>
  <si>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</si>
  <si>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</si>
  <si>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</si>
  <si>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</si>
  <si>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</si>
  <si>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</si>
  <si>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</si>
  <si>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</si>
  <si>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</si>
  <si>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</si>
  <si>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</si>
  <si>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</si>
  <si>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</si>
  <si>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</si>
  <si>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</si>
  <si>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</si>
  <si>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</si>
  <si>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</si>
  <si>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</si>
  <si>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</si>
  <si>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</si>
  <si>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</si>
  <si>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</si>
  <si>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</si>
  <si>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</si>
  <si>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</si>
  <si>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</si>
  <si>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</si>
  <si>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</si>
  <si>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</si>
  <si>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</si>
  <si>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</si>
  <si>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</si>
  <si>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</si>
  <si>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</si>
  <si>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</si>
  <si>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</si>
  <si>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</si>
  <si>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</si>
  <si>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</si>
  <si>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</si>
  <si>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</si>
  <si>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</si>
  <si>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</si>
  <si>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</si>
  <si>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</si>
  <si>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</si>
  <si>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</si>
  <si>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</si>
  <si>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</si>
  <si>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</si>
  <si>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</si>
  <si>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</si>
  <si>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</si>
  <si>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</si>
  <si>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</si>
  <si>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</si>
  <si>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</si>
  <si>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</si>
  <si>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</si>
  <si>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</si>
  <si>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</si>
  <si>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</si>
  <si>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</si>
  <si>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</si>
  <si>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</si>
  <si>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</si>
  <si>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</si>
  <si>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</si>
  <si>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</si>
  <si>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</si>
  <si>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</si>
  <si>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</si>
  <si>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</si>
  <si>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</si>
  <si>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</si>
  <si>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</si>
  <si>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</si>
  <si>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</si>
  <si>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</si>
  <si>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</si>
  <si>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</si>
  <si>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</si>
  <si>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</si>
  <si>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</si>
  <si>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</si>
  <si>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</si>
  <si>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</si>
  <si>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</si>
  <si>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</si>
  <si>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</si>
  <si>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</si>
  <si>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</si>
  <si>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</si>
  <si>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</si>
  <si>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</si>
  <si>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</si>
  <si>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</si>
  <si>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</si>
  <si>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</si>
  <si>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</si>
  <si>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</si>
  <si>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</si>
  <si>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</si>
  <si>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</si>
  <si>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</si>
  <si>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</si>
  <si>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</si>
  <si>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</si>
  <si>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</si>
  <si>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</si>
  <si>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</si>
  <si>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</si>
  <si>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</si>
  <si>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</si>
  <si>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</si>
  <si>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</si>
  <si>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</si>
  <si>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</si>
  <si>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</si>
  <si>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low cost</t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</si>
  <si>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</si>
  <si>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</si>
  <si>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t>CO recovery option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</si>
  <si>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</si>
  <si>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</si>
  <si>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</si>
  <si>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</si>
  <si>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</si>
  <si>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t>High capital cost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</si>
  <si>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</si>
  <si>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low coke consumption</t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</si>
  <si>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</si>
  <si>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</si>
  <si>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</si>
  <si>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</si>
  <si>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</si>
  <si>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</si>
  <si>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</si>
  <si>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</si>
  <si>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</si>
  <si>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</si>
  <si>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</si>
  <si>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</si>
  <si>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</si>
  <si>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</si>
  <si>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</si>
  <si>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</si>
  <si>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</si>
  <si>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</si>
  <si>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</si>
  <si>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</si>
  <si>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</si>
  <si>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</si>
  <si>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</si>
  <si>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</si>
  <si>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</si>
  <si>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</si>
  <si>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</si>
  <si>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</si>
  <si>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</si>
  <si>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</si>
  <si>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</si>
  <si>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</si>
  <si>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</si>
  <si>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</si>
  <si>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</si>
  <si>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</si>
  <si>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</si>
  <si>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</si>
  <si>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</si>
  <si>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</si>
  <si>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</si>
  <si>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</si>
  <si>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</si>
  <si>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</si>
  <si>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</si>
  <si>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</si>
  <si>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</si>
  <si>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</si>
  <si>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</si>
  <si>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</si>
  <si>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</si>
  <si>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</si>
  <si>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</si>
  <si>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</si>
  <si>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</si>
  <si>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</si>
  <si>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</si>
  <si>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</si>
  <si>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</si>
  <si>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</si>
  <si>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</si>
  <si>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</si>
  <si>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</si>
  <si>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</si>
  <si>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</si>
  <si>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</si>
  <si>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</si>
  <si>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</si>
  <si>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</si>
  <si>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</si>
  <si>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</si>
  <si>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</si>
  <si>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to report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</si>
  <si>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</si>
  <si>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</si>
  <si>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</si>
  <si>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</si>
  <si>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</si>
  <si>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</si>
  <si>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</si>
  <si>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</si>
  <si>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</si>
  <si>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</si>
  <si>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</si>
  <si>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</si>
  <si>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</si>
  <si>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</si>
  <si>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</si>
  <si>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</si>
  <si>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</si>
  <si>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</si>
  <si>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</si>
  <si>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</si>
  <si>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</si>
  <si>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</si>
  <si>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</si>
  <si>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</si>
  <si>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</si>
  <si>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</si>
  <si>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</si>
  <si>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</si>
  <si>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</si>
  <si>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</si>
  <si>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</si>
  <si>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</si>
  <si>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</si>
  <si>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</si>
  <si>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</si>
  <si>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</si>
  <si>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</si>
  <si>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</si>
  <si>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</si>
  <si>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</si>
  <si>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</si>
  <si>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</si>
  <si>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</si>
  <si>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</si>
  <si>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</si>
  <si>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</si>
  <si>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</si>
  <si>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</si>
  <si>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</si>
  <si>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</si>
  <si>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</si>
  <si>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</si>
  <si>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</si>
  <si>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</si>
  <si>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</si>
  <si>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</si>
  <si>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</si>
  <si>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</si>
  <si>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</si>
  <si>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</si>
  <si>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</si>
  <si>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</si>
  <si>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</si>
  <si>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MODEL tech assumptions for phase 1 of NZ: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</si>
  <si>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</si>
  <si>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</si>
  <si>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</si>
  <si>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</si>
  <si>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</si>
  <si>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</si>
  <si>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</si>
  <si>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</si>
  <si>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</si>
  <si>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</si>
  <si>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</si>
  <si>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</si>
  <si>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</si>
  <si>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</si>
  <si>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</si>
  <si>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</si>
  <si>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</si>
  <si>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</si>
  <si>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</si>
  <si>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</si>
  <si>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</si>
  <si>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</si>
  <si>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</si>
  <si>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</si>
  <si>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</si>
  <si>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</si>
  <si>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</si>
  <si>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</si>
  <si>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</si>
  <si>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</si>
  <si>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</si>
  <si>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</si>
  <si>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</si>
  <si>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</si>
  <si>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</si>
  <si>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</si>
  <si>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</si>
  <si>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</si>
  <si>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</si>
  <si>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</si>
  <si>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</si>
  <si>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</si>
  <si>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</si>
  <si>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</si>
  <si>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</si>
  <si>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</si>
  <si>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</si>
  <si>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</si>
  <si>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</si>
  <si>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</si>
  <si>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</si>
  <si>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</si>
  <si>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</si>
  <si>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</si>
  <si>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</si>
  <si>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</si>
  <si>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</si>
  <si>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</si>
  <si>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</si>
  <si>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</si>
  <si>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</si>
  <si>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</si>
  <si>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</si>
  <si>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</si>
  <si>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</si>
  <si>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</si>
  <si>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</si>
  <si>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</si>
  <si>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</si>
  <si>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</si>
  <si>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</si>
  <si>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</si>
  <si>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</si>
  <si>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</si>
  <si>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</si>
  <si>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</si>
  <si>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</si>
  <si>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</si>
  <si>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</si>
  <si>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</si>
  <si>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</si>
  <si>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</si>
  <si>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</si>
  <si>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</si>
  <si>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</si>
  <si>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</si>
  <si>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</si>
  <si>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</si>
  <si>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</si>
  <si>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</si>
  <si>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</si>
  <si>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</si>
  <si>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</si>
  <si>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</si>
  <si>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</si>
  <si>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</si>
  <si>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</si>
  <si>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</si>
  <si>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</si>
  <si>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</si>
  <si>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</si>
  <si>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</si>
  <si>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</si>
  <si>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</si>
  <si>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</si>
  <si>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</si>
  <si>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</si>
  <si>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</si>
  <si>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</si>
  <si>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</si>
  <si>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</si>
  <si>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</si>
  <si>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</si>
  <si>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</si>
  <si>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</si>
  <si>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</si>
  <si>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</si>
  <si>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</si>
  <si>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</si>
  <si>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</si>
  <si>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</si>
  <si>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</si>
  <si>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</si>
  <si>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</si>
  <si>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</si>
  <si>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</si>
  <si>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</si>
  <si>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</si>
  <si>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</si>
  <si>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</si>
  <si>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</si>
  <si>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</si>
  <si>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</si>
  <si>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</si>
  <si>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</si>
  <si>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</si>
  <si>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</si>
  <si>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</si>
  <si>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</si>
  <si>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</si>
  <si>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</si>
  <si>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</si>
  <si>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</si>
  <si>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</si>
  <si>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</si>
  <si>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</si>
  <si>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</si>
  <si>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</si>
  <si>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</si>
  <si>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</si>
  <si>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</si>
  <si>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</si>
  <si>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</si>
  <si>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</si>
  <si>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</si>
  <si>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</si>
  <si>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</si>
  <si>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</si>
  <si>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</si>
  <si>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</si>
  <si>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</si>
  <si>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</si>
  <si>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</si>
  <si>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</si>
  <si>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</si>
  <si>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</si>
  <si>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</si>
  <si>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</si>
  <si>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</si>
  <si>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</si>
  <si>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</si>
  <si>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</si>
  <si>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</si>
  <si>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</si>
  <si>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</si>
  <si>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</si>
  <si>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</si>
  <si>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</si>
  <si>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</si>
  <si>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</si>
  <si>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</si>
  <si>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</si>
  <si>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</si>
  <si>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</si>
  <si>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</si>
  <si>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</si>
  <si>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</si>
  <si>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</si>
  <si>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</si>
  <si>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</si>
  <si>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</si>
  <si>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</si>
  <si>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</si>
  <si>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</si>
  <si>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</si>
  <si>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</si>
  <si>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</si>
  <si>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</si>
  <si>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</si>
  <si>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</si>
  <si>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</si>
  <si>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</si>
  <si>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</si>
  <si>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</si>
  <si>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</si>
  <si>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</si>
  <si>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ACT_BND~LO~2017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</si>
</sst>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n">
        <color indexed="64"/>
      </left>
      <right style="medium">
        <color rgb="FF9CC2E4"/>
      </right>
      <top/>
      <bottom/>
      <diagonal/>
    </border>
    <border>
      <left/>
      <right style="medium">
        <color rgb="FF9CC2E4"/>
      </right>
      <top/>
      <bottom/>
      <diagonal/>
    </border>
    <border>
      <left style="thin">
        <color indexed="64"/>
      </left>
      <right style="medium">
        <color rgb="FF9CC2E4"/>
      </right>
      <top/>
      <bottom style="medium">
        <color rgb="FF9CC2E4"/>
      </bottom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 style="thin">
        <color indexed="64"/>
      </left>
      <right style="medium">
        <color rgb="FF9CC2E4"/>
      </right>
      <top style="medium">
        <color rgb="FF9CC2E4"/>
      </top>
      <bottom/>
      <diagonal/>
    </border>
    <border>
      <left style="thin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8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51" fillId="0" borderId="0"/>
    <xf numFmtId="0" fontId="60" fillId="0" borderId="0" applyNumberFormat="0" applyFill="0" applyBorder="0" applyAlignment="0" applyProtection="0"/>
    <xf numFmtId="16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2" fillId="0" borderId="0"/>
    <xf numFmtId="0" fontId="21" fillId="0" borderId="0"/>
    <xf numFmtId="0" fontId="2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21" fillId="0" borderId="0"/>
    <xf numFmtId="0" fontId="51" fillId="0" borderId="0"/>
    <xf numFmtId="0" fontId="83" fillId="0" borderId="0"/>
    <xf numFmtId="0" fontId="1" fillId="0" borderId="0"/>
    <xf numFmtId="0" fontId="8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85" fillId="0" borderId="0" applyFont="0" applyFill="0" applyBorder="0" applyAlignment="0" applyProtection="0"/>
    <xf numFmtId="0" fontId="8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4" fillId="16" borderId="16" applyNumberFormat="0" applyAlignment="0" applyProtection="0"/>
    <xf numFmtId="0" fontId="46" fillId="5" borderId="16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75" fillId="17" borderId="0" applyNumberFormat="0" applyBorder="0" applyAlignment="0" applyProtection="0"/>
    <xf numFmtId="43" fontId="1" fillId="0" borderId="0" applyFont="0" applyFill="0" applyBorder="0" applyAlignment="0" applyProtection="0"/>
    <xf numFmtId="0" fontId="88" fillId="15" borderId="0" applyNumberFormat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  <xf numFmtId="0" fontId="87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</cellStyleXfs>
  <cellXfs count="333">
    <xf numFmtId="0" fontId="0" fillId="0" borderId="0" xfId="0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/>
    <xf numFmtId="0" fontId="17" fillId="0" borderId="0" xfId="1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9" fillId="0" borderId="0" xfId="1" applyFont="1"/>
    <xf numFmtId="0" fontId="26" fillId="0" borderId="0" xfId="1" applyFont="1"/>
    <xf numFmtId="0" fontId="27" fillId="0" borderId="0" xfId="1" applyFont="1"/>
    <xf numFmtId="49" fontId="26" fillId="0" borderId="0" xfId="0" applyNumberFormat="1" applyFont="1" applyAlignment="1">
      <alignment horizontal="left"/>
    </xf>
    <xf numFmtId="0" fontId="28" fillId="0" borderId="0" xfId="1" applyFont="1"/>
    <xf numFmtId="0" fontId="22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wrapText="1"/>
    </xf>
    <xf numFmtId="0" fontId="24" fillId="0" borderId="0" xfId="0" applyFont="1"/>
    <xf numFmtId="0" fontId="27" fillId="3" borderId="0" xfId="0" applyFont="1" applyFill="1"/>
    <xf numFmtId="0" fontId="27" fillId="3" borderId="0" xfId="1" applyFont="1" applyFill="1"/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1" fillId="0" borderId="0" xfId="3" applyFont="1"/>
    <xf numFmtId="0" fontId="18" fillId="0" borderId="0" xfId="3" applyFont="1"/>
    <xf numFmtId="0" fontId="18" fillId="0" borderId="0" xfId="2" applyFont="1" applyAlignment="1">
      <alignment horizontal="center"/>
    </xf>
    <xf numFmtId="0" fontId="18" fillId="0" borderId="0" xfId="2" applyFont="1"/>
    <xf numFmtId="0" fontId="21" fillId="0" borderId="0" xfId="3"/>
    <xf numFmtId="0" fontId="33" fillId="0" borderId="0" xfId="1" applyFont="1"/>
    <xf numFmtId="0" fontId="34" fillId="0" borderId="0" xfId="2" applyFont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18" fillId="0" borderId="0" xfId="2" applyFont="1" applyAlignment="1">
      <alignment horizontal="right"/>
    </xf>
    <xf numFmtId="0" fontId="27" fillId="0" borderId="0" xfId="2" applyFont="1"/>
    <xf numFmtId="0" fontId="13" fillId="0" borderId="0" xfId="12"/>
    <xf numFmtId="0" fontId="30" fillId="0" borderId="0" xfId="12" applyFont="1"/>
    <xf numFmtId="0" fontId="13" fillId="0" borderId="5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14" xfId="12" applyBorder="1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5" xfId="12" applyBorder="1"/>
    <xf numFmtId="0" fontId="13" fillId="0" borderId="15" xfId="12" applyBorder="1" applyAlignment="1">
      <alignment horizontal="center"/>
    </xf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12" fillId="0" borderId="5" xfId="12" applyFont="1" applyBorder="1" applyAlignment="1">
      <alignment horizontal="center" textRotation="90"/>
    </xf>
    <xf numFmtId="167" fontId="18" fillId="0" borderId="0" xfId="2" applyNumberFormat="1" applyFont="1"/>
    <xf numFmtId="0" fontId="43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2" fontId="18" fillId="0" borderId="0" xfId="0" applyNumberFormat="1" applyFont="1"/>
    <xf numFmtId="0" fontId="27" fillId="0" borderId="0" xfId="2" applyFont="1" applyAlignment="1">
      <alignment wrapText="1"/>
    </xf>
    <xf numFmtId="168" fontId="0" fillId="0" borderId="3" xfId="18" applyNumberFormat="1" applyFont="1" applyBorder="1"/>
    <xf numFmtId="0" fontId="18" fillId="0" borderId="0" xfId="2" applyFont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166" fontId="18" fillId="0" borderId="0" xfId="0" applyNumberFormat="1" applyFont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165" fontId="21" fillId="0" borderId="2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9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48" fillId="6" borderId="20" xfId="0" applyFont="1" applyFill="1" applyBorder="1" applyAlignment="1">
      <alignment horizontal="center" vertical="center"/>
    </xf>
    <xf numFmtId="0" fontId="48" fillId="6" borderId="21" xfId="0" applyFont="1" applyFill="1" applyBorder="1" applyAlignment="1">
      <alignment horizontal="center" vertical="center"/>
    </xf>
    <xf numFmtId="0" fontId="47" fillId="0" borderId="22" xfId="0" applyFont="1" applyBorder="1" applyAlignment="1">
      <alignment vertical="center"/>
    </xf>
    <xf numFmtId="0" fontId="47" fillId="0" borderId="23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47" fillId="0" borderId="24" xfId="0" applyFont="1" applyBorder="1" applyAlignment="1">
      <alignment vertical="center"/>
    </xf>
    <xf numFmtId="0" fontId="21" fillId="0" borderId="13" xfId="0" applyFont="1" applyBorder="1"/>
    <xf numFmtId="2" fontId="45" fillId="4" borderId="11" xfId="21" applyNumberFormat="1" applyBorder="1"/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6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8" fillId="0" borderId="0" xfId="0" applyNumberFormat="1" applyFont="1"/>
    <xf numFmtId="0" fontId="18" fillId="0" borderId="0" xfId="0" applyFont="1" applyAlignment="1">
      <alignment horizontal="left" wrapText="1"/>
    </xf>
    <xf numFmtId="0" fontId="45" fillId="4" borderId="0" xfId="21" applyAlignment="1">
      <alignment horizontal="center"/>
    </xf>
    <xf numFmtId="0" fontId="45" fillId="4" borderId="0" xfId="21"/>
    <xf numFmtId="0" fontId="5" fillId="0" borderId="9" xfId="12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5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2" fillId="0" borderId="0" xfId="23" applyFont="1"/>
    <xf numFmtId="0" fontId="51" fillId="0" borderId="0" xfId="23"/>
    <xf numFmtId="0" fontId="51" fillId="0" borderId="1" xfId="23" applyBorder="1"/>
    <xf numFmtId="0" fontId="51" fillId="0" borderId="2" xfId="23" applyBorder="1"/>
    <xf numFmtId="0" fontId="51" fillId="0" borderId="3" xfId="23" applyBorder="1"/>
    <xf numFmtId="0" fontId="55" fillId="7" borderId="26" xfId="23" applyFont="1" applyFill="1" applyBorder="1" applyAlignment="1">
      <alignment horizontal="left" vertical="center" wrapText="1" indent="2"/>
    </xf>
    <xf numFmtId="0" fontId="51" fillId="0" borderId="5" xfId="23" applyBorder="1"/>
    <xf numFmtId="0" fontId="55" fillId="7" borderId="28" xfId="23" applyFont="1" applyFill="1" applyBorder="1" applyAlignment="1">
      <alignment horizontal="left" vertical="center" wrapText="1" indent="2"/>
    </xf>
    <xf numFmtId="0" fontId="55" fillId="0" borderId="26" xfId="23" applyFont="1" applyBorder="1" applyAlignment="1">
      <alignment horizontal="left" vertical="center" wrapText="1" indent="2"/>
    </xf>
    <xf numFmtId="0" fontId="55" fillId="0" borderId="28" xfId="23" applyFont="1" applyBorder="1" applyAlignment="1">
      <alignment horizontal="left" vertical="center" wrapText="1" indent="2"/>
    </xf>
    <xf numFmtId="0" fontId="51" fillId="0" borderId="4" xfId="23" applyBorder="1"/>
    <xf numFmtId="0" fontId="59" fillId="8" borderId="4" xfId="23" applyFont="1" applyFill="1" applyBorder="1" applyAlignment="1">
      <alignment horizontal="center" vertical="center" wrapText="1"/>
    </xf>
    <xf numFmtId="0" fontId="60" fillId="0" borderId="1" xfId="24" applyBorder="1"/>
    <xf numFmtId="0" fontId="54" fillId="9" borderId="30" xfId="23" applyFont="1" applyFill="1" applyBorder="1" applyAlignment="1">
      <alignment horizontal="center" vertical="center" wrapText="1"/>
    </xf>
    <xf numFmtId="0" fontId="57" fillId="9" borderId="31" xfId="23" applyFont="1" applyFill="1" applyBorder="1" applyAlignment="1">
      <alignment horizontal="center" vertical="center" wrapText="1"/>
    </xf>
    <xf numFmtId="0" fontId="53" fillId="0" borderId="32" xfId="23" applyFont="1" applyBorder="1" applyAlignment="1">
      <alignment horizontal="center" vertical="center" wrapText="1"/>
    </xf>
    <xf numFmtId="0" fontId="51" fillId="3" borderId="0" xfId="23" applyFill="1"/>
    <xf numFmtId="0" fontId="58" fillId="0" borderId="30" xfId="23" applyFont="1" applyBorder="1" applyAlignment="1">
      <alignment horizontal="center" vertical="center" wrapText="1"/>
    </xf>
    <xf numFmtId="9" fontId="51" fillId="0" borderId="0" xfId="23" applyNumberFormat="1"/>
    <xf numFmtId="0" fontId="60" fillId="0" borderId="0" xfId="24"/>
    <xf numFmtId="0" fontId="51" fillId="0" borderId="6" xfId="23" applyBorder="1"/>
    <xf numFmtId="0" fontId="51" fillId="0" borderId="7" xfId="23" applyBorder="1"/>
    <xf numFmtId="0" fontId="51" fillId="0" borderId="8" xfId="23" applyBorder="1"/>
    <xf numFmtId="0" fontId="53" fillId="0" borderId="30" xfId="23" applyFont="1" applyBorder="1" applyAlignment="1">
      <alignment horizontal="center" vertical="center" wrapText="1"/>
    </xf>
    <xf numFmtId="0" fontId="58" fillId="0" borderId="31" xfId="23" applyFont="1" applyBorder="1" applyAlignment="1">
      <alignment horizontal="center" vertical="center" wrapText="1"/>
    </xf>
    <xf numFmtId="0" fontId="60" fillId="0" borderId="4" xfId="24" applyBorder="1"/>
    <xf numFmtId="0" fontId="54" fillId="9" borderId="35" xfId="23" applyFont="1" applyFill="1" applyBorder="1" applyAlignment="1">
      <alignment horizontal="center" vertical="center" wrapText="1"/>
    </xf>
    <xf numFmtId="0" fontId="57" fillId="9" borderId="7" xfId="23" applyFont="1" applyFill="1" applyBorder="1" applyAlignment="1">
      <alignment horizontal="center" vertical="center" wrapText="1"/>
    </xf>
    <xf numFmtId="169" fontId="61" fillId="0" borderId="0" xfId="25" applyFont="1"/>
    <xf numFmtId="170" fontId="61" fillId="0" borderId="0" xfId="25" applyNumberFormat="1" applyFont="1"/>
    <xf numFmtId="0" fontId="61" fillId="0" borderId="0" xfId="23" applyFont="1"/>
    <xf numFmtId="170" fontId="51" fillId="0" borderId="0" xfId="23" applyNumberFormat="1"/>
    <xf numFmtId="171" fontId="51" fillId="0" borderId="0" xfId="23" applyNumberFormat="1"/>
    <xf numFmtId="1" fontId="51" fillId="0" borderId="0" xfId="23" applyNumberFormat="1"/>
    <xf numFmtId="0" fontId="61" fillId="0" borderId="4" xfId="23" applyFont="1" applyBorder="1"/>
    <xf numFmtId="0" fontId="61" fillId="3" borderId="0" xfId="23" applyFont="1" applyFill="1"/>
    <xf numFmtId="0" fontId="51" fillId="0" borderId="10" xfId="23" applyBorder="1"/>
    <xf numFmtId="0" fontId="61" fillId="0" borderId="10" xfId="23" applyFont="1" applyBorder="1"/>
    <xf numFmtId="0" fontId="62" fillId="0" borderId="10" xfId="23" applyFont="1" applyBorder="1"/>
    <xf numFmtId="2" fontId="62" fillId="0" borderId="10" xfId="23" applyNumberFormat="1" applyFont="1" applyBorder="1"/>
    <xf numFmtId="2" fontId="61" fillId="0" borderId="10" xfId="23" applyNumberFormat="1" applyFont="1" applyBorder="1"/>
    <xf numFmtId="2" fontId="51" fillId="0" borderId="10" xfId="23" applyNumberFormat="1" applyBorder="1"/>
    <xf numFmtId="9" fontId="51" fillId="0" borderId="10" xfId="23" applyNumberFormat="1" applyBorder="1"/>
    <xf numFmtId="9" fontId="51" fillId="3" borderId="10" xfId="23" applyNumberFormat="1" applyFill="1" applyBorder="1"/>
    <xf numFmtId="9" fontId="51" fillId="3" borderId="0" xfId="23" applyNumberFormat="1" applyFill="1"/>
    <xf numFmtId="0" fontId="61" fillId="0" borderId="0" xfId="23" applyFont="1" applyAlignment="1">
      <alignment horizontal="right"/>
    </xf>
    <xf numFmtId="0" fontId="51" fillId="0" borderId="0" xfId="23" applyAlignment="1">
      <alignment horizontal="right"/>
    </xf>
    <xf numFmtId="171" fontId="51" fillId="0" borderId="4" xfId="23" applyNumberFormat="1" applyBorder="1"/>
    <xf numFmtId="2" fontId="51" fillId="0" borderId="0" xfId="23" applyNumberFormat="1"/>
    <xf numFmtId="2" fontId="51" fillId="0" borderId="4" xfId="23" applyNumberFormat="1" applyBorder="1"/>
    <xf numFmtId="2" fontId="51" fillId="0" borderId="6" xfId="23" applyNumberFormat="1" applyBorder="1"/>
    <xf numFmtId="0" fontId="61" fillId="0" borderId="0" xfId="23" applyFont="1" applyAlignment="1">
      <alignment horizontal="left"/>
    </xf>
    <xf numFmtId="43" fontId="51" fillId="0" borderId="0" xfId="23" applyNumberFormat="1"/>
    <xf numFmtId="2" fontId="63" fillId="0" borderId="0" xfId="23" applyNumberFormat="1" applyFont="1"/>
    <xf numFmtId="0" fontId="63" fillId="0" borderId="0" xfId="23" applyFont="1"/>
    <xf numFmtId="0" fontId="51" fillId="10" borderId="0" xfId="23" applyFill="1"/>
    <xf numFmtId="165" fontId="51" fillId="0" borderId="10" xfId="23" applyNumberFormat="1" applyBorder="1"/>
    <xf numFmtId="171" fontId="51" fillId="0" borderId="10" xfId="23" applyNumberFormat="1" applyBorder="1"/>
    <xf numFmtId="0" fontId="63" fillId="0" borderId="4" xfId="23" applyFont="1" applyBorder="1"/>
    <xf numFmtId="0" fontId="64" fillId="0" borderId="0" xfId="23" applyFont="1"/>
    <xf numFmtId="9" fontId="0" fillId="0" borderId="0" xfId="26" applyFont="1"/>
    <xf numFmtId="172" fontId="51" fillId="0" borderId="0" xfId="23" applyNumberFormat="1"/>
    <xf numFmtId="9" fontId="51" fillId="0" borderId="1" xfId="23" applyNumberFormat="1" applyBorder="1"/>
    <xf numFmtId="9" fontId="51" fillId="0" borderId="4" xfId="23" applyNumberFormat="1" applyBorder="1"/>
    <xf numFmtId="9" fontId="51" fillId="0" borderId="6" xfId="23" applyNumberFormat="1" applyBorder="1"/>
    <xf numFmtId="2" fontId="61" fillId="0" borderId="0" xfId="23" applyNumberFormat="1" applyFont="1"/>
    <xf numFmtId="172" fontId="61" fillId="0" borderId="0" xfId="23" applyNumberFormat="1" applyFont="1"/>
    <xf numFmtId="165" fontId="51" fillId="0" borderId="0" xfId="23" applyNumberFormat="1"/>
    <xf numFmtId="170" fontId="0" fillId="0" borderId="0" xfId="25" applyNumberFormat="1" applyFont="1"/>
    <xf numFmtId="0" fontId="65" fillId="0" borderId="0" xfId="23" applyFont="1"/>
    <xf numFmtId="0" fontId="61" fillId="0" borderId="1" xfId="23" applyFont="1" applyBorder="1"/>
    <xf numFmtId="0" fontId="61" fillId="0" borderId="2" xfId="23" applyFont="1" applyBorder="1"/>
    <xf numFmtId="170" fontId="0" fillId="0" borderId="0" xfId="25" applyNumberFormat="1" applyFont="1" applyBorder="1"/>
    <xf numFmtId="0" fontId="51" fillId="0" borderId="2" xfId="23" applyBorder="1" applyAlignment="1">
      <alignment wrapText="1"/>
    </xf>
    <xf numFmtId="0" fontId="66" fillId="11" borderId="36" xfId="23" applyFont="1" applyFill="1" applyBorder="1" applyAlignment="1">
      <alignment horizontal="left" vertical="top" wrapText="1" indent="1"/>
    </xf>
    <xf numFmtId="0" fontId="66" fillId="11" borderId="37" xfId="23" applyFont="1" applyFill="1" applyBorder="1" applyAlignment="1">
      <alignment horizontal="center" vertical="top" wrapText="1"/>
    </xf>
    <xf numFmtId="0" fontId="67" fillId="11" borderId="1" xfId="23" applyFont="1" applyFill="1" applyBorder="1" applyAlignment="1">
      <alignment horizontal="left" wrapText="1"/>
    </xf>
    <xf numFmtId="0" fontId="67" fillId="12" borderId="4" xfId="23" applyFont="1" applyFill="1" applyBorder="1" applyAlignment="1">
      <alignment horizontal="left" vertical="center" wrapText="1"/>
    </xf>
    <xf numFmtId="0" fontId="67" fillId="12" borderId="0" xfId="23" applyFont="1" applyFill="1" applyAlignment="1">
      <alignment horizontal="left" vertical="center" wrapText="1"/>
    </xf>
    <xf numFmtId="0" fontId="66" fillId="12" borderId="4" xfId="23" applyFont="1" applyFill="1" applyBorder="1" applyAlignment="1">
      <alignment horizontal="center" vertical="top" wrapText="1"/>
    </xf>
    <xf numFmtId="0" fontId="66" fillId="12" borderId="0" xfId="23" applyFont="1" applyFill="1" applyAlignment="1">
      <alignment horizontal="center" vertical="top" wrapText="1"/>
    </xf>
    <xf numFmtId="0" fontId="66" fillId="12" borderId="5" xfId="23" applyFont="1" applyFill="1" applyBorder="1" applyAlignment="1">
      <alignment horizontal="center" vertical="top" wrapText="1"/>
    </xf>
    <xf numFmtId="0" fontId="66" fillId="12" borderId="0" xfId="23" applyFont="1" applyFill="1" applyAlignment="1">
      <alignment horizontal="left" vertical="top" wrapText="1" indent="1"/>
    </xf>
    <xf numFmtId="0" fontId="67" fillId="12" borderId="38" xfId="23" applyFont="1" applyFill="1" applyBorder="1" applyAlignment="1">
      <alignment horizontal="left" wrapText="1"/>
    </xf>
    <xf numFmtId="0" fontId="66" fillId="12" borderId="39" xfId="23" applyFont="1" applyFill="1" applyBorder="1" applyAlignment="1">
      <alignment horizontal="center" vertical="top" wrapText="1"/>
    </xf>
    <xf numFmtId="0" fontId="66" fillId="12" borderId="38" xfId="23" applyFont="1" applyFill="1" applyBorder="1" applyAlignment="1">
      <alignment horizontal="center" vertical="top" wrapText="1"/>
    </xf>
    <xf numFmtId="0" fontId="66" fillId="12" borderId="40" xfId="23" applyFont="1" applyFill="1" applyBorder="1" applyAlignment="1">
      <alignment horizontal="center" vertical="top" wrapText="1"/>
    </xf>
    <xf numFmtId="0" fontId="66" fillId="12" borderId="39" xfId="23" applyFont="1" applyFill="1" applyBorder="1" applyAlignment="1">
      <alignment horizontal="left" vertical="top" wrapText="1" indent="2"/>
    </xf>
    <xf numFmtId="1" fontId="66" fillId="0" borderId="36" xfId="23" applyNumberFormat="1" applyFont="1" applyBorder="1" applyAlignment="1">
      <alignment horizontal="left" vertical="top" indent="1" shrinkToFit="1"/>
    </xf>
    <xf numFmtId="0" fontId="66" fillId="0" borderId="37" xfId="23" applyFont="1" applyBorder="1" applyAlignment="1">
      <alignment horizontal="center" vertical="top" wrapText="1"/>
    </xf>
    <xf numFmtId="1" fontId="66" fillId="0" borderId="36" xfId="23" applyNumberFormat="1" applyFont="1" applyBorder="1" applyAlignment="1">
      <alignment horizontal="center" vertical="top" shrinkToFit="1"/>
    </xf>
    <xf numFmtId="0" fontId="66" fillId="0" borderId="41" xfId="23" applyFont="1" applyBorder="1" applyAlignment="1">
      <alignment horizontal="center" vertical="top" wrapText="1"/>
    </xf>
    <xf numFmtId="0" fontId="66" fillId="0" borderId="37" xfId="23" applyFont="1" applyBorder="1" applyAlignment="1">
      <alignment horizontal="left" vertical="top" wrapText="1" indent="1"/>
    </xf>
    <xf numFmtId="0" fontId="66" fillId="0" borderId="37" xfId="23" applyFont="1" applyBorder="1" applyAlignment="1">
      <alignment horizontal="right" vertical="top" wrapText="1" indent="1"/>
    </xf>
    <xf numFmtId="0" fontId="66" fillId="0" borderId="37" xfId="23" applyFont="1" applyBorder="1" applyAlignment="1">
      <alignment horizontal="left" vertical="top" wrapText="1" indent="2"/>
    </xf>
    <xf numFmtId="1" fontId="66" fillId="0" borderId="4" xfId="23" applyNumberFormat="1" applyFont="1" applyBorder="1" applyAlignment="1">
      <alignment horizontal="left" vertical="top" indent="1" shrinkToFit="1"/>
    </xf>
    <xf numFmtId="0" fontId="66" fillId="0" borderId="0" xfId="23" applyFont="1" applyAlignment="1">
      <alignment horizontal="center" vertical="top" wrapText="1"/>
    </xf>
    <xf numFmtId="1" fontId="66" fillId="0" borderId="4" xfId="23" applyNumberFormat="1" applyFont="1" applyBorder="1" applyAlignment="1">
      <alignment horizontal="center" vertical="top" shrinkToFit="1"/>
    </xf>
    <xf numFmtId="0" fontId="66" fillId="0" borderId="5" xfId="23" applyFont="1" applyBorder="1" applyAlignment="1">
      <alignment horizontal="center" vertical="top" wrapText="1"/>
    </xf>
    <xf numFmtId="0" fontId="66" fillId="0" borderId="0" xfId="23" applyFont="1" applyAlignment="1">
      <alignment horizontal="left" vertical="top" wrapText="1" indent="1"/>
    </xf>
    <xf numFmtId="0" fontId="66" fillId="0" borderId="0" xfId="23" applyFont="1" applyAlignment="1">
      <alignment horizontal="right" vertical="top" wrapText="1" indent="1"/>
    </xf>
    <xf numFmtId="0" fontId="66" fillId="0" borderId="0" xfId="23" applyFont="1" applyAlignment="1">
      <alignment horizontal="left" vertical="top" wrapText="1" indent="2"/>
    </xf>
    <xf numFmtId="1" fontId="66" fillId="0" borderId="38" xfId="23" applyNumberFormat="1" applyFont="1" applyBorder="1" applyAlignment="1">
      <alignment horizontal="left" vertical="top" indent="1" shrinkToFit="1"/>
    </xf>
    <xf numFmtId="0" fontId="66" fillId="0" borderId="39" xfId="23" applyFont="1" applyBorder="1" applyAlignment="1">
      <alignment horizontal="center" vertical="top" wrapText="1"/>
    </xf>
    <xf numFmtId="1" fontId="66" fillId="0" borderId="6" xfId="23" applyNumberFormat="1" applyFont="1" applyBorder="1" applyAlignment="1">
      <alignment horizontal="center" vertical="top" shrinkToFit="1"/>
    </xf>
    <xf numFmtId="0" fontId="66" fillId="0" borderId="7" xfId="23" applyFont="1" applyBorder="1" applyAlignment="1">
      <alignment horizontal="center" vertical="top" wrapText="1"/>
    </xf>
    <xf numFmtId="0" fontId="66" fillId="0" borderId="8" xfId="23" applyFont="1" applyBorder="1" applyAlignment="1">
      <alignment horizontal="center" vertical="top" wrapText="1"/>
    </xf>
    <xf numFmtId="0" fontId="66" fillId="0" borderId="39" xfId="23" applyFont="1" applyBorder="1" applyAlignment="1">
      <alignment horizontal="left" vertical="top" wrapText="1" indent="1"/>
    </xf>
    <xf numFmtId="0" fontId="66" fillId="0" borderId="39" xfId="23" applyFont="1" applyBorder="1" applyAlignment="1">
      <alignment horizontal="right" vertical="top" wrapText="1" indent="1"/>
    </xf>
    <xf numFmtId="0" fontId="4" fillId="0" borderId="5" xfId="12" applyFont="1" applyBorder="1" applyAlignment="1">
      <alignment horizontal="center" textRotation="90"/>
    </xf>
    <xf numFmtId="0" fontId="0" fillId="13" borderId="0" xfId="0" applyFill="1"/>
    <xf numFmtId="0" fontId="21" fillId="13" borderId="0" xfId="0" applyFont="1" applyFill="1"/>
    <xf numFmtId="0" fontId="0" fillId="14" borderId="0" xfId="0" applyFill="1"/>
    <xf numFmtId="0" fontId="21" fillId="14" borderId="0" xfId="0" applyFont="1" applyFill="1"/>
    <xf numFmtId="0" fontId="68" fillId="14" borderId="0" xfId="0" applyFont="1" applyFill="1"/>
    <xf numFmtId="0" fontId="69" fillId="14" borderId="0" xfId="0" applyFont="1" applyFill="1" applyAlignment="1">
      <alignment horizontal="center"/>
    </xf>
    <xf numFmtId="0" fontId="2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5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68" fillId="0" borderId="0" xfId="0" applyFont="1"/>
    <xf numFmtId="2" fontId="45" fillId="4" borderId="0" xfId="21" applyNumberFormat="1" applyAlignment="1">
      <alignment horizontal="center"/>
    </xf>
    <xf numFmtId="0" fontId="59" fillId="8" borderId="0" xfId="23" applyFont="1" applyFill="1" applyAlignment="1">
      <alignment horizontal="left" vertical="center" wrapText="1" indent="4"/>
    </xf>
    <xf numFmtId="0" fontId="70" fillId="0" borderId="1" xfId="23" applyFont="1" applyBorder="1"/>
    <xf numFmtId="0" fontId="70" fillId="0" borderId="2" xfId="23" applyFont="1" applyBorder="1"/>
    <xf numFmtId="0" fontId="71" fillId="8" borderId="0" xfId="23" applyFont="1" applyFill="1" applyAlignment="1">
      <alignment horizontal="center" vertical="center" wrapText="1"/>
    </xf>
    <xf numFmtId="166" fontId="57" fillId="9" borderId="31" xfId="23" applyNumberFormat="1" applyFont="1" applyFill="1" applyBorder="1" applyAlignment="1">
      <alignment horizontal="center" vertical="center" wrapText="1"/>
    </xf>
    <xf numFmtId="0" fontId="73" fillId="0" borderId="34" xfId="23" applyFont="1" applyBorder="1" applyAlignment="1">
      <alignment horizontal="center" vertical="center" wrapText="1"/>
    </xf>
    <xf numFmtId="0" fontId="3" fillId="0" borderId="5" xfId="12" applyFont="1" applyBorder="1" applyAlignment="1">
      <alignment horizontal="center" textRotation="90"/>
    </xf>
    <xf numFmtId="15" fontId="0" fillId="0" borderId="0" xfId="0" applyNumberFormat="1"/>
    <xf numFmtId="0" fontId="2" fillId="0" borderId="0" xfId="27"/>
    <xf numFmtId="0" fontId="2" fillId="0" borderId="5" xfId="27" applyBorder="1" applyAlignment="1">
      <alignment horizontal="center"/>
    </xf>
    <xf numFmtId="0" fontId="2" fillId="0" borderId="14" xfId="27" applyBorder="1" applyAlignment="1">
      <alignment horizontal="center"/>
    </xf>
    <xf numFmtId="0" fontId="2" fillId="0" borderId="0" xfId="27" applyAlignment="1">
      <alignment horizontal="center"/>
    </xf>
    <xf numFmtId="0" fontId="2" fillId="0" borderId="4" xfId="27" applyBorder="1" applyAlignment="1">
      <alignment horizontal="center"/>
    </xf>
    <xf numFmtId="0" fontId="37" fillId="0" borderId="0" xfId="27" applyFont="1"/>
    <xf numFmtId="0" fontId="2" fillId="0" borderId="9" xfId="27" applyBorder="1" applyAlignment="1">
      <alignment horizontal="center"/>
    </xf>
    <xf numFmtId="0" fontId="2" fillId="0" borderId="14" xfId="27" applyBorder="1"/>
    <xf numFmtId="0" fontId="2" fillId="0" borderId="12" xfId="27" applyBorder="1" applyAlignment="1">
      <alignment horizontal="center"/>
    </xf>
    <xf numFmtId="0" fontId="2" fillId="0" borderId="13" xfId="27" applyBorder="1" applyAlignment="1">
      <alignment horizontal="center"/>
    </xf>
    <xf numFmtId="0" fontId="2" fillId="0" borderId="10" xfId="27" applyBorder="1" applyAlignment="1">
      <alignment horizontal="center"/>
    </xf>
    <xf numFmtId="0" fontId="39" fillId="0" borderId="0" xfId="27" applyFont="1"/>
    <xf numFmtId="0" fontId="2" fillId="0" borderId="3" xfId="27" applyBorder="1" applyAlignment="1">
      <alignment horizontal="center"/>
    </xf>
    <xf numFmtId="0" fontId="2" fillId="0" borderId="1" xfId="27" applyBorder="1" applyAlignment="1">
      <alignment horizontal="center"/>
    </xf>
    <xf numFmtId="0" fontId="36" fillId="0" borderId="14" xfId="27" applyFont="1" applyBorder="1" applyAlignment="1">
      <alignment horizontal="center"/>
    </xf>
    <xf numFmtId="0" fontId="2" fillId="0" borderId="8" xfId="27" applyBorder="1" applyAlignment="1">
      <alignment horizontal="center"/>
    </xf>
    <xf numFmtId="0" fontId="2" fillId="0" borderId="6" xfId="27" applyBorder="1" applyAlignment="1">
      <alignment horizontal="center"/>
    </xf>
    <xf numFmtId="0" fontId="39" fillId="0" borderId="15" xfId="27" applyFont="1" applyBorder="1" applyAlignment="1">
      <alignment horizontal="center"/>
    </xf>
    <xf numFmtId="0" fontId="30" fillId="0" borderId="0" xfId="27" applyFont="1"/>
    <xf numFmtId="0" fontId="36" fillId="0" borderId="0" xfId="27" applyFont="1"/>
    <xf numFmtId="0" fontId="2" fillId="0" borderId="4" xfId="27" applyBorder="1"/>
    <xf numFmtId="0" fontId="2" fillId="0" borderId="15" xfId="27" applyBorder="1" applyAlignment="1">
      <alignment horizontal="center"/>
    </xf>
    <xf numFmtId="0" fontId="38" fillId="0" borderId="0" xfId="27" applyFont="1"/>
    <xf numFmtId="0" fontId="40" fillId="0" borderId="0" xfId="27" applyFont="1"/>
    <xf numFmtId="0" fontId="2" fillId="0" borderId="5" xfId="27" applyBorder="1"/>
    <xf numFmtId="0" fontId="2" fillId="0" borderId="5" xfId="27" applyBorder="1" applyAlignment="1">
      <alignment horizontal="center" textRotation="90"/>
    </xf>
    <xf numFmtId="0" fontId="2" fillId="0" borderId="0" xfId="27" applyAlignment="1">
      <alignment horizontal="center" textRotation="90"/>
    </xf>
    <xf numFmtId="0" fontId="2" fillId="0" borderId="4" xfId="27" applyBorder="1" applyAlignment="1">
      <alignment horizontal="center" textRotation="90"/>
    </xf>
    <xf numFmtId="0" fontId="76" fillId="0" borderId="0" xfId="5" applyFont="1"/>
    <xf numFmtId="0" fontId="21" fillId="0" borderId="0" xfId="2"/>
    <xf numFmtId="0" fontId="77" fillId="0" borderId="0" xfId="5" applyFont="1"/>
    <xf numFmtId="0" fontId="78" fillId="19" borderId="0" xfId="2" applyFont="1" applyFill="1"/>
    <xf numFmtId="0" fontId="79" fillId="19" borderId="0" xfId="2" applyFont="1" applyFill="1"/>
    <xf numFmtId="0" fontId="80" fillId="0" borderId="0" xfId="2" applyFont="1"/>
    <xf numFmtId="0" fontId="15" fillId="20" borderId="2" xfId="2" applyFont="1" applyFill="1" applyBorder="1"/>
    <xf numFmtId="0" fontId="15" fillId="20" borderId="11" xfId="2" applyFont="1" applyFill="1" applyBorder="1"/>
    <xf numFmtId="0" fontId="15" fillId="20" borderId="2" xfId="2" applyFont="1" applyFill="1" applyBorder="1" applyAlignment="1">
      <alignment horizontal="left"/>
    </xf>
    <xf numFmtId="0" fontId="21" fillId="21" borderId="42" xfId="28" applyFill="1" applyBorder="1" applyAlignment="1">
      <alignment horizontal="left" wrapText="1"/>
    </xf>
    <xf numFmtId="0" fontId="21" fillId="21" borderId="43" xfId="28" applyFill="1" applyBorder="1" applyAlignment="1">
      <alignment horizontal="left" wrapText="1"/>
    </xf>
    <xf numFmtId="0" fontId="21" fillId="2" borderId="0" xfId="2" applyFill="1"/>
    <xf numFmtId="0" fontId="21" fillId="0" borderId="0" xfId="28"/>
    <xf numFmtId="0" fontId="81" fillId="0" borderId="0" xfId="28" applyFont="1"/>
    <xf numFmtId="0" fontId="82" fillId="0" borderId="0" xfId="28" applyFont="1"/>
    <xf numFmtId="0" fontId="78" fillId="19" borderId="0" xfId="28" applyFont="1" applyFill="1"/>
    <xf numFmtId="0" fontId="80" fillId="0" borderId="0" xfId="28" applyFont="1"/>
    <xf numFmtId="0" fontId="15" fillId="20" borderId="11" xfId="28" applyFont="1" applyFill="1" applyBorder="1"/>
    <xf numFmtId="0" fontId="21" fillId="2" borderId="0" xfId="28" applyFill="1"/>
    <xf numFmtId="0" fontId="18" fillId="0" borderId="0" xfId="2" applyFont="1" applyAlignment="1">
      <alignment horizontal="center" wrapText="1"/>
    </xf>
    <xf numFmtId="0" fontId="17" fillId="0" borderId="0" xfId="2" applyFont="1"/>
    <xf numFmtId="0" fontId="89" fillId="0" borderId="0" xfId="1" applyFont="1"/>
    <xf numFmtId="167" fontId="18" fillId="0" borderId="0" xfId="0" applyNumberFormat="1" applyFont="1"/>
    <xf numFmtId="0" fontId="73" fillId="0" borderId="33" xfId="23" applyFont="1" applyBorder="1" applyAlignment="1">
      <alignment horizontal="center" vertical="center" wrapText="1"/>
    </xf>
    <xf numFmtId="0" fontId="73" fillId="0" borderId="34" xfId="23" applyFont="1" applyBorder="1" applyAlignment="1">
      <alignment horizontal="center" vertical="center" wrapText="1"/>
    </xf>
    <xf numFmtId="166" fontId="58" fillId="0" borderId="33" xfId="23" applyNumberFormat="1" applyFont="1" applyBorder="1" applyAlignment="1">
      <alignment horizontal="center" vertical="center" wrapText="1"/>
    </xf>
    <xf numFmtId="166" fontId="58" fillId="0" borderId="34" xfId="23" applyNumberFormat="1" applyFont="1" applyBorder="1" applyAlignment="1">
      <alignment horizontal="center" vertical="center" wrapText="1"/>
    </xf>
    <xf numFmtId="0" fontId="58" fillId="0" borderId="33" xfId="23" applyFont="1" applyBorder="1" applyAlignment="1">
      <alignment horizontal="center" vertical="center" wrapText="1"/>
    </xf>
    <xf numFmtId="0" fontId="58" fillId="0" borderId="34" xfId="23" applyFont="1" applyBorder="1" applyAlignment="1">
      <alignment horizontal="center" vertical="center" wrapText="1"/>
    </xf>
    <xf numFmtId="0" fontId="53" fillId="7" borderId="25" xfId="23" applyFont="1" applyFill="1" applyBorder="1" applyAlignment="1">
      <alignment horizontal="center" vertical="center" wrapText="1"/>
    </xf>
    <xf numFmtId="0" fontId="53" fillId="7" borderId="27" xfId="23" applyFont="1" applyFill="1" applyBorder="1" applyAlignment="1">
      <alignment horizontal="center" vertical="center" wrapText="1"/>
    </xf>
    <xf numFmtId="0" fontId="53" fillId="0" borderId="29" xfId="23" applyFont="1" applyBorder="1" applyAlignment="1">
      <alignment horizontal="center" vertical="center" wrapText="1"/>
    </xf>
    <xf numFmtId="0" fontId="53" fillId="0" borderId="25" xfId="23" applyFont="1" applyBorder="1" applyAlignment="1">
      <alignment horizontal="center" vertical="center" wrapText="1"/>
    </xf>
    <xf numFmtId="0" fontId="53" fillId="0" borderId="27" xfId="23" applyFont="1" applyBorder="1" applyAlignment="1">
      <alignment horizontal="center" vertical="center" wrapText="1"/>
    </xf>
    <xf numFmtId="0" fontId="66" fillId="11" borderId="2" xfId="23" applyFont="1" applyFill="1" applyBorder="1" applyAlignment="1">
      <alignment horizontal="left" vertical="top" wrapText="1"/>
    </xf>
    <xf numFmtId="0" fontId="66" fillId="11" borderId="3" xfId="23" applyFont="1" applyFill="1" applyBorder="1" applyAlignment="1">
      <alignment horizontal="left" vertical="top" wrapText="1"/>
    </xf>
    <xf numFmtId="0" fontId="66" fillId="11" borderId="37" xfId="23" applyFont="1" applyFill="1" applyBorder="1" applyAlignment="1">
      <alignment horizontal="left" vertical="top" wrapText="1" indent="5"/>
    </xf>
    <xf numFmtId="0" fontId="66" fillId="12" borderId="0" xfId="23" applyFont="1" applyFill="1" applyAlignment="1">
      <alignment horizontal="left" vertical="top" wrapText="1"/>
    </xf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429389</xdr:colOff>
      <xdr:row>43</xdr:row>
      <xdr:rowOff>154490</xdr:rowOff>
    </xdr:from>
    <xdr:to>
      <xdr:col>27</xdr:col>
      <xdr:colOff>149453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59</xdr:row>
      <xdr:rowOff>38100</xdr:rowOff>
    </xdr:from>
    <xdr:to>
      <xdr:col>5</xdr:col>
      <xdr:colOff>448541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289839" y="12619759"/>
          <a:ext cx="1635702" cy="50309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19</xdr:col>
      <xdr:colOff>217715</xdr:colOff>
      <xdr:row>153</xdr:row>
      <xdr:rowOff>67163</xdr:rowOff>
    </xdr:from>
    <xdr:to>
      <xdr:col>34</xdr:col>
      <xdr:colOff>342643</xdr:colOff>
      <xdr:row>169</xdr:row>
      <xdr:rowOff>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5415" y="31480613"/>
          <a:ext cx="10411928" cy="31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1"/>
  <sheetViews>
    <sheetView workbookViewId="0">
      <selection activeCell="G60" sqref="G60"/>
    </sheetView>
  </sheetViews>
  <sheetFormatPr defaultRowHeight="12.75" x14ac:dyDescent="0.2"/>
  <sheetData>
    <row r="1" spans="1:4" x14ac:dyDescent="0.2">
      <c r="A1" s="1" t="s">
        <v>522</v>
      </c>
    </row>
    <row r="2" spans="1:4" x14ac:dyDescent="0.2">
      <c r="A2" s="67" t="s">
        <v>521</v>
      </c>
    </row>
    <row r="3" spans="1:4" x14ac:dyDescent="0.2">
      <c r="A3" t="s">
        <v>530</v>
      </c>
    </row>
    <row r="7" spans="1:4" x14ac:dyDescent="0.2">
      <c r="A7" s="1" t="s">
        <v>523</v>
      </c>
    </row>
    <row r="9" spans="1:4" x14ac:dyDescent="0.2">
      <c r="A9" s="266">
        <v>45132</v>
      </c>
      <c r="B9" s="67" t="s">
        <v>524</v>
      </c>
      <c r="D9" s="67" t="s">
        <v>525</v>
      </c>
    </row>
    <row r="10" spans="1:4" x14ac:dyDescent="0.2">
      <c r="D10" s="67" t="s">
        <v>528</v>
      </c>
    </row>
    <row r="11" spans="1:4" x14ac:dyDescent="0.2">
      <c r="D11" t="s">
        <v>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A8" sqref="A8:A29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520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tr">
        <f>RES_Cr!E2</f>
        <v>IISCOA</v>
      </c>
      <c r="C12" s="29" t="str">
        <f>RES_Cr!E3</f>
        <v>Industry - Iron and Steel - Coal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515</v>
      </c>
      <c r="C19" s="29" t="s">
        <v>514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591</v>
      </c>
    </row>
    <row r="17" spans="2:5" x14ac:dyDescent="0.2">
      <c r="B17" s="3" t="s">
        <v>593</v>
      </c>
      <c r="C17" s="3" t="s">
        <v>40</v>
      </c>
      <c r="D17" s="3" t="s">
        <v>594</v>
      </c>
      <c r="E17" s="3">
        <v>2017</v>
      </c>
    </row>
    <row r="18" spans="2:5" x14ac:dyDescent="0.2">
      <c r="B18" s="3" t="s">
        <v>92</v>
      </c>
      <c r="C18" s="3" t="s">
        <v>595</v>
      </c>
      <c r="D18" s="3" t="s">
        <v>596</v>
      </c>
      <c r="E18" s="3" t="s">
        <v>597</v>
      </c>
    </row>
    <row r="19" spans="2:5" x14ac:dyDescent="0.2">
      <c r="B19" s="3" t="s">
        <v>598</v>
      </c>
      <c r="C19" s="3" t="str">
        <f>B8</f>
        <v>IFAMN</v>
      </c>
      <c r="D19" s="3" t="s">
        <v>116</v>
      </c>
      <c r="E19" s="317">
        <f>E8</f>
        <v>0.4587</v>
      </c>
    </row>
    <row r="20" spans="2:5" x14ac:dyDescent="0.2">
      <c r="B20" s="3" t="s">
        <v>598</v>
      </c>
      <c r="C20" s="3" t="str">
        <f>B9</f>
        <v>IFACR</v>
      </c>
      <c r="D20" s="3" t="s">
        <v>116</v>
      </c>
      <c r="E20" s="317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51" sqref="J51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1">
        <f>'Process Input'!U11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1">
        <f>EB_Exist!K25/EB_Exist!F22</f>
        <v>12.96</v>
      </c>
      <c r="I10" s="131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B174"/>
  <sheetViews>
    <sheetView zoomScale="110" zoomScaleNormal="110" workbookViewId="0">
      <selection activeCell="L29" sqref="L29"/>
    </sheetView>
  </sheetViews>
  <sheetFormatPr defaultColWidth="9.140625" defaultRowHeight="15.75" x14ac:dyDescent="0.25"/>
  <cols>
    <col min="1" max="1" width="9.140625" style="136"/>
    <col min="2" max="3" width="30.42578125" style="136" customWidth="1"/>
    <col min="4" max="4" width="13.5703125" style="136" bestFit="1" customWidth="1"/>
    <col min="5" max="5" width="13.5703125" style="136" customWidth="1"/>
    <col min="6" max="6" width="12.140625" style="136" bestFit="1" customWidth="1"/>
    <col min="7" max="7" width="9.140625" style="136"/>
    <col min="8" max="8" width="12.42578125" style="136" bestFit="1" customWidth="1"/>
    <col min="9" max="9" width="13.5703125" style="136" bestFit="1" customWidth="1"/>
    <col min="10" max="10" width="11.28515625" style="136" bestFit="1" customWidth="1"/>
    <col min="11" max="11" width="11.5703125" style="136" bestFit="1" customWidth="1"/>
    <col min="12" max="16384" width="9.140625" style="136"/>
  </cols>
  <sheetData>
    <row r="1" spans="2:6" x14ac:dyDescent="0.25">
      <c r="B1" s="135" t="s">
        <v>238</v>
      </c>
    </row>
    <row r="2" spans="2:6" x14ac:dyDescent="0.25">
      <c r="B2" s="260" t="s">
        <v>239</v>
      </c>
      <c r="C2" s="261" t="s">
        <v>240</v>
      </c>
    </row>
    <row r="3" spans="2:6" x14ac:dyDescent="0.25">
      <c r="B3" s="324" t="s">
        <v>241</v>
      </c>
      <c r="C3" s="140" t="s">
        <v>242</v>
      </c>
      <c r="E3" s="141"/>
    </row>
    <row r="4" spans="2:6" x14ac:dyDescent="0.25">
      <c r="B4" s="324"/>
      <c r="C4" s="140" t="s">
        <v>243</v>
      </c>
      <c r="E4" s="141"/>
    </row>
    <row r="5" spans="2:6" ht="16.5" thickBot="1" x14ac:dyDescent="0.3">
      <c r="B5" s="325"/>
      <c r="C5" s="142" t="s">
        <v>244</v>
      </c>
      <c r="E5" s="141"/>
      <c r="F5" s="136" t="s">
        <v>245</v>
      </c>
    </row>
    <row r="6" spans="2:6" x14ac:dyDescent="0.25">
      <c r="B6" s="326" t="s">
        <v>246</v>
      </c>
      <c r="C6" s="143" t="s">
        <v>247</v>
      </c>
      <c r="E6" s="141"/>
      <c r="F6" s="136" t="s">
        <v>248</v>
      </c>
    </row>
    <row r="7" spans="2:6" x14ac:dyDescent="0.25">
      <c r="B7" s="327"/>
      <c r="C7" s="143" t="s">
        <v>249</v>
      </c>
      <c r="E7" s="141"/>
      <c r="F7" s="136" t="s">
        <v>245</v>
      </c>
    </row>
    <row r="8" spans="2:6" ht="16.5" thickBot="1" x14ac:dyDescent="0.3">
      <c r="B8" s="328"/>
      <c r="C8" s="144" t="s">
        <v>250</v>
      </c>
      <c r="E8" s="141"/>
    </row>
    <row r="9" spans="2:6" x14ac:dyDescent="0.25">
      <c r="B9" s="326" t="s">
        <v>251</v>
      </c>
      <c r="C9" s="143" t="s">
        <v>252</v>
      </c>
      <c r="E9" s="141"/>
      <c r="F9" s="136" t="s">
        <v>248</v>
      </c>
    </row>
    <row r="10" spans="2:6" x14ac:dyDescent="0.25">
      <c r="B10" s="327"/>
      <c r="C10" s="143" t="s">
        <v>253</v>
      </c>
      <c r="E10" s="141"/>
      <c r="F10" s="136" t="s">
        <v>254</v>
      </c>
    </row>
    <row r="11" spans="2:6" ht="30.75" thickBot="1" x14ac:dyDescent="0.3">
      <c r="B11" s="328"/>
      <c r="C11" s="144" t="s">
        <v>255</v>
      </c>
      <c r="E11" s="141"/>
      <c r="F11" s="136" t="s">
        <v>256</v>
      </c>
    </row>
    <row r="12" spans="2:6" x14ac:dyDescent="0.25">
      <c r="B12" s="326" t="s">
        <v>257</v>
      </c>
      <c r="C12" s="143" t="s">
        <v>252</v>
      </c>
      <c r="E12" s="141"/>
    </row>
    <row r="13" spans="2:6" x14ac:dyDescent="0.25">
      <c r="B13" s="327"/>
      <c r="C13" s="143" t="s">
        <v>253</v>
      </c>
      <c r="E13" s="141"/>
    </row>
    <row r="14" spans="2:6" ht="16.5" thickBot="1" x14ac:dyDescent="0.3">
      <c r="B14" s="328"/>
      <c r="C14" s="144" t="s">
        <v>258</v>
      </c>
      <c r="E14" s="141"/>
    </row>
    <row r="15" spans="2:6" x14ac:dyDescent="0.25">
      <c r="B15" s="145"/>
      <c r="E15" s="141"/>
    </row>
    <row r="16" spans="2:6" x14ac:dyDescent="0.25">
      <c r="B16" s="145"/>
      <c r="E16" s="141"/>
    </row>
    <row r="17" spans="2:28" x14ac:dyDescent="0.25">
      <c r="B17" s="145"/>
      <c r="E17" s="141"/>
    </row>
    <row r="18" spans="2:28" x14ac:dyDescent="0.25">
      <c r="B18" s="145"/>
      <c r="E18" s="141"/>
      <c r="F18" s="136" t="s">
        <v>259</v>
      </c>
      <c r="P18" s="136" t="s">
        <v>260</v>
      </c>
    </row>
    <row r="19" spans="2:28" ht="31.5" x14ac:dyDescent="0.25">
      <c r="B19" s="146" t="s">
        <v>261</v>
      </c>
      <c r="C19" s="259" t="s">
        <v>262</v>
      </c>
      <c r="D19" s="262" t="s">
        <v>516</v>
      </c>
      <c r="E19" s="262" t="s">
        <v>516</v>
      </c>
      <c r="F19" s="136" t="s">
        <v>263</v>
      </c>
      <c r="G19" s="136" t="s">
        <v>264</v>
      </c>
      <c r="H19" s="136" t="s">
        <v>265</v>
      </c>
      <c r="I19" s="136" t="s">
        <v>266</v>
      </c>
      <c r="K19" s="136" t="s">
        <v>267</v>
      </c>
      <c r="L19" s="136" t="s">
        <v>268</v>
      </c>
      <c r="M19" s="136" t="s">
        <v>0</v>
      </c>
      <c r="P19" s="147" t="s">
        <v>269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</row>
    <row r="20" spans="2:28" ht="16.5" thickBot="1" x14ac:dyDescent="0.3">
      <c r="B20" s="148" t="s">
        <v>270</v>
      </c>
      <c r="C20" s="149">
        <v>2000</v>
      </c>
      <c r="D20" s="263">
        <v>-25.622157157247099</v>
      </c>
      <c r="E20" s="263">
        <v>27.2191479003376</v>
      </c>
      <c r="F20" s="136">
        <v>0.72</v>
      </c>
      <c r="G20" s="136">
        <f>C20*0.001-F20</f>
        <v>1.28</v>
      </c>
      <c r="J20" s="136" t="s">
        <v>271</v>
      </c>
      <c r="K20" s="136" t="s">
        <v>272</v>
      </c>
      <c r="P20" s="145"/>
      <c r="AA20" s="141"/>
    </row>
    <row r="21" spans="2:28" x14ac:dyDescent="0.25">
      <c r="B21" s="150" t="s">
        <v>273</v>
      </c>
      <c r="C21" s="322">
        <v>1200</v>
      </c>
      <c r="D21" s="318" t="s">
        <v>517</v>
      </c>
      <c r="E21" s="189" t="s">
        <v>517</v>
      </c>
      <c r="G21" s="136">
        <f>C21*0.001</f>
        <v>1.2</v>
      </c>
      <c r="H21" s="151">
        <f>C26*0.001</f>
        <v>0.42</v>
      </c>
      <c r="J21" s="136" t="s">
        <v>274</v>
      </c>
      <c r="L21" s="136" t="s">
        <v>272</v>
      </c>
      <c r="P21" s="145"/>
      <c r="AA21" s="141"/>
    </row>
    <row r="22" spans="2:28" ht="16.5" thickBot="1" x14ac:dyDescent="0.3">
      <c r="B22" s="152" t="s">
        <v>275</v>
      </c>
      <c r="C22" s="323"/>
      <c r="D22" s="319"/>
      <c r="E22" s="264"/>
      <c r="P22" s="145">
        <v>4.9000000000000004</v>
      </c>
      <c r="Q22" s="136" t="s">
        <v>276</v>
      </c>
      <c r="AA22" s="141"/>
    </row>
    <row r="23" spans="2:28" ht="16.5" thickBot="1" x14ac:dyDescent="0.3">
      <c r="B23" s="148" t="s">
        <v>277</v>
      </c>
      <c r="C23" s="149">
        <v>150</v>
      </c>
      <c r="D23" s="149">
        <v>-28.744199999999999</v>
      </c>
      <c r="E23" s="149">
        <v>32.0214</v>
      </c>
      <c r="H23" s="136">
        <f>C23*0.001</f>
        <v>0.15</v>
      </c>
      <c r="J23" s="136" t="s">
        <v>278</v>
      </c>
      <c r="M23" s="136" t="s">
        <v>279</v>
      </c>
      <c r="P23" s="145">
        <v>0.36</v>
      </c>
      <c r="Q23" s="136" t="s">
        <v>280</v>
      </c>
      <c r="AA23" s="141"/>
    </row>
    <row r="24" spans="2:28" ht="28.5" x14ac:dyDescent="0.25">
      <c r="B24" s="150" t="s">
        <v>518</v>
      </c>
      <c r="C24" s="322">
        <v>110</v>
      </c>
      <c r="D24" s="320">
        <v>-26.1357162831553</v>
      </c>
      <c r="E24" s="320">
        <v>28.047042804386201</v>
      </c>
      <c r="H24" s="136">
        <f>C24*0.001</f>
        <v>0.11</v>
      </c>
      <c r="J24" s="136" t="s">
        <v>278</v>
      </c>
      <c r="P24" s="145">
        <v>0.36</v>
      </c>
      <c r="Q24" s="136" t="s">
        <v>281</v>
      </c>
      <c r="AA24" s="141"/>
    </row>
    <row r="25" spans="2:28" ht="30.75" thickBot="1" x14ac:dyDescent="0.3">
      <c r="B25" s="152" t="s">
        <v>282</v>
      </c>
      <c r="C25" s="323"/>
      <c r="D25" s="321"/>
      <c r="E25" s="321"/>
      <c r="P25" s="145">
        <f>P22/P23</f>
        <v>13.611111111111112</v>
      </c>
      <c r="Q25" s="136" t="s">
        <v>283</v>
      </c>
      <c r="AA25" s="141"/>
    </row>
    <row r="26" spans="2:28" ht="16.5" thickBot="1" x14ac:dyDescent="0.3">
      <c r="B26" s="148" t="s">
        <v>284</v>
      </c>
      <c r="C26" s="149">
        <v>420</v>
      </c>
      <c r="D26" s="149">
        <v>-25.6587</v>
      </c>
      <c r="E26" s="149">
        <v>27.828499999999998</v>
      </c>
      <c r="H26" s="151"/>
      <c r="M26" s="136" t="s">
        <v>285</v>
      </c>
      <c r="P26" s="145"/>
      <c r="AA26" s="141"/>
    </row>
    <row r="27" spans="2:28" x14ac:dyDescent="0.25">
      <c r="B27" s="150" t="s">
        <v>286</v>
      </c>
      <c r="C27" s="322">
        <v>267</v>
      </c>
      <c r="D27" s="322">
        <v>-26.903199999999998</v>
      </c>
      <c r="E27" s="322">
        <v>26.809100000000001</v>
      </c>
      <c r="H27" s="136">
        <f>C27*0.001</f>
        <v>0.26700000000000002</v>
      </c>
      <c r="K27" s="136">
        <v>14</v>
      </c>
      <c r="M27" s="153">
        <v>0.6</v>
      </c>
      <c r="N27" s="136" t="s">
        <v>287</v>
      </c>
      <c r="O27" s="154" t="s">
        <v>288</v>
      </c>
      <c r="P27" s="155" t="s">
        <v>289</v>
      </c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7"/>
    </row>
    <row r="28" spans="2:28" ht="16.5" thickBot="1" x14ac:dyDescent="0.3">
      <c r="B28" s="152" t="s">
        <v>290</v>
      </c>
      <c r="C28" s="323"/>
      <c r="D28" s="323"/>
      <c r="E28" s="323"/>
    </row>
    <row r="29" spans="2:28" ht="16.5" thickBot="1" x14ac:dyDescent="0.3">
      <c r="B29" s="148" t="s">
        <v>291</v>
      </c>
      <c r="C29" s="149">
        <v>410</v>
      </c>
      <c r="D29" s="149">
        <v>-26.037600000000001</v>
      </c>
      <c r="E29" s="149">
        <v>28.0427</v>
      </c>
      <c r="I29" s="136">
        <f>C29*0.001</f>
        <v>0.41000000000000003</v>
      </c>
      <c r="J29" s="154" t="s">
        <v>292</v>
      </c>
      <c r="P29" s="137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2:28" ht="16.5" thickBot="1" x14ac:dyDescent="0.3">
      <c r="B30" s="158" t="s">
        <v>293</v>
      </c>
      <c r="C30" s="159">
        <v>300</v>
      </c>
      <c r="D30" s="159">
        <v>-25.715499999999999</v>
      </c>
      <c r="E30" s="159">
        <v>30.231300000000001</v>
      </c>
      <c r="H30" s="136">
        <f>C30*0.001</f>
        <v>0.3</v>
      </c>
      <c r="P30" s="160" t="s">
        <v>294</v>
      </c>
      <c r="AB30" s="141"/>
    </row>
    <row r="31" spans="2:28" x14ac:dyDescent="0.25">
      <c r="B31" s="161" t="s">
        <v>295</v>
      </c>
      <c r="C31" s="162">
        <v>4707</v>
      </c>
      <c r="D31" s="162"/>
      <c r="E31" s="162"/>
      <c r="P31" s="145"/>
      <c r="AB31" s="141"/>
    </row>
    <row r="32" spans="2:28" x14ac:dyDescent="0.25">
      <c r="C32" s="136" t="s">
        <v>296</v>
      </c>
      <c r="D32" s="163">
        <f>SUM(F32:I32)</f>
        <v>4.8570000000000002</v>
      </c>
      <c r="E32" s="163"/>
      <c r="F32" s="136">
        <f>SUM(F20:F30)</f>
        <v>0.72</v>
      </c>
      <c r="G32" s="136">
        <f>SUM(G20:G30)</f>
        <v>2.48</v>
      </c>
      <c r="H32" s="136">
        <f>SUM(H20:H30)</f>
        <v>1.2469999999999999</v>
      </c>
      <c r="I32" s="136">
        <f>SUM(I20:I30)</f>
        <v>0.41000000000000003</v>
      </c>
      <c r="J32" s="136" t="s">
        <v>297</v>
      </c>
      <c r="P32" s="145" t="s">
        <v>298</v>
      </c>
      <c r="AB32" s="141"/>
    </row>
    <row r="33" spans="3:28" x14ac:dyDescent="0.25">
      <c r="C33" s="136" t="s">
        <v>299</v>
      </c>
      <c r="F33" s="136">
        <f>G54</f>
        <v>2400</v>
      </c>
      <c r="G33" s="136">
        <f>G52</f>
        <v>3500</v>
      </c>
      <c r="H33" s="136">
        <f>G50</f>
        <v>4100</v>
      </c>
      <c r="I33" s="136">
        <f>H33</f>
        <v>4100</v>
      </c>
      <c r="J33" s="136" t="s">
        <v>185</v>
      </c>
      <c r="P33" s="145">
        <v>3000</v>
      </c>
      <c r="Q33" s="136" t="s">
        <v>300</v>
      </c>
      <c r="AB33" s="141"/>
    </row>
    <row r="34" spans="3:28" x14ac:dyDescent="0.25">
      <c r="C34" s="136" t="s">
        <v>301</v>
      </c>
      <c r="D34" s="164">
        <f>SUM(F34:I34)</f>
        <v>17201.7</v>
      </c>
      <c r="E34" s="164"/>
      <c r="F34" s="165">
        <f>F33*F32</f>
        <v>1728</v>
      </c>
      <c r="G34" s="165">
        <f>G33*G32</f>
        <v>8680</v>
      </c>
      <c r="H34" s="165">
        <f>H33*H32</f>
        <v>5112.7</v>
      </c>
      <c r="I34" s="165">
        <f>I33*I32</f>
        <v>1681.0000000000002</v>
      </c>
      <c r="J34" s="136" t="s">
        <v>222</v>
      </c>
      <c r="P34" s="145"/>
      <c r="AB34" s="141"/>
    </row>
    <row r="35" spans="3:28" x14ac:dyDescent="0.25">
      <c r="C35" s="136" t="s">
        <v>302</v>
      </c>
      <c r="D35" s="164">
        <f>SUM(F35:I35)</f>
        <v>73.584000000000003</v>
      </c>
      <c r="E35" s="164"/>
      <c r="H35" s="136">
        <f>K27*M27*8.76</f>
        <v>73.584000000000003</v>
      </c>
      <c r="P35" s="145">
        <v>22</v>
      </c>
      <c r="Q35" s="136" t="s">
        <v>303</v>
      </c>
      <c r="AB35" s="141"/>
    </row>
    <row r="36" spans="3:28" x14ac:dyDescent="0.25">
      <c r="C36" s="136" t="s">
        <v>304</v>
      </c>
      <c r="D36" s="166">
        <f>D34-D35</f>
        <v>17128.116000000002</v>
      </c>
      <c r="E36" s="166"/>
      <c r="P36" s="145">
        <v>13</v>
      </c>
      <c r="Q36" s="136" t="s">
        <v>305</v>
      </c>
      <c r="AB36" s="141"/>
    </row>
    <row r="37" spans="3:28" x14ac:dyDescent="0.25">
      <c r="D37" s="167"/>
      <c r="E37" s="167"/>
      <c r="P37" s="145"/>
      <c r="AB37" s="141"/>
    </row>
    <row r="38" spans="3:28" x14ac:dyDescent="0.25">
      <c r="D38" s="168">
        <f>D34/D32</f>
        <v>3541.6306361951824</v>
      </c>
      <c r="E38" s="168"/>
      <c r="F38" s="136" t="s">
        <v>306</v>
      </c>
      <c r="P38" s="145">
        <v>2</v>
      </c>
      <c r="Q38" s="136" t="s">
        <v>307</v>
      </c>
      <c r="AB38" s="141"/>
    </row>
    <row r="39" spans="3:28" x14ac:dyDescent="0.25">
      <c r="D39" s="136">
        <f>(F34+(G20/G32)*G34)/(F20+G20)</f>
        <v>3104</v>
      </c>
      <c r="F39" s="136" t="s">
        <v>308</v>
      </c>
      <c r="P39" s="145">
        <v>4</v>
      </c>
      <c r="Q39" s="136" t="s">
        <v>309</v>
      </c>
      <c r="AB39" s="141"/>
    </row>
    <row r="40" spans="3:28" x14ac:dyDescent="0.25">
      <c r="P40" s="155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7"/>
    </row>
    <row r="42" spans="3:28" x14ac:dyDescent="0.25">
      <c r="P42" s="154" t="s">
        <v>310</v>
      </c>
    </row>
    <row r="43" spans="3:28" x14ac:dyDescent="0.25">
      <c r="P43" s="137" t="s">
        <v>311</v>
      </c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9"/>
    </row>
    <row r="44" spans="3:28" x14ac:dyDescent="0.25">
      <c r="P44" s="145"/>
      <c r="AB44" s="141"/>
    </row>
    <row r="45" spans="3:28" x14ac:dyDescent="0.25">
      <c r="P45" s="169" t="s">
        <v>312</v>
      </c>
      <c r="AB45" s="141"/>
    </row>
    <row r="46" spans="3:28" x14ac:dyDescent="0.25">
      <c r="P46" s="145">
        <v>4100</v>
      </c>
      <c r="Q46" s="136" t="s">
        <v>185</v>
      </c>
      <c r="AB46" s="141"/>
    </row>
    <row r="47" spans="3:28" x14ac:dyDescent="0.25">
      <c r="D47" s="165" t="s">
        <v>313</v>
      </c>
      <c r="E47" s="165"/>
      <c r="P47" s="145"/>
      <c r="AB47" s="141"/>
    </row>
    <row r="48" spans="3:28" x14ac:dyDescent="0.25">
      <c r="D48" s="137"/>
      <c r="E48" s="138"/>
      <c r="F48" s="138"/>
      <c r="G48" s="138"/>
      <c r="H48" s="138" t="s">
        <v>314</v>
      </c>
      <c r="I48" s="138"/>
      <c r="J48" s="138"/>
      <c r="K48" s="138"/>
      <c r="L48" s="138"/>
      <c r="M48" s="139"/>
      <c r="P48" s="169" t="s">
        <v>315</v>
      </c>
      <c r="AB48" s="141"/>
    </row>
    <row r="49" spans="1:28" x14ac:dyDescent="0.25">
      <c r="D49" s="145"/>
      <c r="G49" s="136" t="s">
        <v>221</v>
      </c>
      <c r="H49" s="136" t="s">
        <v>316</v>
      </c>
      <c r="I49" s="136" t="s">
        <v>143</v>
      </c>
      <c r="J49" s="136" t="s">
        <v>317</v>
      </c>
      <c r="K49" s="136" t="s">
        <v>318</v>
      </c>
      <c r="L49" s="136" t="s">
        <v>319</v>
      </c>
      <c r="M49" s="141"/>
      <c r="P49" s="145" t="s">
        <v>320</v>
      </c>
      <c r="AB49" s="141"/>
    </row>
    <row r="50" spans="1:28" x14ac:dyDescent="0.25">
      <c r="D50" s="145" t="s">
        <v>321</v>
      </c>
      <c r="G50" s="136">
        <f>P46</f>
        <v>4100</v>
      </c>
      <c r="H50" s="136">
        <f>'NetZero work'!Q71</f>
        <v>0.69</v>
      </c>
      <c r="I50" s="136">
        <f>'NetZero work'!Q73</f>
        <v>0.2</v>
      </c>
      <c r="J50" s="136">
        <f>'NetZero work'!Q74</f>
        <v>0.27</v>
      </c>
      <c r="K50" s="136">
        <f>'NetZero work'!Q75</f>
        <v>0.123</v>
      </c>
      <c r="L50" s="136">
        <f>H50-SUM(I50:K50)</f>
        <v>9.6999999999999975E-2</v>
      </c>
      <c r="M50" s="141"/>
      <c r="P50" s="145">
        <v>4800</v>
      </c>
      <c r="Q50" s="136" t="s">
        <v>185</v>
      </c>
      <c r="AB50" s="141"/>
    </row>
    <row r="51" spans="1:28" x14ac:dyDescent="0.25">
      <c r="D51" s="145"/>
      <c r="M51" s="141"/>
      <c r="P51" s="145"/>
      <c r="AB51" s="141"/>
    </row>
    <row r="52" spans="1:28" x14ac:dyDescent="0.25">
      <c r="D52" s="145" t="s">
        <v>264</v>
      </c>
      <c r="G52" s="136">
        <f>P55</f>
        <v>3500</v>
      </c>
      <c r="H52" s="136">
        <f>'NetZero work'!Q93</f>
        <v>0.61</v>
      </c>
      <c r="I52" s="136">
        <f>'NetZero work'!Q95</f>
        <v>2.5999999999999999E-2</v>
      </c>
      <c r="J52" s="136">
        <f>'NetZero work'!Q96</f>
        <v>0.29899999999999999</v>
      </c>
      <c r="K52" s="136">
        <f>'NetZero work'!Q97</f>
        <v>0.245</v>
      </c>
      <c r="L52" s="136">
        <f>'NetZero work'!Q98</f>
        <v>4.1000000000000002E-2</v>
      </c>
      <c r="M52" s="141"/>
      <c r="P52" s="169" t="s">
        <v>264</v>
      </c>
      <c r="AB52" s="141"/>
    </row>
    <row r="53" spans="1:28" x14ac:dyDescent="0.25">
      <c r="D53" s="145"/>
      <c r="M53" s="141"/>
      <c r="P53" s="145" t="s">
        <v>322</v>
      </c>
      <c r="AB53" s="141"/>
    </row>
    <row r="54" spans="1:28" x14ac:dyDescent="0.25">
      <c r="D54" s="145" t="s">
        <v>323</v>
      </c>
      <c r="G54" s="136">
        <f>P60</f>
        <v>2400</v>
      </c>
      <c r="M54" s="141"/>
      <c r="P54" s="145" t="s">
        <v>324</v>
      </c>
      <c r="AB54" s="141"/>
    </row>
    <row r="55" spans="1:28" x14ac:dyDescent="0.25">
      <c r="D55" s="145"/>
      <c r="M55" s="141"/>
      <c r="P55" s="145">
        <v>3500</v>
      </c>
      <c r="Q55" s="136" t="s">
        <v>185</v>
      </c>
      <c r="AB55" s="141"/>
    </row>
    <row r="56" spans="1:28" x14ac:dyDescent="0.25">
      <c r="D56" s="145" t="s">
        <v>325</v>
      </c>
      <c r="M56" s="141"/>
      <c r="P56" s="145"/>
      <c r="AB56" s="141"/>
    </row>
    <row r="57" spans="1:28" x14ac:dyDescent="0.25">
      <c r="D57" s="145" t="s">
        <v>326</v>
      </c>
      <c r="M57" s="141"/>
      <c r="P57" s="169" t="s">
        <v>323</v>
      </c>
      <c r="AB57" s="141"/>
    </row>
    <row r="58" spans="1:28" x14ac:dyDescent="0.25">
      <c r="D58" s="145"/>
      <c r="M58" s="141"/>
      <c r="P58" s="145" t="s">
        <v>327</v>
      </c>
      <c r="AB58" s="141"/>
    </row>
    <row r="59" spans="1:28" x14ac:dyDescent="0.25">
      <c r="D59" s="155"/>
      <c r="E59" s="156"/>
      <c r="F59" s="156"/>
      <c r="G59" s="156"/>
      <c r="H59" s="156"/>
      <c r="I59" s="156"/>
      <c r="J59" s="156"/>
      <c r="K59" s="156"/>
      <c r="L59" s="156"/>
      <c r="M59" s="157"/>
      <c r="P59" s="145" t="s">
        <v>328</v>
      </c>
      <c r="AB59" s="141"/>
    </row>
    <row r="60" spans="1:28" x14ac:dyDescent="0.25">
      <c r="P60" s="145">
        <v>2400</v>
      </c>
      <c r="Q60" s="136" t="s">
        <v>185</v>
      </c>
      <c r="AB60" s="141"/>
    </row>
    <row r="61" spans="1:28" x14ac:dyDescent="0.25">
      <c r="P61" s="145"/>
      <c r="AB61" s="141"/>
    </row>
    <row r="62" spans="1:28" x14ac:dyDescent="0.25">
      <c r="P62" s="145"/>
      <c r="AB62" s="141"/>
    </row>
    <row r="63" spans="1:28" x14ac:dyDescent="0.25">
      <c r="A63" s="170" t="s">
        <v>329</v>
      </c>
      <c r="C63" s="171"/>
      <c r="D63" s="171"/>
      <c r="E63" s="171"/>
      <c r="F63" s="172" t="s">
        <v>330</v>
      </c>
      <c r="G63" s="172" t="s">
        <v>264</v>
      </c>
      <c r="H63" s="172" t="s">
        <v>323</v>
      </c>
      <c r="I63" s="172" t="s">
        <v>331</v>
      </c>
      <c r="J63" s="172" t="s">
        <v>332</v>
      </c>
      <c r="P63" s="145"/>
      <c r="AB63" s="141"/>
    </row>
    <row r="64" spans="1:28" x14ac:dyDescent="0.25">
      <c r="A64" s="170"/>
      <c r="C64" s="172" t="s">
        <v>333</v>
      </c>
      <c r="D64" s="171" t="s">
        <v>334</v>
      </c>
      <c r="E64" s="171"/>
      <c r="F64" s="171">
        <f>G50</f>
        <v>4100</v>
      </c>
      <c r="G64" s="171">
        <f>G52</f>
        <v>3500</v>
      </c>
      <c r="H64" s="171">
        <f>G54</f>
        <v>2400</v>
      </c>
      <c r="I64" s="171"/>
      <c r="J64" s="171"/>
      <c r="L64" s="136" t="s">
        <v>335</v>
      </c>
      <c r="M64" s="136" t="s">
        <v>336</v>
      </c>
      <c r="P64" s="145"/>
      <c r="AB64" s="141"/>
    </row>
    <row r="65" spans="1:28" x14ac:dyDescent="0.25">
      <c r="A65" s="170"/>
      <c r="C65" s="172"/>
      <c r="D65" s="171" t="s">
        <v>337</v>
      </c>
      <c r="E65" s="171"/>
      <c r="F65" s="171"/>
      <c r="G65" s="171"/>
      <c r="H65" s="171"/>
      <c r="I65" s="171"/>
      <c r="J65" s="171"/>
      <c r="L65" s="136" t="s">
        <v>259</v>
      </c>
      <c r="P65" s="155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7"/>
    </row>
    <row r="66" spans="1:28" x14ac:dyDescent="0.25">
      <c r="A66" s="170"/>
      <c r="C66" s="172" t="s">
        <v>338</v>
      </c>
      <c r="D66" s="171" t="s">
        <v>143</v>
      </c>
      <c r="E66" s="171"/>
      <c r="F66" s="171">
        <f>I50</f>
        <v>0.2</v>
      </c>
      <c r="G66" s="171">
        <f>I52</f>
        <v>2.5999999999999999E-2</v>
      </c>
      <c r="H66" s="171">
        <f>G66</f>
        <v>2.5999999999999999E-2</v>
      </c>
      <c r="I66" s="171"/>
      <c r="J66" s="171" t="s">
        <v>339</v>
      </c>
    </row>
    <row r="67" spans="1:28" x14ac:dyDescent="0.25">
      <c r="A67" s="170"/>
      <c r="C67" s="172"/>
      <c r="D67" s="171" t="s">
        <v>340</v>
      </c>
      <c r="E67" s="171"/>
      <c r="F67" s="171">
        <f>J50</f>
        <v>0.27</v>
      </c>
      <c r="G67" s="171">
        <f>J52</f>
        <v>0.29899999999999999</v>
      </c>
      <c r="H67" s="171">
        <f>G67*0.5</f>
        <v>0.14949999999999999</v>
      </c>
      <c r="I67" s="171"/>
      <c r="J67" s="171"/>
      <c r="L67" s="136" t="s">
        <v>341</v>
      </c>
      <c r="P67" s="136" t="s">
        <v>342</v>
      </c>
    </row>
    <row r="68" spans="1:28" x14ac:dyDescent="0.25">
      <c r="A68" s="170"/>
      <c r="C68" s="172"/>
      <c r="D68" s="171" t="s">
        <v>343</v>
      </c>
      <c r="E68" s="171"/>
      <c r="F68" s="171">
        <f>K50</f>
        <v>0.123</v>
      </c>
      <c r="G68" s="171">
        <f>K52</f>
        <v>0.245</v>
      </c>
      <c r="H68" s="171">
        <f t="shared" ref="H68" si="0">G68</f>
        <v>0.245</v>
      </c>
      <c r="I68" s="171"/>
      <c r="J68" s="171"/>
      <c r="P68" s="137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9"/>
    </row>
    <row r="69" spans="1:28" x14ac:dyDescent="0.25">
      <c r="A69" s="170"/>
      <c r="C69" s="172"/>
      <c r="D69" s="171" t="s">
        <v>344</v>
      </c>
      <c r="E69" s="171"/>
      <c r="F69" s="171">
        <f>L50</f>
        <v>9.6999999999999975E-2</v>
      </c>
      <c r="G69" s="171">
        <f>L52</f>
        <v>4.1000000000000002E-2</v>
      </c>
      <c r="H69" s="171">
        <f>G67-H67+G69</f>
        <v>0.1905</v>
      </c>
      <c r="I69" s="171"/>
      <c r="J69" s="171"/>
      <c r="P69" s="145"/>
      <c r="Q69" s="165" t="s">
        <v>345</v>
      </c>
      <c r="AB69" s="141"/>
    </row>
    <row r="70" spans="1:28" x14ac:dyDescent="0.25">
      <c r="A70" s="170"/>
      <c r="C70" s="172"/>
      <c r="D70" s="173" t="s">
        <v>346</v>
      </c>
      <c r="E70" s="173"/>
      <c r="F70" s="173">
        <f>SUM(F66:F69)</f>
        <v>0.69</v>
      </c>
      <c r="G70" s="173">
        <f>SUM(G66:G69)</f>
        <v>0.6110000000000001</v>
      </c>
      <c r="H70" s="173">
        <f>SUM(H66:H69)</f>
        <v>0.61099999999999999</v>
      </c>
      <c r="I70" s="171"/>
      <c r="J70" s="171"/>
      <c r="P70" s="145"/>
      <c r="Q70" s="136">
        <v>4.2699999999999996</v>
      </c>
      <c r="R70" s="136" t="s">
        <v>347</v>
      </c>
      <c r="AB70" s="141"/>
    </row>
    <row r="71" spans="1:28" x14ac:dyDescent="0.25">
      <c r="A71" s="170"/>
      <c r="C71" s="172" t="s">
        <v>348</v>
      </c>
      <c r="D71" s="171" t="str">
        <f>B20</f>
        <v>Glencore Merafe (Xstrata)</v>
      </c>
      <c r="E71" s="171"/>
      <c r="F71" s="171"/>
      <c r="G71" s="171">
        <f>G20</f>
        <v>1.28</v>
      </c>
      <c r="H71" s="171">
        <f>F20</f>
        <v>0.72</v>
      </c>
      <c r="I71" s="171"/>
      <c r="J71" s="171"/>
      <c r="P71" s="145"/>
      <c r="Q71" s="136">
        <v>0.69</v>
      </c>
      <c r="R71" s="136" t="s">
        <v>349</v>
      </c>
      <c r="AB71" s="141"/>
    </row>
    <row r="72" spans="1:28" x14ac:dyDescent="0.25">
      <c r="A72" s="170"/>
      <c r="C72" s="172"/>
      <c r="D72" s="171" t="str">
        <f>B21</f>
        <v>Samancor Chrome Limited</v>
      </c>
      <c r="E72" s="171"/>
      <c r="F72" s="171">
        <f>H21</f>
        <v>0.42</v>
      </c>
      <c r="G72" s="171">
        <f>G21</f>
        <v>1.2</v>
      </c>
      <c r="H72" s="171"/>
      <c r="I72" s="171"/>
      <c r="J72" s="171" t="s">
        <v>350</v>
      </c>
      <c r="P72" s="145"/>
      <c r="R72" s="136" t="s">
        <v>351</v>
      </c>
      <c r="AB72" s="141"/>
    </row>
    <row r="73" spans="1:28" x14ac:dyDescent="0.25">
      <c r="A73" s="170"/>
      <c r="C73" s="172"/>
      <c r="D73" s="171" t="str">
        <f>B23</f>
        <v>Tata KZN</v>
      </c>
      <c r="E73" s="171"/>
      <c r="F73" s="171">
        <f>H23</f>
        <v>0.15</v>
      </c>
      <c r="G73" s="171"/>
      <c r="H73" s="171"/>
      <c r="I73" s="171"/>
      <c r="J73" s="171"/>
      <c r="P73" s="145"/>
      <c r="Q73" s="136">
        <v>0.2</v>
      </c>
      <c r="R73" s="136" t="s">
        <v>352</v>
      </c>
      <c r="AB73" s="141"/>
    </row>
    <row r="74" spans="1:28" x14ac:dyDescent="0.25">
      <c r="A74" s="170"/>
      <c r="C74" s="172"/>
      <c r="D74" s="171" t="str">
        <f>B24</f>
        <v>Afarak (Probably now Zeetrust)</v>
      </c>
      <c r="E74" s="171"/>
      <c r="F74" s="171">
        <f>H24</f>
        <v>0.11</v>
      </c>
      <c r="G74" s="171"/>
      <c r="H74" s="171"/>
      <c r="I74" s="171"/>
      <c r="J74" s="171"/>
      <c r="P74" s="145"/>
      <c r="Q74" s="136">
        <v>0.27</v>
      </c>
      <c r="R74" s="136" t="s">
        <v>340</v>
      </c>
      <c r="AB74" s="141"/>
    </row>
    <row r="75" spans="1:28" x14ac:dyDescent="0.25">
      <c r="A75" s="170"/>
      <c r="C75" s="172"/>
      <c r="D75" s="171" t="str">
        <f>B27</f>
        <v>International Ferro Metals</v>
      </c>
      <c r="E75" s="171"/>
      <c r="F75" s="171">
        <f>H27</f>
        <v>0.26700000000000002</v>
      </c>
      <c r="G75" s="171"/>
      <c r="H75" s="171"/>
      <c r="I75" s="171">
        <f>K27</f>
        <v>14</v>
      </c>
      <c r="J75" s="171"/>
      <c r="P75" s="145"/>
      <c r="Q75" s="136">
        <v>0.123</v>
      </c>
      <c r="R75" s="136" t="s">
        <v>343</v>
      </c>
      <c r="AB75" s="141"/>
    </row>
    <row r="76" spans="1:28" x14ac:dyDescent="0.25">
      <c r="A76" s="170"/>
      <c r="C76" s="172"/>
      <c r="D76" s="171" t="str">
        <f>B29</f>
        <v>ASA Metals (Newco)</v>
      </c>
      <c r="E76" s="171"/>
      <c r="F76" s="171">
        <f>I29</f>
        <v>0.41000000000000003</v>
      </c>
      <c r="G76" s="171"/>
      <c r="H76" s="171"/>
      <c r="I76" s="171"/>
      <c r="J76" s="171" t="s">
        <v>353</v>
      </c>
      <c r="P76" s="145"/>
      <c r="AB76" s="141"/>
    </row>
    <row r="77" spans="1:28" x14ac:dyDescent="0.25">
      <c r="A77" s="170"/>
      <c r="C77" s="172"/>
      <c r="D77" s="171" t="str">
        <f>B30</f>
        <v>Assmang Chrome</v>
      </c>
      <c r="E77" s="171"/>
      <c r="F77" s="171">
        <f>H30</f>
        <v>0.3</v>
      </c>
      <c r="G77" s="171"/>
      <c r="H77" s="171"/>
      <c r="I77" s="171"/>
      <c r="J77" s="171"/>
      <c r="P77" s="145"/>
      <c r="AB77" s="141"/>
    </row>
    <row r="78" spans="1:28" x14ac:dyDescent="0.25">
      <c r="A78" s="170"/>
      <c r="C78" s="172"/>
      <c r="D78" s="173" t="s">
        <v>346</v>
      </c>
      <c r="E78" s="173"/>
      <c r="F78" s="174">
        <f>SUM(F71:F77)</f>
        <v>1.657</v>
      </c>
      <c r="G78" s="174">
        <f t="shared" ref="G78:H78" si="1">SUM(G71:G77)</f>
        <v>2.48</v>
      </c>
      <c r="H78" s="174">
        <f t="shared" si="1"/>
        <v>0.72</v>
      </c>
      <c r="I78" s="171"/>
      <c r="J78" s="171"/>
      <c r="P78" s="145"/>
      <c r="AB78" s="141"/>
    </row>
    <row r="79" spans="1:28" x14ac:dyDescent="0.25">
      <c r="A79" s="170"/>
      <c r="C79" s="172" t="s">
        <v>354</v>
      </c>
      <c r="D79" s="171"/>
      <c r="E79" s="171"/>
      <c r="F79" s="175">
        <f>SUM(F78:H78)</f>
        <v>4.8570000000000002</v>
      </c>
      <c r="G79" s="176"/>
      <c r="H79" s="176"/>
      <c r="I79" s="171"/>
      <c r="J79" s="171"/>
      <c r="P79" s="145"/>
      <c r="AB79" s="141"/>
    </row>
    <row r="80" spans="1:28" x14ac:dyDescent="0.25">
      <c r="A80" s="170"/>
      <c r="P80" s="145"/>
      <c r="AB80" s="141"/>
    </row>
    <row r="81" spans="1:28" x14ac:dyDescent="0.25">
      <c r="A81" s="170"/>
      <c r="C81" s="136" t="s">
        <v>355</v>
      </c>
      <c r="P81" s="145"/>
      <c r="AB81" s="141"/>
    </row>
    <row r="82" spans="1:28" x14ac:dyDescent="0.25">
      <c r="D82" s="171" t="str">
        <f t="shared" ref="D82:D88" si="2">D71</f>
        <v>Glencore Merafe (Xstrata)</v>
      </c>
      <c r="E82" s="171"/>
      <c r="F82" s="171"/>
      <c r="G82" s="177">
        <v>0.8</v>
      </c>
      <c r="H82" s="177">
        <v>0.8</v>
      </c>
      <c r="P82" s="145"/>
      <c r="AB82" s="141"/>
    </row>
    <row r="83" spans="1:28" x14ac:dyDescent="0.25">
      <c r="D83" s="171" t="str">
        <f t="shared" si="2"/>
        <v>Samancor Chrome Limited</v>
      </c>
      <c r="E83" s="171"/>
      <c r="F83" s="177">
        <v>0.8</v>
      </c>
      <c r="G83" s="177">
        <v>0.8</v>
      </c>
      <c r="H83" s="171"/>
      <c r="P83" s="145"/>
      <c r="AB83" s="141"/>
    </row>
    <row r="84" spans="1:28" x14ac:dyDescent="0.25">
      <c r="D84" s="171" t="str">
        <f t="shared" si="2"/>
        <v>Tata KZN</v>
      </c>
      <c r="E84" s="171"/>
      <c r="F84" s="177">
        <v>0</v>
      </c>
      <c r="G84" s="171"/>
      <c r="H84" s="171"/>
      <c r="P84" s="145"/>
      <c r="AB84" s="141"/>
    </row>
    <row r="85" spans="1:28" x14ac:dyDescent="0.25">
      <c r="D85" s="171" t="str">
        <f t="shared" si="2"/>
        <v>Afarak (Probably now Zeetrust)</v>
      </c>
      <c r="E85" s="171"/>
      <c r="F85" s="178">
        <f>J85</f>
        <v>0.7</v>
      </c>
      <c r="G85" s="171"/>
      <c r="H85" s="171"/>
      <c r="J85" s="179">
        <v>0.7</v>
      </c>
      <c r="P85" s="145"/>
      <c r="AB85" s="141"/>
    </row>
    <row r="86" spans="1:28" x14ac:dyDescent="0.25">
      <c r="D86" s="171" t="str">
        <f t="shared" si="2"/>
        <v>International Ferro Metals</v>
      </c>
      <c r="E86" s="171"/>
      <c r="F86" s="177">
        <f>F85</f>
        <v>0.7</v>
      </c>
      <c r="G86" s="171"/>
      <c r="H86" s="171"/>
      <c r="P86" s="145"/>
      <c r="AB86" s="141"/>
    </row>
    <row r="87" spans="1:28" x14ac:dyDescent="0.25">
      <c r="D87" s="171" t="str">
        <f t="shared" si="2"/>
        <v>ASA Metals (Newco)</v>
      </c>
      <c r="E87" s="171"/>
      <c r="F87" s="177">
        <f>F85</f>
        <v>0.7</v>
      </c>
      <c r="G87" s="171"/>
      <c r="H87" s="171"/>
      <c r="P87" s="145"/>
      <c r="AB87" s="141"/>
    </row>
    <row r="88" spans="1:28" x14ac:dyDescent="0.25">
      <c r="D88" s="171" t="str">
        <f t="shared" si="2"/>
        <v>Assmang Chrome</v>
      </c>
      <c r="E88" s="171"/>
      <c r="F88" s="177">
        <v>0</v>
      </c>
      <c r="G88" s="171"/>
      <c r="H88" s="171"/>
      <c r="J88" s="136" t="s">
        <v>356</v>
      </c>
      <c r="P88" s="145"/>
      <c r="AB88" s="141"/>
    </row>
    <row r="89" spans="1:28" x14ac:dyDescent="0.25">
      <c r="J89" s="137" t="s">
        <v>357</v>
      </c>
      <c r="K89" s="138" t="s">
        <v>438</v>
      </c>
      <c r="L89" s="138"/>
      <c r="M89" s="138"/>
      <c r="N89" s="139"/>
      <c r="P89" s="145"/>
      <c r="AB89" s="141"/>
    </row>
    <row r="90" spans="1:28" x14ac:dyDescent="0.25">
      <c r="C90" s="165" t="s">
        <v>358</v>
      </c>
      <c r="F90" s="136">
        <f>SUMPRODUCT(F82:F88,F71:F77)</f>
        <v>0.88690000000000002</v>
      </c>
      <c r="G90" s="136">
        <f>SUMPRODUCT(G82:G88,G71:G77)</f>
        <v>1.984</v>
      </c>
      <c r="H90" s="136">
        <f>SUMPRODUCT(H82:H88,H71:H77)</f>
        <v>0.57599999999999996</v>
      </c>
      <c r="I90" s="136" t="s">
        <v>297</v>
      </c>
      <c r="J90" s="145">
        <f>SUM(F90:H90)</f>
        <v>3.4468999999999999</v>
      </c>
      <c r="K90" s="136">
        <v>3.484</v>
      </c>
      <c r="L90" s="136">
        <f>K90-J90</f>
        <v>3.7100000000000133E-2</v>
      </c>
      <c r="M90" s="136" t="s">
        <v>359</v>
      </c>
      <c r="N90" s="141"/>
      <c r="P90" s="145"/>
      <c r="AB90" s="141"/>
    </row>
    <row r="91" spans="1:28" x14ac:dyDescent="0.25">
      <c r="C91" s="165" t="s">
        <v>360</v>
      </c>
      <c r="J91" s="145"/>
      <c r="K91" s="136" t="s">
        <v>363</v>
      </c>
      <c r="N91" s="141"/>
      <c r="P91" s="145"/>
      <c r="Q91" s="165" t="s">
        <v>361</v>
      </c>
      <c r="AB91" s="141"/>
    </row>
    <row r="92" spans="1:28" x14ac:dyDescent="0.25">
      <c r="B92" s="180" t="s">
        <v>362</v>
      </c>
      <c r="C92" s="181" t="s">
        <v>221</v>
      </c>
      <c r="F92" s="136">
        <f>F90*F64</f>
        <v>3636.29</v>
      </c>
      <c r="G92" s="136">
        <f>G90*G64</f>
        <v>6944</v>
      </c>
      <c r="H92" s="136">
        <f>H90*H64</f>
        <v>1382.3999999999999</v>
      </c>
      <c r="I92" s="136" t="s">
        <v>222</v>
      </c>
      <c r="J92" s="182">
        <f>SUM(F92:H92)</f>
        <v>11962.69</v>
      </c>
      <c r="K92" s="167">
        <v>14413.888888888889</v>
      </c>
      <c r="N92" s="141"/>
      <c r="P92" s="145"/>
      <c r="Q92" s="136">
        <v>3.38</v>
      </c>
      <c r="R92" s="136" t="s">
        <v>364</v>
      </c>
      <c r="AB92" s="141"/>
    </row>
    <row r="93" spans="1:28" x14ac:dyDescent="0.25">
      <c r="B93" s="165">
        <v>27</v>
      </c>
      <c r="C93" s="181" t="s">
        <v>143</v>
      </c>
      <c r="F93" s="183">
        <f>F$90*F66</f>
        <v>0.17738000000000001</v>
      </c>
      <c r="G93" s="183">
        <f t="shared" ref="G93:H96" si="3">G$90*G66</f>
        <v>5.1583999999999998E-2</v>
      </c>
      <c r="H93" s="183">
        <f t="shared" si="3"/>
        <v>1.4975999999999998E-2</v>
      </c>
      <c r="I93" s="136" t="s">
        <v>297</v>
      </c>
      <c r="J93" s="184">
        <f>SUM(F93:H93)</f>
        <v>0.24393999999999999</v>
      </c>
      <c r="N93" s="141"/>
      <c r="P93" s="145"/>
      <c r="Q93" s="136">
        <v>0.61</v>
      </c>
      <c r="R93" s="136" t="s">
        <v>365</v>
      </c>
      <c r="AB93" s="141"/>
    </row>
    <row r="94" spans="1:28" x14ac:dyDescent="0.25">
      <c r="B94" s="165">
        <v>28</v>
      </c>
      <c r="C94" s="181" t="s">
        <v>317</v>
      </c>
      <c r="F94" s="183">
        <f>F$90*F67</f>
        <v>0.23946300000000001</v>
      </c>
      <c r="G94" s="183">
        <f t="shared" si="3"/>
        <v>0.59321599999999997</v>
      </c>
      <c r="H94" s="183">
        <f t="shared" si="3"/>
        <v>8.6111999999999994E-2</v>
      </c>
      <c r="I94" s="136" t="s">
        <v>297</v>
      </c>
      <c r="J94" s="184">
        <f>SUM(F94:H94)</f>
        <v>0.91879099999999991</v>
      </c>
      <c r="N94" s="141"/>
      <c r="P94" s="145"/>
      <c r="R94" s="136" t="s">
        <v>366</v>
      </c>
      <c r="AB94" s="141"/>
    </row>
    <row r="95" spans="1:28" x14ac:dyDescent="0.25">
      <c r="B95" s="165">
        <v>28</v>
      </c>
      <c r="C95" s="181" t="s">
        <v>318</v>
      </c>
      <c r="F95" s="183">
        <f>F$90*F68</f>
        <v>0.1090887</v>
      </c>
      <c r="G95" s="183">
        <f t="shared" si="3"/>
        <v>0.48608000000000001</v>
      </c>
      <c r="H95" s="183">
        <f t="shared" si="3"/>
        <v>0.14112</v>
      </c>
      <c r="I95" s="136" t="s">
        <v>297</v>
      </c>
      <c r="J95" s="184">
        <f>SUM(F95:H95)</f>
        <v>0.73628870000000002</v>
      </c>
      <c r="N95" s="141"/>
      <c r="P95" s="145"/>
      <c r="Q95" s="136">
        <v>2.5999999999999999E-2</v>
      </c>
      <c r="R95" s="136" t="s">
        <v>352</v>
      </c>
      <c r="AB95" s="141"/>
    </row>
    <row r="96" spans="1:28" x14ac:dyDescent="0.25">
      <c r="B96" s="165">
        <v>27</v>
      </c>
      <c r="C96" s="181" t="s">
        <v>319</v>
      </c>
      <c r="F96" s="183">
        <f>F$90*F69</f>
        <v>8.6029299999999975E-2</v>
      </c>
      <c r="G96" s="183">
        <f t="shared" si="3"/>
        <v>8.1344E-2</v>
      </c>
      <c r="H96" s="183">
        <f t="shared" si="3"/>
        <v>0.10972799999999999</v>
      </c>
      <c r="I96" s="136" t="s">
        <v>297</v>
      </c>
      <c r="J96" s="185">
        <f>SUM(F96:H96)</f>
        <v>0.27710129999999999</v>
      </c>
      <c r="K96" s="156"/>
      <c r="L96" s="156"/>
      <c r="M96" s="156"/>
      <c r="N96" s="157"/>
      <c r="P96" s="145"/>
      <c r="Q96" s="136">
        <v>0.29899999999999999</v>
      </c>
      <c r="R96" s="136" t="s">
        <v>340</v>
      </c>
      <c r="AB96" s="141"/>
    </row>
    <row r="97" spans="1:28" x14ac:dyDescent="0.25">
      <c r="P97" s="145"/>
      <c r="Q97" s="136">
        <v>0.245</v>
      </c>
      <c r="R97" s="136" t="s">
        <v>343</v>
      </c>
      <c r="AB97" s="141"/>
    </row>
    <row r="98" spans="1:28" x14ac:dyDescent="0.25">
      <c r="C98" s="186" t="s">
        <v>367</v>
      </c>
      <c r="P98" s="145"/>
      <c r="Q98" s="136">
        <v>4.1000000000000002E-2</v>
      </c>
      <c r="R98" s="136" t="s">
        <v>344</v>
      </c>
      <c r="AB98" s="141"/>
    </row>
    <row r="99" spans="1:28" x14ac:dyDescent="0.25">
      <c r="C99" s="181" t="s">
        <v>221</v>
      </c>
      <c r="F99" s="187">
        <f>J92/$J$90</f>
        <v>3470.5648553772958</v>
      </c>
      <c r="G99" s="136" t="s">
        <v>368</v>
      </c>
      <c r="P99" s="145"/>
      <c r="AB99" s="141"/>
    </row>
    <row r="100" spans="1:28" x14ac:dyDescent="0.25">
      <c r="C100" s="181" t="s">
        <v>223</v>
      </c>
      <c r="F100" s="187">
        <f>(J93*B93+J96*B96)/$J$90</f>
        <v>4.0813818503582935</v>
      </c>
      <c r="G100" s="136" t="s">
        <v>369</v>
      </c>
      <c r="P100" s="145"/>
      <c r="AB100" s="141"/>
    </row>
    <row r="101" spans="1:28" x14ac:dyDescent="0.25">
      <c r="C101" s="181" t="s">
        <v>224</v>
      </c>
      <c r="F101" s="187">
        <f>(J94*B94+J95*B95+J101*B95)/$J$90</f>
        <v>20.627230264875688</v>
      </c>
      <c r="G101" s="136" t="s">
        <v>369</v>
      </c>
      <c r="J101" s="188">
        <f>J102-SUM(J94:J95)-J103</f>
        <v>0.88420601428571455</v>
      </c>
      <c r="K101" s="189" t="s">
        <v>370</v>
      </c>
      <c r="P101" s="145"/>
      <c r="AB101" s="141"/>
    </row>
    <row r="102" spans="1:28" x14ac:dyDescent="0.25">
      <c r="A102" s="190" t="s">
        <v>371</v>
      </c>
      <c r="C102" s="181"/>
      <c r="J102" s="189">
        <v>2.7</v>
      </c>
      <c r="K102" s="189" t="s">
        <v>372</v>
      </c>
      <c r="P102" s="145"/>
      <c r="AB102" s="141"/>
    </row>
    <row r="103" spans="1:28" x14ac:dyDescent="0.25">
      <c r="C103" s="181" t="s">
        <v>373</v>
      </c>
      <c r="J103" s="136">
        <f>J104/B94</f>
        <v>0.16071428571428573</v>
      </c>
      <c r="K103" s="136" t="s">
        <v>374</v>
      </c>
      <c r="P103" s="145"/>
      <c r="AB103" s="141"/>
    </row>
    <row r="104" spans="1:28" x14ac:dyDescent="0.25">
      <c r="C104" s="181" t="s">
        <v>221</v>
      </c>
      <c r="F104" s="187">
        <f>F99*$J$90</f>
        <v>11962.69</v>
      </c>
      <c r="G104" s="136" t="s">
        <v>222</v>
      </c>
      <c r="J104" s="136">
        <v>4.5</v>
      </c>
      <c r="K104" s="136" t="s">
        <v>375</v>
      </c>
      <c r="P104" s="145"/>
      <c r="AB104" s="141"/>
    </row>
    <row r="105" spans="1:28" x14ac:dyDescent="0.25">
      <c r="C105" s="181" t="s">
        <v>223</v>
      </c>
      <c r="F105" s="187">
        <f>F100*$J$90</f>
        <v>14.068115100000002</v>
      </c>
      <c r="G105" s="136" t="s">
        <v>116</v>
      </c>
      <c r="P105" s="145"/>
      <c r="AB105" s="141"/>
    </row>
    <row r="106" spans="1:28" x14ac:dyDescent="0.25">
      <c r="C106" s="181" t="s">
        <v>224</v>
      </c>
      <c r="F106" s="187">
        <f>F101*$J$90</f>
        <v>71.100000000000009</v>
      </c>
      <c r="G106" s="136" t="s">
        <v>116</v>
      </c>
      <c r="P106" s="145"/>
      <c r="AB106" s="141"/>
    </row>
    <row r="107" spans="1:28" x14ac:dyDescent="0.25">
      <c r="P107" s="145"/>
      <c r="AB107" s="141"/>
    </row>
    <row r="108" spans="1:28" x14ac:dyDescent="0.25">
      <c r="C108" s="136" t="s">
        <v>376</v>
      </c>
      <c r="P108" s="145"/>
      <c r="AB108" s="141"/>
    </row>
    <row r="109" spans="1:28" x14ac:dyDescent="0.25">
      <c r="A109" s="170"/>
      <c r="C109" s="171" t="s">
        <v>377</v>
      </c>
      <c r="D109" s="191">
        <f>J90</f>
        <v>3.4468999999999999</v>
      </c>
      <c r="E109" s="191"/>
      <c r="F109" s="171" t="s">
        <v>297</v>
      </c>
      <c r="P109" s="145"/>
      <c r="AB109" s="141"/>
    </row>
    <row r="110" spans="1:28" x14ac:dyDescent="0.25">
      <c r="C110" s="171" t="s">
        <v>378</v>
      </c>
      <c r="D110" s="192">
        <f>J92</f>
        <v>11962.69</v>
      </c>
      <c r="E110" s="192"/>
      <c r="F110" s="171" t="s">
        <v>222</v>
      </c>
      <c r="P110" s="145"/>
      <c r="AB110" s="141"/>
    </row>
    <row r="111" spans="1:28" x14ac:dyDescent="0.25">
      <c r="C111" s="171" t="s">
        <v>379</v>
      </c>
      <c r="D111" s="192">
        <f>D110/D109</f>
        <v>3470.5648553772958</v>
      </c>
      <c r="E111" s="192"/>
      <c r="F111" s="171" t="s">
        <v>368</v>
      </c>
      <c r="P111" s="145"/>
      <c r="AB111" s="141"/>
    </row>
    <row r="112" spans="1:28" x14ac:dyDescent="0.25">
      <c r="J112" s="136" t="s">
        <v>316</v>
      </c>
      <c r="P112" s="145"/>
      <c r="AB112" s="141"/>
    </row>
    <row r="113" spans="2:28" x14ac:dyDescent="0.25">
      <c r="C113" s="136" t="s">
        <v>380</v>
      </c>
      <c r="F113" s="136">
        <f>F90*(F66+F69)</f>
        <v>0.26340930000000001</v>
      </c>
      <c r="G113" s="136">
        <f>G90*(G66+G69)</f>
        <v>0.13292800000000002</v>
      </c>
      <c r="H113" s="136">
        <f>H90*(H66+H69)</f>
        <v>0.124704</v>
      </c>
      <c r="J113" s="136">
        <f>SUM(F113:H113)</f>
        <v>0.52104130000000004</v>
      </c>
      <c r="P113" s="145"/>
      <c r="AB113" s="141"/>
    </row>
    <row r="114" spans="2:28" x14ac:dyDescent="0.25">
      <c r="C114" s="136" t="s">
        <v>318</v>
      </c>
      <c r="F114" s="136">
        <f>F90*F68</f>
        <v>0.1090887</v>
      </c>
      <c r="G114" s="136">
        <f>G90*G68</f>
        <v>0.48608000000000001</v>
      </c>
      <c r="H114" s="136">
        <f>H90*H68</f>
        <v>0.14112</v>
      </c>
      <c r="J114" s="136">
        <f>SUM(F114:H114)</f>
        <v>0.73628870000000002</v>
      </c>
      <c r="P114" s="145"/>
      <c r="AB114" s="141"/>
    </row>
    <row r="115" spans="2:28" x14ac:dyDescent="0.25">
      <c r="P115" s="145"/>
      <c r="AB115" s="141"/>
    </row>
    <row r="116" spans="2:28" x14ac:dyDescent="0.25">
      <c r="P116" s="155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7"/>
    </row>
    <row r="120" spans="2:28" x14ac:dyDescent="0.25">
      <c r="C120" s="136" t="s">
        <v>381</v>
      </c>
      <c r="S120" s="136" t="s">
        <v>382</v>
      </c>
    </row>
    <row r="121" spans="2:28" x14ac:dyDescent="0.25">
      <c r="C121" s="136" t="s">
        <v>383</v>
      </c>
      <c r="S121" s="137" t="s">
        <v>384</v>
      </c>
      <c r="T121" s="138"/>
      <c r="U121" s="138"/>
      <c r="V121" s="138"/>
      <c r="W121" s="138"/>
      <c r="X121" s="138"/>
      <c r="Y121" s="138"/>
    </row>
    <row r="122" spans="2:28" x14ac:dyDescent="0.25">
      <c r="C122" s="136" t="s">
        <v>385</v>
      </c>
      <c r="S122" s="145" t="s">
        <v>386</v>
      </c>
    </row>
    <row r="123" spans="2:28" x14ac:dyDescent="0.25">
      <c r="D123" s="136" t="s">
        <v>387</v>
      </c>
      <c r="S123" s="145"/>
    </row>
    <row r="124" spans="2:28" x14ac:dyDescent="0.25">
      <c r="C124" s="136" t="s">
        <v>388</v>
      </c>
      <c r="D124" s="153">
        <v>0.2</v>
      </c>
      <c r="E124" s="153"/>
      <c r="S124" s="145" t="s">
        <v>389</v>
      </c>
    </row>
    <row r="125" spans="2:28" x14ac:dyDescent="0.25">
      <c r="C125" s="136" t="s">
        <v>390</v>
      </c>
      <c r="D125" s="153">
        <v>0.35</v>
      </c>
      <c r="E125" s="153"/>
      <c r="S125" s="193" t="s">
        <v>391</v>
      </c>
    </row>
    <row r="126" spans="2:28" x14ac:dyDescent="0.25">
      <c r="S126" s="145" t="s">
        <v>226</v>
      </c>
    </row>
    <row r="127" spans="2:28" x14ac:dyDescent="0.25">
      <c r="S127" s="145">
        <v>140</v>
      </c>
      <c r="T127" s="136" t="s">
        <v>392</v>
      </c>
    </row>
    <row r="128" spans="2:28" ht="26.25" x14ac:dyDescent="0.4">
      <c r="B128" s="194" t="s">
        <v>393</v>
      </c>
    </row>
    <row r="129" spans="3:21" x14ac:dyDescent="0.25">
      <c r="C129" s="136" t="s">
        <v>394</v>
      </c>
      <c r="D129" s="136" t="s">
        <v>395</v>
      </c>
    </row>
    <row r="130" spans="3:21" x14ac:dyDescent="0.25">
      <c r="C130" s="136" t="s">
        <v>396</v>
      </c>
      <c r="D130" s="136" t="s">
        <v>397</v>
      </c>
    </row>
    <row r="131" spans="3:21" x14ac:dyDescent="0.25">
      <c r="C131" s="136" t="s">
        <v>398</v>
      </c>
      <c r="D131" s="136" t="s">
        <v>399</v>
      </c>
    </row>
    <row r="134" spans="3:21" x14ac:dyDescent="0.25">
      <c r="D134" s="165" t="s">
        <v>400</v>
      </c>
      <c r="E134" s="165"/>
      <c r="H134" s="165" t="s">
        <v>401</v>
      </c>
      <c r="J134" s="165" t="s">
        <v>402</v>
      </c>
      <c r="N134" s="136" t="s">
        <v>403</v>
      </c>
    </row>
    <row r="136" spans="3:21" x14ac:dyDescent="0.25">
      <c r="C136" s="136" t="s">
        <v>404</v>
      </c>
      <c r="D136" s="183">
        <f>F79</f>
        <v>4.8570000000000002</v>
      </c>
      <c r="E136" s="183"/>
      <c r="T136" s="136" t="s">
        <v>405</v>
      </c>
    </row>
    <row r="137" spans="3:21" x14ac:dyDescent="0.25">
      <c r="C137" s="136" t="s">
        <v>406</v>
      </c>
      <c r="D137" s="183"/>
      <c r="E137" s="183"/>
      <c r="H137" s="136">
        <f>P25*1000*0.74</f>
        <v>10072.222222222224</v>
      </c>
      <c r="K137" s="136">
        <f>H137*(1+T137)</f>
        <v>11079.444444444447</v>
      </c>
      <c r="N137" s="136">
        <f>(Q156/Q145)*(1+T140)</f>
        <v>43.490026666666672</v>
      </c>
      <c r="T137" s="153">
        <v>0.1</v>
      </c>
      <c r="U137" s="136" t="s">
        <v>407</v>
      </c>
    </row>
    <row r="138" spans="3:21" x14ac:dyDescent="0.25">
      <c r="C138" s="136" t="s">
        <v>408</v>
      </c>
      <c r="D138" s="136">
        <f>K90</f>
        <v>3.484</v>
      </c>
      <c r="F138" s="195">
        <f>D138/D136</f>
        <v>0.71731521515338681</v>
      </c>
    </row>
    <row r="139" spans="3:21" x14ac:dyDescent="0.25">
      <c r="C139" s="136" t="s">
        <v>409</v>
      </c>
      <c r="H139" s="136">
        <v>20</v>
      </c>
      <c r="K139" s="136">
        <v>20</v>
      </c>
      <c r="N139" s="136">
        <f>Q153</f>
        <v>10</v>
      </c>
      <c r="T139" s="136" t="s">
        <v>410</v>
      </c>
    </row>
    <row r="140" spans="3:21" x14ac:dyDescent="0.25">
      <c r="C140" s="136" t="s">
        <v>387</v>
      </c>
      <c r="N140" s="153">
        <f>Q161</f>
        <v>0.33</v>
      </c>
      <c r="T140" s="153">
        <v>0.3</v>
      </c>
      <c r="U140" s="136" t="s">
        <v>411</v>
      </c>
    </row>
    <row r="141" spans="3:21" x14ac:dyDescent="0.25">
      <c r="C141" s="165" t="s">
        <v>412</v>
      </c>
      <c r="H141" s="187"/>
    </row>
    <row r="142" spans="3:21" x14ac:dyDescent="0.25">
      <c r="C142" s="136" t="s">
        <v>221</v>
      </c>
      <c r="D142" s="187">
        <f>F99*3.6*1000000/1000000000</f>
        <v>12.494033479358265</v>
      </c>
      <c r="E142" s="187"/>
      <c r="F142" s="136" t="s">
        <v>369</v>
      </c>
      <c r="H142" s="196">
        <f>H64*3.6*1000000/1000000000</f>
        <v>8.64</v>
      </c>
      <c r="I142" s="196"/>
      <c r="J142" s="196">
        <f>H142</f>
        <v>8.64</v>
      </c>
      <c r="P142" s="136" t="s">
        <v>413</v>
      </c>
      <c r="Q142" s="136" t="s">
        <v>369</v>
      </c>
    </row>
    <row r="143" spans="3:21" x14ac:dyDescent="0.25">
      <c r="C143" s="136" t="s">
        <v>143</v>
      </c>
      <c r="D143" s="183">
        <f>F100</f>
        <v>4.0813818503582935</v>
      </c>
      <c r="E143" s="183"/>
      <c r="F143" s="136" t="s">
        <v>369</v>
      </c>
      <c r="H143" s="196">
        <f>(H66+H69)*Q143</f>
        <v>5.8455000000000004</v>
      </c>
      <c r="I143" s="196"/>
      <c r="J143" s="196">
        <f>K143*$H$146</f>
        <v>2.314737</v>
      </c>
      <c r="K143" s="179">
        <v>0.15</v>
      </c>
      <c r="L143" s="151" t="s">
        <v>414</v>
      </c>
      <c r="P143" s="197">
        <v>0.86</v>
      </c>
      <c r="Q143" s="139">
        <f>B93</f>
        <v>27</v>
      </c>
    </row>
    <row r="144" spans="3:21" x14ac:dyDescent="0.25">
      <c r="C144" s="136" t="s">
        <v>317</v>
      </c>
      <c r="D144" s="183">
        <f>F101</f>
        <v>20.627230264875688</v>
      </c>
      <c r="E144" s="183"/>
      <c r="F144" s="136" t="s">
        <v>369</v>
      </c>
      <c r="H144" s="196">
        <f>H67*Q144</f>
        <v>4.1859999999999999</v>
      </c>
      <c r="I144" s="196"/>
      <c r="J144" s="196">
        <f>K144*$H$146</f>
        <v>1.543158</v>
      </c>
      <c r="K144" s="179">
        <v>0.1</v>
      </c>
      <c r="L144" s="151" t="s">
        <v>414</v>
      </c>
      <c r="P144" s="198">
        <v>0.9</v>
      </c>
      <c r="Q144" s="139">
        <f>B94</f>
        <v>28</v>
      </c>
    </row>
    <row r="145" spans="2:21" x14ac:dyDescent="0.25">
      <c r="B145" s="189" t="s">
        <v>415</v>
      </c>
      <c r="C145" s="136" t="s">
        <v>416</v>
      </c>
      <c r="D145" s="183"/>
      <c r="E145" s="183"/>
      <c r="F145" s="136" t="s">
        <v>369</v>
      </c>
      <c r="H145" s="196">
        <f>Q145*H68</f>
        <v>7.7175000000000002</v>
      </c>
      <c r="I145" s="196"/>
      <c r="J145" s="196">
        <f>K145*$H$146/P145</f>
        <v>13.457773255813954</v>
      </c>
      <c r="K145" s="179">
        <v>0.75</v>
      </c>
      <c r="L145" s="151" t="s">
        <v>414</v>
      </c>
      <c r="P145" s="199">
        <v>0.86</v>
      </c>
      <c r="Q145" s="157">
        <f>S148/1000</f>
        <v>31.5</v>
      </c>
      <c r="S145" s="189" t="s">
        <v>417</v>
      </c>
    </row>
    <row r="146" spans="2:21" x14ac:dyDescent="0.25">
      <c r="B146" s="189" t="s">
        <v>418</v>
      </c>
      <c r="D146" s="200">
        <f>SUMPRODUCT(D143:D145,P143:P145)</f>
        <v>22.074495629696251</v>
      </c>
      <c r="E146" s="200"/>
      <c r="F146" s="165"/>
      <c r="G146" s="165"/>
      <c r="H146" s="201">
        <f>SUMPRODUCT(H143:H145,P143:P145)</f>
        <v>15.43158</v>
      </c>
      <c r="I146" s="201"/>
      <c r="J146" s="201">
        <f>SUMPRODUCT(J143:J145,P143:P145)</f>
        <v>14.953201020000002</v>
      </c>
      <c r="K146" s="181"/>
      <c r="S146" s="136" t="s">
        <v>419</v>
      </c>
    </row>
    <row r="147" spans="2:21" x14ac:dyDescent="0.25">
      <c r="C147" s="165" t="s">
        <v>435</v>
      </c>
      <c r="S147" s="136">
        <v>7500</v>
      </c>
      <c r="T147" s="136" t="s">
        <v>420</v>
      </c>
    </row>
    <row r="148" spans="2:21" x14ac:dyDescent="0.25">
      <c r="C148" s="136" t="s">
        <v>421</v>
      </c>
      <c r="D148" s="202">
        <v>3.2245200000000001</v>
      </c>
      <c r="E148" s="202"/>
      <c r="F148" s="202" t="s">
        <v>436</v>
      </c>
      <c r="G148" s="202"/>
      <c r="H148" s="202">
        <f>D148*((H144+H143)/H146)</f>
        <v>2.0961413141104153</v>
      </c>
      <c r="I148" s="202"/>
      <c r="J148" s="202">
        <f>D148*((J144+J143)/J146)</f>
        <v>0.83191950464396269</v>
      </c>
      <c r="S148" s="136">
        <f>S147*4.2</f>
        <v>31500</v>
      </c>
      <c r="T148" s="136" t="s">
        <v>422</v>
      </c>
      <c r="U148" s="136" t="s">
        <v>423</v>
      </c>
    </row>
    <row r="149" spans="2:21" x14ac:dyDescent="0.25">
      <c r="D149" s="136" t="s">
        <v>437</v>
      </c>
    </row>
    <row r="152" spans="2:21" x14ac:dyDescent="0.25">
      <c r="P152" s="136" t="s">
        <v>424</v>
      </c>
      <c r="U152" s="136" t="s">
        <v>425</v>
      </c>
    </row>
    <row r="153" spans="2:21" x14ac:dyDescent="0.25">
      <c r="P153" s="137" t="s">
        <v>426</v>
      </c>
      <c r="Q153" s="138">
        <v>10</v>
      </c>
      <c r="R153" s="138" t="s">
        <v>427</v>
      </c>
      <c r="S153" s="139"/>
      <c r="U153" s="136" t="s">
        <v>428</v>
      </c>
    </row>
    <row r="154" spans="2:21" x14ac:dyDescent="0.25">
      <c r="P154" s="145" t="s">
        <v>429</v>
      </c>
      <c r="Q154" s="136">
        <v>79</v>
      </c>
      <c r="R154" s="136" t="s">
        <v>430</v>
      </c>
      <c r="S154" s="141"/>
    </row>
    <row r="155" spans="2:21" x14ac:dyDescent="0.25">
      <c r="P155" s="145"/>
      <c r="Q155" s="136">
        <f>Q154*Q160</f>
        <v>88.48</v>
      </c>
      <c r="R155" s="136" t="s">
        <v>431</v>
      </c>
      <c r="S155" s="141"/>
    </row>
    <row r="156" spans="2:21" x14ac:dyDescent="0.25">
      <c r="P156" s="145"/>
      <c r="Q156" s="136">
        <f>Q155*Q159</f>
        <v>1053.7968000000001</v>
      </c>
      <c r="R156" s="136" t="s">
        <v>432</v>
      </c>
      <c r="S156" s="141"/>
    </row>
    <row r="157" spans="2:21" x14ac:dyDescent="0.25">
      <c r="P157" s="145"/>
      <c r="S157" s="141"/>
    </row>
    <row r="158" spans="2:21" x14ac:dyDescent="0.25">
      <c r="P158" s="145"/>
      <c r="S158" s="141"/>
    </row>
    <row r="159" spans="2:21" x14ac:dyDescent="0.25">
      <c r="P159" s="145"/>
      <c r="Q159" s="136">
        <v>11.91</v>
      </c>
      <c r="R159" s="136" t="s">
        <v>433</v>
      </c>
      <c r="S159" s="141"/>
    </row>
    <row r="160" spans="2:21" x14ac:dyDescent="0.25">
      <c r="P160" s="145"/>
      <c r="Q160" s="136">
        <v>1.1200000000000001</v>
      </c>
      <c r="R160" s="136" t="s">
        <v>434</v>
      </c>
      <c r="S160" s="141"/>
    </row>
    <row r="161" spans="6:19" x14ac:dyDescent="0.25">
      <c r="P161" s="145" t="s">
        <v>387</v>
      </c>
      <c r="Q161" s="153">
        <v>0.33</v>
      </c>
      <c r="S161" s="141"/>
    </row>
    <row r="162" spans="6:19" x14ac:dyDescent="0.25">
      <c r="P162" s="155"/>
      <c r="Q162" s="156"/>
      <c r="R162" s="156"/>
      <c r="S162" s="157"/>
    </row>
    <row r="174" spans="6:19" x14ac:dyDescent="0.25">
      <c r="F174" s="203"/>
    </row>
  </sheetData>
  <mergeCells count="12">
    <mergeCell ref="C27:C28"/>
    <mergeCell ref="B3:B5"/>
    <mergeCell ref="B6:B8"/>
    <mergeCell ref="B9:B11"/>
    <mergeCell ref="B12:B14"/>
    <mergeCell ref="C21:C22"/>
    <mergeCell ref="C24:C25"/>
    <mergeCell ref="D21:D22"/>
    <mergeCell ref="D24:D25"/>
    <mergeCell ref="E24:E25"/>
    <mergeCell ref="D27:D28"/>
    <mergeCell ref="E27:E28"/>
  </mergeCells>
  <hyperlinks>
    <hyperlink ref="P19" r:id="rId1" xr:uid="{8CFFA192-6679-4FBF-B0CE-9327F43C0D73}"/>
    <hyperlink ref="P30" r:id="rId2" xr:uid="{4E92E403-BC6C-4CC8-B0C3-0B98EF8FA85B}"/>
    <hyperlink ref="O27" r:id="rId3" xr:uid="{F6CDAB3A-729E-4516-A731-E27AF848E3AE}"/>
    <hyperlink ref="J29" r:id="rId4" xr:uid="{47D745A9-A6DA-4CAD-A438-F113815CB21C}"/>
    <hyperlink ref="P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96" customWidth="1"/>
    <col min="2" max="3" width="19.42578125" style="296" customWidth="1"/>
    <col min="4" max="4" width="14.140625" style="296" customWidth="1"/>
    <col min="5" max="5" width="32.85546875" style="296" customWidth="1"/>
    <col min="6" max="6" width="9.5703125" style="296" bestFit="1" customWidth="1"/>
    <col min="7" max="7" width="11.42578125" style="296" bestFit="1" customWidth="1"/>
    <col min="8" max="8" width="12" style="296" customWidth="1"/>
    <col min="9" max="9" width="12.28515625" style="296" customWidth="1"/>
    <col min="10" max="10" width="10.28515625" style="296" customWidth="1"/>
    <col min="11" max="11" width="7.42578125" style="296" bestFit="1" customWidth="1"/>
    <col min="12" max="13" width="10.7109375" style="296" bestFit="1" customWidth="1"/>
    <col min="14" max="16384" width="9.140625" style="296"/>
  </cols>
  <sheetData>
    <row r="1" spans="2:10" ht="21.75" customHeight="1" x14ac:dyDescent="0.4">
      <c r="B1" s="295" t="s">
        <v>531</v>
      </c>
      <c r="C1" s="295"/>
    </row>
    <row r="4" spans="2:10" ht="15" x14ac:dyDescent="0.2">
      <c r="B4" s="297" t="s">
        <v>532</v>
      </c>
      <c r="C4" s="297"/>
    </row>
    <row r="6" spans="2:10" ht="18" x14ac:dyDescent="0.25">
      <c r="B6" s="298" t="s">
        <v>533</v>
      </c>
      <c r="C6" s="298"/>
      <c r="D6" s="299"/>
    </row>
    <row r="7" spans="2:10" ht="17.25" customHeight="1" x14ac:dyDescent="0.2">
      <c r="B7" s="300" t="s">
        <v>534</v>
      </c>
      <c r="C7" s="300"/>
    </row>
    <row r="8" spans="2:10" ht="18" customHeight="1" x14ac:dyDescent="0.2">
      <c r="B8" s="301" t="s">
        <v>535</v>
      </c>
      <c r="C8" s="302" t="s">
        <v>16</v>
      </c>
      <c r="D8" s="301" t="s">
        <v>40</v>
      </c>
      <c r="E8" s="301" t="s">
        <v>41</v>
      </c>
      <c r="F8" s="303" t="s">
        <v>441</v>
      </c>
      <c r="G8" s="303" t="s">
        <v>536</v>
      </c>
      <c r="H8" s="303" t="s">
        <v>537</v>
      </c>
      <c r="I8" s="303" t="s">
        <v>538</v>
      </c>
      <c r="J8" s="303" t="s">
        <v>539</v>
      </c>
    </row>
    <row r="9" spans="2:10" ht="39" thickBot="1" x14ac:dyDescent="0.25">
      <c r="B9" s="304" t="s">
        <v>540</v>
      </c>
      <c r="C9" s="305" t="s">
        <v>541</v>
      </c>
      <c r="D9" s="304" t="s">
        <v>542</v>
      </c>
      <c r="E9" s="304" t="s">
        <v>543</v>
      </c>
      <c r="F9" s="304" t="s">
        <v>441</v>
      </c>
      <c r="G9" s="304" t="s">
        <v>544</v>
      </c>
      <c r="H9" s="304" t="s">
        <v>545</v>
      </c>
      <c r="I9" s="304" t="s">
        <v>546</v>
      </c>
      <c r="J9" s="304" t="s">
        <v>547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572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473</v>
      </c>
      <c r="E11" s="29" t="s">
        <v>573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569</v>
      </c>
      <c r="F12" s="29" t="s">
        <v>116</v>
      </c>
      <c r="G12" s="29"/>
      <c r="H12" s="29" t="s">
        <v>570</v>
      </c>
      <c r="I12" s="29"/>
      <c r="J12" s="29" t="s">
        <v>571</v>
      </c>
    </row>
    <row r="13" spans="2:10" x14ac:dyDescent="0.2">
      <c r="B13" s="29" t="s">
        <v>38</v>
      </c>
      <c r="C13" s="29" t="s">
        <v>128</v>
      </c>
      <c r="D13" s="31" t="s">
        <v>589</v>
      </c>
      <c r="E13" s="31" t="s">
        <v>574</v>
      </c>
      <c r="F13" s="29" t="s">
        <v>116</v>
      </c>
      <c r="G13" s="306"/>
      <c r="H13" s="29" t="s">
        <v>124</v>
      </c>
      <c r="I13" s="306"/>
      <c r="J13" s="306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515</v>
      </c>
      <c r="E17" s="9" t="s">
        <v>514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zoomScaleNormal="100" workbookViewId="0">
      <selection activeCell="R46" sqref="R45:R46"/>
    </sheetView>
  </sheetViews>
  <sheetFormatPr defaultColWidth="9.140625" defaultRowHeight="15.75" x14ac:dyDescent="0.25"/>
  <cols>
    <col min="1" max="1" width="9.140625" style="136"/>
    <col min="2" max="2" width="23.28515625" style="136" customWidth="1"/>
    <col min="3" max="3" width="9.140625" style="136"/>
    <col min="4" max="4" width="14.140625" style="136" bestFit="1" customWidth="1"/>
    <col min="5" max="5" width="11.28515625" style="136" bestFit="1" customWidth="1"/>
    <col min="6" max="6" width="13.5703125" style="136" bestFit="1" customWidth="1"/>
    <col min="7" max="7" width="11.28515625" style="136" bestFit="1" customWidth="1"/>
    <col min="8" max="8" width="13.7109375" style="136" customWidth="1"/>
    <col min="9" max="10" width="11.28515625" style="136" bestFit="1" customWidth="1"/>
    <col min="11" max="14" width="9.140625" style="136"/>
    <col min="15" max="17" width="14.140625" style="136" bestFit="1" customWidth="1"/>
    <col min="18" max="16384" width="9.140625" style="136"/>
  </cols>
  <sheetData>
    <row r="2" spans="1:17" ht="23.25" x14ac:dyDescent="0.35">
      <c r="A2" s="204" t="s">
        <v>377</v>
      </c>
    </row>
    <row r="4" spans="1:17" x14ac:dyDescent="0.25">
      <c r="B4" s="136" t="s">
        <v>439</v>
      </c>
    </row>
    <row r="5" spans="1:17" x14ac:dyDescent="0.25">
      <c r="B5" s="205" t="s">
        <v>440</v>
      </c>
      <c r="C5" s="138"/>
      <c r="D5" s="138" t="s">
        <v>441</v>
      </c>
      <c r="E5" s="206">
        <v>2012</v>
      </c>
      <c r="F5" s="206">
        <v>2013</v>
      </c>
      <c r="G5" s="206">
        <v>2014</v>
      </c>
      <c r="H5" s="206">
        <v>2015</v>
      </c>
      <c r="I5" s="206">
        <v>2016</v>
      </c>
      <c r="J5" s="206">
        <v>2017</v>
      </c>
      <c r="K5" s="139"/>
    </row>
    <row r="6" spans="1:17" x14ac:dyDescent="0.25">
      <c r="B6" s="145" t="s">
        <v>442</v>
      </c>
      <c r="D6" s="136" t="s">
        <v>443</v>
      </c>
      <c r="E6" s="207">
        <v>3063000</v>
      </c>
      <c r="F6" s="207">
        <v>3219000</v>
      </c>
      <c r="G6" s="207">
        <v>3719000</v>
      </c>
      <c r="H6" s="207">
        <v>3685000</v>
      </c>
      <c r="I6" s="207">
        <v>3334705.7</v>
      </c>
      <c r="J6" s="207">
        <v>3370941.2</v>
      </c>
      <c r="K6" s="141"/>
    </row>
    <row r="7" spans="1:17" x14ac:dyDescent="0.25">
      <c r="B7" s="145" t="s">
        <v>444</v>
      </c>
      <c r="D7" s="136" t="s">
        <v>443</v>
      </c>
      <c r="E7" s="207">
        <v>706000</v>
      </c>
      <c r="F7" s="207">
        <v>681000</v>
      </c>
      <c r="G7" s="207">
        <v>814263</v>
      </c>
      <c r="H7" s="207">
        <v>492000</v>
      </c>
      <c r="I7" s="207">
        <v>684016.60000000009</v>
      </c>
      <c r="J7" s="207">
        <v>707122.60000000009</v>
      </c>
      <c r="K7" s="141"/>
    </row>
    <row r="8" spans="1:17" x14ac:dyDescent="0.25">
      <c r="B8" s="145" t="s">
        <v>445</v>
      </c>
      <c r="D8" s="136" t="s">
        <v>443</v>
      </c>
      <c r="E8" s="207">
        <v>177000</v>
      </c>
      <c r="F8" s="207">
        <v>163000</v>
      </c>
      <c r="G8" s="207">
        <v>194737</v>
      </c>
      <c r="H8" s="207">
        <v>123000</v>
      </c>
      <c r="I8" s="207">
        <v>163139.26354372373</v>
      </c>
      <c r="J8" s="207">
        <v>155493.5440824645</v>
      </c>
      <c r="K8" s="141"/>
    </row>
    <row r="9" spans="1:17" x14ac:dyDescent="0.25">
      <c r="B9" s="145" t="s">
        <v>446</v>
      </c>
      <c r="D9" s="136" t="s">
        <v>443</v>
      </c>
      <c r="E9" s="207">
        <v>83100</v>
      </c>
      <c r="F9" s="207">
        <v>78400</v>
      </c>
      <c r="G9" s="207">
        <v>87700</v>
      </c>
      <c r="H9" s="207">
        <v>138000</v>
      </c>
      <c r="I9" s="207">
        <v>105948</v>
      </c>
      <c r="J9" s="207">
        <v>104183</v>
      </c>
      <c r="K9" s="141"/>
    </row>
    <row r="10" spans="1:17" x14ac:dyDescent="0.25">
      <c r="B10" s="145" t="s">
        <v>447</v>
      </c>
      <c r="D10" s="136" t="s">
        <v>443</v>
      </c>
      <c r="E10" s="207">
        <v>53000</v>
      </c>
      <c r="F10" s="207">
        <v>34000</v>
      </c>
      <c r="G10" s="207">
        <v>47200</v>
      </c>
      <c r="H10" s="207">
        <v>42600</v>
      </c>
      <c r="I10" s="207">
        <v>38251.659999999996</v>
      </c>
      <c r="J10" s="207">
        <v>35013.760000000002</v>
      </c>
      <c r="K10" s="141"/>
    </row>
    <row r="11" spans="1:17" x14ac:dyDescent="0.25">
      <c r="B11" s="155"/>
      <c r="C11" s="156"/>
      <c r="D11" s="156"/>
      <c r="E11" s="156"/>
      <c r="F11" s="156"/>
      <c r="G11" s="156"/>
      <c r="H11" s="156"/>
      <c r="I11" s="156"/>
      <c r="J11" s="156"/>
      <c r="K11" s="157"/>
    </row>
    <row r="14" spans="1:17" x14ac:dyDescent="0.25">
      <c r="B14" s="136" t="s">
        <v>448</v>
      </c>
    </row>
    <row r="15" spans="1:17" x14ac:dyDescent="0.25">
      <c r="B15" s="137"/>
      <c r="C15" s="138"/>
      <c r="D15" s="138"/>
      <c r="E15" s="138"/>
      <c r="F15" s="138"/>
      <c r="G15" s="138"/>
      <c r="H15" s="138"/>
      <c r="I15" s="138"/>
      <c r="J15" s="138"/>
      <c r="K15" s="139"/>
      <c r="O15" s="206">
        <v>2015</v>
      </c>
      <c r="P15" s="206">
        <v>2016</v>
      </c>
      <c r="Q15" s="206">
        <v>2017</v>
      </c>
    </row>
    <row r="16" spans="1:17" x14ac:dyDescent="0.25">
      <c r="B16" s="145" t="s">
        <v>449</v>
      </c>
      <c r="E16" s="166">
        <f t="shared" ref="E16:J16" si="0">E6</f>
        <v>3063000</v>
      </c>
      <c r="F16" s="166">
        <f t="shared" si="0"/>
        <v>3219000</v>
      </c>
      <c r="G16" s="166">
        <f t="shared" si="0"/>
        <v>3719000</v>
      </c>
      <c r="H16" s="166">
        <f t="shared" si="0"/>
        <v>3685000</v>
      </c>
      <c r="I16" s="166">
        <f t="shared" si="0"/>
        <v>3334705.7</v>
      </c>
      <c r="J16" s="166">
        <f t="shared" si="0"/>
        <v>3370941.2</v>
      </c>
      <c r="K16" s="141"/>
      <c r="N16" s="145" t="s">
        <v>449</v>
      </c>
      <c r="O16" s="207">
        <v>3685000</v>
      </c>
      <c r="P16" s="207">
        <v>3334705.7</v>
      </c>
      <c r="Q16" s="207">
        <v>3370941.2</v>
      </c>
    </row>
    <row r="17" spans="1:17" x14ac:dyDescent="0.25">
      <c r="B17" s="145" t="s">
        <v>450</v>
      </c>
      <c r="E17" s="166">
        <f t="shared" ref="E17:J17" si="1">E7+E8</f>
        <v>883000</v>
      </c>
      <c r="F17" s="166">
        <f t="shared" si="1"/>
        <v>844000</v>
      </c>
      <c r="G17" s="166">
        <f t="shared" si="1"/>
        <v>1009000</v>
      </c>
      <c r="H17" s="166">
        <f t="shared" si="1"/>
        <v>615000</v>
      </c>
      <c r="I17" s="166">
        <f t="shared" si="1"/>
        <v>847155.86354372383</v>
      </c>
      <c r="J17" s="166">
        <f t="shared" si="1"/>
        <v>862616.14408246463</v>
      </c>
      <c r="K17" s="141"/>
      <c r="N17" s="145" t="s">
        <v>450</v>
      </c>
      <c r="O17" s="207">
        <v>615000</v>
      </c>
      <c r="P17" s="207">
        <v>847155.86354372383</v>
      </c>
      <c r="Q17" s="207">
        <v>862616.14408246463</v>
      </c>
    </row>
    <row r="18" spans="1:17" x14ac:dyDescent="0.25">
      <c r="B18" s="145" t="s">
        <v>451</v>
      </c>
      <c r="E18" s="166">
        <f t="shared" ref="E18:J18" si="2">E9+E10</f>
        <v>136100</v>
      </c>
      <c r="F18" s="166">
        <f t="shared" si="2"/>
        <v>112400</v>
      </c>
      <c r="G18" s="166">
        <f t="shared" si="2"/>
        <v>134900</v>
      </c>
      <c r="H18" s="166">
        <f t="shared" si="2"/>
        <v>180600</v>
      </c>
      <c r="I18" s="166">
        <f t="shared" si="2"/>
        <v>144199.66</v>
      </c>
      <c r="J18" s="166">
        <f t="shared" si="2"/>
        <v>139196.76</v>
      </c>
      <c r="K18" s="141"/>
      <c r="N18" s="145" t="s">
        <v>451</v>
      </c>
      <c r="O18" s="207">
        <v>180600</v>
      </c>
      <c r="P18" s="207">
        <v>144199.66</v>
      </c>
      <c r="Q18" s="207">
        <v>139196.76</v>
      </c>
    </row>
    <row r="19" spans="1:17" x14ac:dyDescent="0.25">
      <c r="B19" s="145"/>
      <c r="E19" s="166">
        <f t="shared" ref="E19:J19" si="3">SUM(E16:E18)</f>
        <v>4082100</v>
      </c>
      <c r="F19" s="166">
        <f t="shared" si="3"/>
        <v>4175400</v>
      </c>
      <c r="G19" s="166">
        <f t="shared" si="3"/>
        <v>4862900</v>
      </c>
      <c r="H19" s="166">
        <f t="shared" si="3"/>
        <v>4480600</v>
      </c>
      <c r="I19" s="166">
        <f t="shared" si="3"/>
        <v>4326061.223543724</v>
      </c>
      <c r="J19" s="166">
        <f t="shared" si="3"/>
        <v>4372754.1040824642</v>
      </c>
      <c r="K19" s="141"/>
      <c r="N19" s="145" t="s">
        <v>452</v>
      </c>
      <c r="O19" s="207">
        <v>4480600</v>
      </c>
      <c r="P19" s="207">
        <v>4326061.223543724</v>
      </c>
      <c r="Q19" s="207">
        <v>4372754.1040824642</v>
      </c>
    </row>
    <row r="20" spans="1:17" x14ac:dyDescent="0.25">
      <c r="B20" s="155"/>
      <c r="C20" s="156"/>
      <c r="D20" s="156"/>
      <c r="E20" s="156"/>
      <c r="F20" s="156"/>
      <c r="G20" s="156"/>
      <c r="H20" s="156"/>
      <c r="I20" s="156"/>
      <c r="J20" s="156"/>
      <c r="K20" s="157"/>
    </row>
    <row r="24" spans="1:17" ht="23.25" x14ac:dyDescent="0.35">
      <c r="A24" s="204" t="s">
        <v>226</v>
      </c>
    </row>
    <row r="26" spans="1:17" ht="50.25" customHeight="1" x14ac:dyDescent="0.25">
      <c r="B26" s="137"/>
      <c r="C26" s="138"/>
      <c r="D26" s="208" t="s">
        <v>453</v>
      </c>
      <c r="E26" s="139"/>
    </row>
    <row r="27" spans="1:17" x14ac:dyDescent="0.25">
      <c r="B27" s="145" t="s">
        <v>442</v>
      </c>
      <c r="D27" s="207">
        <v>3719000</v>
      </c>
      <c r="E27" s="141"/>
    </row>
    <row r="28" spans="1:17" x14ac:dyDescent="0.25">
      <c r="B28" s="145" t="s">
        <v>444</v>
      </c>
      <c r="D28" s="207">
        <v>814263</v>
      </c>
      <c r="E28" s="141"/>
    </row>
    <row r="29" spans="1:17" x14ac:dyDescent="0.25">
      <c r="B29" s="145" t="s">
        <v>445</v>
      </c>
      <c r="D29" s="207">
        <v>350000</v>
      </c>
      <c r="E29" s="141"/>
    </row>
    <row r="30" spans="1:17" x14ac:dyDescent="0.25">
      <c r="B30" s="145" t="s">
        <v>446</v>
      </c>
      <c r="D30" s="207">
        <v>148900</v>
      </c>
      <c r="E30" s="141"/>
    </row>
    <row r="31" spans="1:17" x14ac:dyDescent="0.25">
      <c r="B31" s="145" t="s">
        <v>447</v>
      </c>
      <c r="D31" s="207">
        <v>58800</v>
      </c>
      <c r="E31" s="141"/>
    </row>
    <row r="32" spans="1:17" x14ac:dyDescent="0.25">
      <c r="B32" s="155"/>
      <c r="C32" s="156"/>
      <c r="D32" s="156"/>
      <c r="E32" s="157"/>
    </row>
    <row r="35" spans="2:12" x14ac:dyDescent="0.25">
      <c r="B35" s="136" t="s">
        <v>454</v>
      </c>
    </row>
    <row r="36" spans="2:12" x14ac:dyDescent="0.25">
      <c r="B36" s="137"/>
      <c r="C36" s="138"/>
      <c r="D36" s="138"/>
      <c r="E36" s="138"/>
      <c r="F36" s="138"/>
      <c r="G36" s="138"/>
      <c r="H36" s="138"/>
      <c r="I36" s="138"/>
      <c r="J36" s="138"/>
      <c r="K36" s="139"/>
    </row>
    <row r="37" spans="2:12" x14ac:dyDescent="0.25">
      <c r="B37" s="145" t="s">
        <v>449</v>
      </c>
      <c r="D37" s="166">
        <f>D27</f>
        <v>3719000</v>
      </c>
      <c r="F37" s="136">
        <f>D37/$D$40</f>
        <v>0.73051012156246276</v>
      </c>
      <c r="K37" s="141"/>
    </row>
    <row r="38" spans="2:12" x14ac:dyDescent="0.25">
      <c r="B38" s="145" t="s">
        <v>450</v>
      </c>
      <c r="D38" s="166">
        <f>D29+D28</f>
        <v>1164263</v>
      </c>
      <c r="F38" s="136">
        <f>D38/$D$40</f>
        <v>0.2286920961711959</v>
      </c>
      <c r="K38" s="141"/>
    </row>
    <row r="39" spans="2:12" x14ac:dyDescent="0.25">
      <c r="B39" s="145" t="s">
        <v>451</v>
      </c>
      <c r="D39" s="166">
        <f>D31+D30</f>
        <v>207700</v>
      </c>
      <c r="F39" s="136">
        <f>D39/$D$40</f>
        <v>4.0797782266341356E-2</v>
      </c>
      <c r="K39" s="141"/>
    </row>
    <row r="40" spans="2:12" x14ac:dyDescent="0.25">
      <c r="B40" s="145" t="s">
        <v>455</v>
      </c>
      <c r="D40" s="166">
        <f>SUM(D37:D39)</f>
        <v>5090963</v>
      </c>
      <c r="K40" s="141"/>
    </row>
    <row r="41" spans="2:12" x14ac:dyDescent="0.25">
      <c r="B41" s="155"/>
      <c r="C41" s="156"/>
      <c r="D41" s="156"/>
      <c r="E41" s="156"/>
      <c r="F41" s="156"/>
      <c r="G41" s="156"/>
      <c r="H41" s="156"/>
      <c r="I41" s="156"/>
      <c r="J41" s="156"/>
      <c r="K41" s="157"/>
    </row>
    <row r="45" spans="2:12" x14ac:dyDescent="0.25">
      <c r="B45" s="136" t="s">
        <v>456</v>
      </c>
    </row>
    <row r="46" spans="2:12" x14ac:dyDescent="0.25"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9"/>
    </row>
    <row r="47" spans="2:12" ht="28.5" x14ac:dyDescent="0.25">
      <c r="B47" s="209" t="s">
        <v>457</v>
      </c>
      <c r="C47" s="210" t="s">
        <v>458</v>
      </c>
      <c r="D47" s="211"/>
      <c r="E47" s="329" t="s">
        <v>459</v>
      </c>
      <c r="F47" s="330"/>
      <c r="G47" s="331" t="s">
        <v>460</v>
      </c>
      <c r="H47" s="331"/>
      <c r="I47" s="331"/>
      <c r="L47" s="141"/>
    </row>
    <row r="48" spans="2:12" ht="28.5" x14ac:dyDescent="0.25">
      <c r="B48" s="212"/>
      <c r="C48" s="213"/>
      <c r="D48" s="214" t="s">
        <v>461</v>
      </c>
      <c r="E48" s="215" t="s">
        <v>21</v>
      </c>
      <c r="F48" s="216" t="s">
        <v>462</v>
      </c>
      <c r="G48" s="332" t="s">
        <v>463</v>
      </c>
      <c r="H48" s="332"/>
      <c r="I48" s="217" t="s">
        <v>462</v>
      </c>
      <c r="L48" s="141"/>
    </row>
    <row r="49" spans="2:12" x14ac:dyDescent="0.25">
      <c r="B49" s="218"/>
      <c r="C49" s="219" t="s">
        <v>464</v>
      </c>
      <c r="D49" s="220" t="s">
        <v>464</v>
      </c>
      <c r="E49" s="219" t="s">
        <v>465</v>
      </c>
      <c r="F49" s="221" t="s">
        <v>466</v>
      </c>
      <c r="G49" s="219" t="s">
        <v>464</v>
      </c>
      <c r="H49" s="222" t="s">
        <v>465</v>
      </c>
      <c r="I49" s="219" t="s">
        <v>466</v>
      </c>
      <c r="L49" s="141"/>
    </row>
    <row r="50" spans="2:12" x14ac:dyDescent="0.25">
      <c r="B50" s="223">
        <v>2006</v>
      </c>
      <c r="C50" s="224">
        <v>3030</v>
      </c>
      <c r="D50" s="225">
        <v>353</v>
      </c>
      <c r="E50" s="224">
        <v>1352224</v>
      </c>
      <c r="F50" s="226">
        <v>3832</v>
      </c>
      <c r="G50" s="227">
        <v>2581</v>
      </c>
      <c r="H50" s="228">
        <v>10370421</v>
      </c>
      <c r="I50" s="229">
        <v>4017</v>
      </c>
      <c r="L50" s="141"/>
    </row>
    <row r="51" spans="2:12" x14ac:dyDescent="0.25">
      <c r="B51" s="230">
        <v>2007</v>
      </c>
      <c r="C51" s="231">
        <v>3552</v>
      </c>
      <c r="D51" s="232">
        <v>395</v>
      </c>
      <c r="E51" s="231">
        <v>1995161</v>
      </c>
      <c r="F51" s="233">
        <v>5047</v>
      </c>
      <c r="G51" s="234">
        <v>2969</v>
      </c>
      <c r="H51" s="235">
        <v>15520338</v>
      </c>
      <c r="I51" s="236">
        <v>5227</v>
      </c>
      <c r="L51" s="141"/>
    </row>
    <row r="52" spans="2:12" x14ac:dyDescent="0.25">
      <c r="B52" s="230">
        <v>2008</v>
      </c>
      <c r="C52" s="231">
        <v>3269</v>
      </c>
      <c r="D52" s="232">
        <v>334</v>
      </c>
      <c r="E52" s="231">
        <v>3415822</v>
      </c>
      <c r="F52" s="233">
        <v>10227</v>
      </c>
      <c r="G52" s="234">
        <v>2525</v>
      </c>
      <c r="H52" s="235">
        <v>28355767</v>
      </c>
      <c r="I52" s="234">
        <v>11230</v>
      </c>
      <c r="L52" s="141"/>
    </row>
    <row r="53" spans="2:12" x14ac:dyDescent="0.25">
      <c r="B53" s="230">
        <v>2009</v>
      </c>
      <c r="C53" s="231">
        <v>2346</v>
      </c>
      <c r="D53" s="232">
        <v>432</v>
      </c>
      <c r="E53" s="231">
        <v>2252973</v>
      </c>
      <c r="F53" s="233">
        <v>5215</v>
      </c>
      <c r="G53" s="234">
        <v>2621</v>
      </c>
      <c r="H53" s="235">
        <v>15881599</v>
      </c>
      <c r="I53" s="236">
        <v>6059</v>
      </c>
      <c r="L53" s="141"/>
    </row>
    <row r="54" spans="2:12" x14ac:dyDescent="0.25">
      <c r="B54" s="230">
        <v>2010</v>
      </c>
      <c r="C54" s="231">
        <v>3607</v>
      </c>
      <c r="D54" s="232">
        <v>397</v>
      </c>
      <c r="E54" s="231">
        <v>2851837</v>
      </c>
      <c r="F54" s="233">
        <v>7183</v>
      </c>
      <c r="G54" s="234">
        <v>3116</v>
      </c>
      <c r="H54" s="235">
        <v>24216069</v>
      </c>
      <c r="I54" s="236">
        <v>7772</v>
      </c>
      <c r="L54" s="141"/>
    </row>
    <row r="55" spans="2:12" x14ac:dyDescent="0.25">
      <c r="B55" s="230">
        <v>2011</v>
      </c>
      <c r="C55" s="231">
        <v>3426</v>
      </c>
      <c r="D55" s="232">
        <v>451</v>
      </c>
      <c r="E55" s="231">
        <v>3430563</v>
      </c>
      <c r="F55" s="233">
        <v>7620</v>
      </c>
      <c r="G55" s="234">
        <v>3048</v>
      </c>
      <c r="H55" s="235">
        <v>23793442</v>
      </c>
      <c r="I55" s="236">
        <v>7817</v>
      </c>
      <c r="L55" s="141"/>
    </row>
    <row r="56" spans="2:12" x14ac:dyDescent="0.25">
      <c r="B56" s="230">
        <v>2012</v>
      </c>
      <c r="C56" s="231">
        <v>3063</v>
      </c>
      <c r="D56" s="232">
        <v>443</v>
      </c>
      <c r="E56" s="231">
        <v>3402210</v>
      </c>
      <c r="F56" s="233">
        <v>7677</v>
      </c>
      <c r="G56" s="234">
        <v>2745</v>
      </c>
      <c r="H56" s="235">
        <v>22290876</v>
      </c>
      <c r="I56" s="236">
        <v>8120</v>
      </c>
      <c r="L56" s="141"/>
    </row>
    <row r="57" spans="2:12" x14ac:dyDescent="0.25">
      <c r="B57" s="230">
        <v>2013</v>
      </c>
      <c r="C57" s="231">
        <v>3219</v>
      </c>
      <c r="D57" s="232">
        <v>360</v>
      </c>
      <c r="E57" s="231">
        <v>2983322</v>
      </c>
      <c r="F57" s="233">
        <v>8286</v>
      </c>
      <c r="G57" s="234">
        <v>2802</v>
      </c>
      <c r="H57" s="235">
        <v>25552642</v>
      </c>
      <c r="I57" s="236">
        <v>9120</v>
      </c>
      <c r="L57" s="141"/>
    </row>
    <row r="58" spans="2:12" x14ac:dyDescent="0.25">
      <c r="B58" s="230">
        <v>2014</v>
      </c>
      <c r="C58" s="231">
        <v>3719</v>
      </c>
      <c r="D58" s="232">
        <v>571</v>
      </c>
      <c r="E58" s="231">
        <v>5105685</v>
      </c>
      <c r="F58" s="233">
        <v>8937</v>
      </c>
      <c r="G58" s="234">
        <v>3192</v>
      </c>
      <c r="H58" s="235">
        <v>31079849</v>
      </c>
      <c r="I58" s="236">
        <v>9737</v>
      </c>
      <c r="L58" s="141"/>
    </row>
    <row r="59" spans="2:12" x14ac:dyDescent="0.25">
      <c r="B59" s="230">
        <v>2015</v>
      </c>
      <c r="C59" s="231">
        <v>3685</v>
      </c>
      <c r="D59" s="232">
        <v>613</v>
      </c>
      <c r="E59" s="231">
        <v>5678536</v>
      </c>
      <c r="F59" s="233">
        <v>9265</v>
      </c>
      <c r="G59" s="234">
        <v>3101</v>
      </c>
      <c r="H59" s="235">
        <v>30284468</v>
      </c>
      <c r="I59" s="236">
        <v>9767</v>
      </c>
      <c r="L59" s="141"/>
    </row>
    <row r="60" spans="2:12" x14ac:dyDescent="0.25">
      <c r="B60" s="230">
        <v>2016</v>
      </c>
      <c r="C60" s="231">
        <v>3524</v>
      </c>
      <c r="D60" s="232">
        <v>533</v>
      </c>
      <c r="E60" s="231">
        <v>5192025</v>
      </c>
      <c r="F60" s="233">
        <v>9733</v>
      </c>
      <c r="G60" s="234">
        <v>3284</v>
      </c>
      <c r="H60" s="235">
        <v>33379185</v>
      </c>
      <c r="I60" s="234">
        <v>10163</v>
      </c>
      <c r="L60" s="141"/>
    </row>
    <row r="61" spans="2:12" x14ac:dyDescent="0.25">
      <c r="B61" s="237">
        <v>2017</v>
      </c>
      <c r="C61" s="238">
        <v>3484</v>
      </c>
      <c r="D61" s="239">
        <v>524</v>
      </c>
      <c r="E61" s="240">
        <v>6228617</v>
      </c>
      <c r="F61" s="241">
        <v>11770</v>
      </c>
      <c r="G61" s="242">
        <v>2951</v>
      </c>
      <c r="H61" s="243">
        <v>37461378</v>
      </c>
      <c r="I61" s="242">
        <v>12649</v>
      </c>
      <c r="L61" s="141"/>
    </row>
    <row r="62" spans="2:12" x14ac:dyDescent="0.25">
      <c r="B62" s="145"/>
      <c r="L62" s="141"/>
    </row>
    <row r="63" spans="2:12" x14ac:dyDescent="0.25"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7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527</v>
      </c>
    </row>
    <row r="3" spans="3:6" x14ac:dyDescent="0.2">
      <c r="F3" s="67"/>
    </row>
    <row r="4" spans="3:6" x14ac:dyDescent="0.2">
      <c r="F4" s="67" t="s">
        <v>526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0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0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307" customWidth="1"/>
    <col min="2" max="2" width="15.85546875" style="307" customWidth="1"/>
    <col min="3" max="3" width="13.5703125" style="307" customWidth="1"/>
    <col min="4" max="4" width="11.7109375" style="307" customWidth="1"/>
    <col min="5" max="5" width="25.5703125" style="307" customWidth="1"/>
    <col min="6" max="7" width="9.140625" style="307"/>
    <col min="8" max="8" width="14.5703125" style="307" customWidth="1"/>
    <col min="9" max="9" width="12.28515625" style="307" customWidth="1"/>
    <col min="10" max="16384" width="9.140625" style="307"/>
  </cols>
  <sheetData>
    <row r="1" spans="1:10" ht="26.25" x14ac:dyDescent="0.4">
      <c r="B1" s="295" t="s">
        <v>531</v>
      </c>
    </row>
    <row r="2" spans="1:10" ht="18" x14ac:dyDescent="0.25">
      <c r="A2" s="308"/>
    </row>
    <row r="3" spans="1:10" ht="18" x14ac:dyDescent="0.25">
      <c r="A3" s="308"/>
      <c r="B3" s="297" t="s">
        <v>548</v>
      </c>
    </row>
    <row r="5" spans="1:10" ht="22.5" customHeight="1" x14ac:dyDescent="0.25">
      <c r="A5" s="309"/>
      <c r="B5" s="310" t="s">
        <v>549</v>
      </c>
    </row>
    <row r="6" spans="1:10" ht="18" customHeight="1" x14ac:dyDescent="0.2">
      <c r="B6" s="311" t="s">
        <v>550</v>
      </c>
      <c r="C6" s="311"/>
    </row>
    <row r="7" spans="1:10" ht="18" customHeight="1" x14ac:dyDescent="0.2">
      <c r="B7" s="312" t="s">
        <v>551</v>
      </c>
      <c r="C7" s="312" t="s">
        <v>16</v>
      </c>
      <c r="D7" s="312" t="s">
        <v>552</v>
      </c>
      <c r="E7" s="312" t="s">
        <v>553</v>
      </c>
      <c r="F7" s="312" t="s">
        <v>554</v>
      </c>
      <c r="G7" s="312" t="s">
        <v>555</v>
      </c>
      <c r="H7" s="312" t="s">
        <v>556</v>
      </c>
      <c r="I7" s="312" t="s">
        <v>557</v>
      </c>
      <c r="J7" s="312" t="s">
        <v>558</v>
      </c>
    </row>
    <row r="8" spans="1:10" ht="39" thickBot="1" x14ac:dyDescent="0.25">
      <c r="B8" s="305" t="s">
        <v>559</v>
      </c>
      <c r="C8" s="305" t="s">
        <v>541</v>
      </c>
      <c r="D8" s="305" t="s">
        <v>560</v>
      </c>
      <c r="E8" s="305" t="s">
        <v>561</v>
      </c>
      <c r="F8" s="305" t="s">
        <v>562</v>
      </c>
      <c r="G8" s="305" t="s">
        <v>563</v>
      </c>
      <c r="H8" s="305" t="s">
        <v>564</v>
      </c>
      <c r="I8" s="305" t="s">
        <v>565</v>
      </c>
      <c r="J8" s="305" t="s">
        <v>566</v>
      </c>
    </row>
    <row r="9" spans="1:10" x14ac:dyDescent="0.2">
      <c r="B9" s="313" t="s">
        <v>581</v>
      </c>
      <c r="C9" s="313" t="s">
        <v>128</v>
      </c>
      <c r="D9" s="307" t="s">
        <v>216</v>
      </c>
      <c r="E9" s="307" t="s">
        <v>575</v>
      </c>
      <c r="F9" s="313" t="s">
        <v>116</v>
      </c>
      <c r="G9" s="313" t="s">
        <v>582</v>
      </c>
      <c r="H9" s="313" t="s">
        <v>124</v>
      </c>
      <c r="I9" s="313"/>
      <c r="J9" s="313"/>
    </row>
    <row r="10" spans="1:10" x14ac:dyDescent="0.2">
      <c r="B10" s="313" t="s">
        <v>581</v>
      </c>
      <c r="C10" s="313" t="s">
        <v>128</v>
      </c>
      <c r="D10" s="307" t="s">
        <v>215</v>
      </c>
      <c r="E10" s="307" t="s">
        <v>576</v>
      </c>
      <c r="F10" s="313" t="s">
        <v>116</v>
      </c>
      <c r="G10" s="313" t="s">
        <v>582</v>
      </c>
      <c r="H10" s="313" t="s">
        <v>124</v>
      </c>
      <c r="I10" s="313"/>
      <c r="J10" s="313"/>
    </row>
    <row r="11" spans="1:10" x14ac:dyDescent="0.2">
      <c r="B11" s="313" t="s">
        <v>581</v>
      </c>
      <c r="C11" s="313" t="s">
        <v>128</v>
      </c>
      <c r="D11" s="307" t="s">
        <v>217</v>
      </c>
      <c r="E11" s="307" t="s">
        <v>577</v>
      </c>
      <c r="F11" s="313" t="s">
        <v>116</v>
      </c>
      <c r="G11" s="313" t="s">
        <v>582</v>
      </c>
      <c r="H11" s="313" t="s">
        <v>124</v>
      </c>
      <c r="I11" s="313"/>
      <c r="J11" s="313"/>
    </row>
    <row r="12" spans="1:10" x14ac:dyDescent="0.2">
      <c r="B12" s="313" t="s">
        <v>581</v>
      </c>
      <c r="C12" s="313" t="s">
        <v>128</v>
      </c>
      <c r="D12" s="307" t="s">
        <v>468</v>
      </c>
      <c r="E12" s="307" t="s">
        <v>578</v>
      </c>
      <c r="F12" s="313" t="s">
        <v>116</v>
      </c>
      <c r="G12" s="313" t="s">
        <v>582</v>
      </c>
      <c r="H12" s="313" t="s">
        <v>124</v>
      </c>
      <c r="I12" s="313"/>
      <c r="J12" s="313"/>
    </row>
    <row r="13" spans="1:10" x14ac:dyDescent="0.2">
      <c r="B13" s="313" t="s">
        <v>581</v>
      </c>
      <c r="C13" s="313" t="s">
        <v>128</v>
      </c>
      <c r="D13" s="307" t="s">
        <v>470</v>
      </c>
      <c r="E13" s="307" t="s">
        <v>579</v>
      </c>
      <c r="F13" s="307" t="s">
        <v>116</v>
      </c>
      <c r="G13" s="307" t="s">
        <v>582</v>
      </c>
      <c r="H13" s="313" t="s">
        <v>124</v>
      </c>
      <c r="I13" s="313"/>
      <c r="J13" s="313"/>
    </row>
    <row r="14" spans="1:10" x14ac:dyDescent="0.2">
      <c r="B14" s="313" t="s">
        <v>581</v>
      </c>
      <c r="C14" s="313" t="s">
        <v>128</v>
      </c>
      <c r="D14" s="307" t="s">
        <v>472</v>
      </c>
      <c r="E14" s="307" t="s">
        <v>580</v>
      </c>
      <c r="F14" s="307" t="s">
        <v>116</v>
      </c>
      <c r="G14" s="307" t="s">
        <v>582</v>
      </c>
      <c r="H14" s="313" t="s">
        <v>124</v>
      </c>
    </row>
    <row r="15" spans="1:10" x14ac:dyDescent="0.2">
      <c r="B15" s="313" t="s">
        <v>581</v>
      </c>
      <c r="C15" s="313" t="s">
        <v>128</v>
      </c>
      <c r="D15" s="307" t="s">
        <v>211</v>
      </c>
      <c r="E15" s="307" t="s">
        <v>208</v>
      </c>
      <c r="F15" s="307" t="s">
        <v>116</v>
      </c>
      <c r="G15" s="307" t="s">
        <v>582</v>
      </c>
      <c r="H15" s="313" t="s">
        <v>124</v>
      </c>
    </row>
  </sheetData>
  <phoneticPr fontId="1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AD36"/>
  <sheetViews>
    <sheetView tabSelected="1" zoomScale="115" zoomScaleNormal="115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K36" sqref="K36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10" width="9.140625" style="3"/>
    <col min="11" max="11" width="24.85546875" style="3" customWidth="1"/>
    <col min="12" max="18" width="9.140625" style="3"/>
    <col min="19" max="19" width="7.85546875" style="3" customWidth="1"/>
    <col min="20" max="20" width="7.5703125" style="3" customWidth="1"/>
    <col min="21" max="22" width="7.85546875" style="3" customWidth="1"/>
    <col min="23" max="16384" width="9.140625" style="3"/>
  </cols>
  <sheetData>
    <row r="1" spans="1:24" ht="11.25" customHeight="1" x14ac:dyDescent="0.2">
      <c r="A1" s="2"/>
      <c r="B1" s="9"/>
      <c r="G1" s="31"/>
      <c r="H1" s="31"/>
    </row>
    <row r="2" spans="1:24" ht="11.25" customHeight="1" x14ac:dyDescent="0.2">
      <c r="A2"/>
      <c r="G2" s="31"/>
      <c r="H2" s="31"/>
      <c r="I2" s="31"/>
      <c r="J2" s="31"/>
      <c r="K2" s="31"/>
      <c r="L2" s="31"/>
      <c r="M2" s="31"/>
    </row>
    <row r="3" spans="1:24" ht="34.5" customHeight="1" x14ac:dyDescent="0.2">
      <c r="G3" s="92" t="s">
        <v>148</v>
      </c>
      <c r="H3" s="92"/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146</v>
      </c>
      <c r="N3" s="92" t="s">
        <v>150</v>
      </c>
      <c r="O3" s="92" t="s">
        <v>192</v>
      </c>
      <c r="P3" s="92" t="s">
        <v>194</v>
      </c>
      <c r="Q3" s="92" t="s">
        <v>194</v>
      </c>
      <c r="R3" s="92" t="s">
        <v>194</v>
      </c>
      <c r="S3" s="3" t="s">
        <v>147</v>
      </c>
    </row>
    <row r="4" spans="1:24" ht="21.75" customHeight="1" x14ac:dyDescent="0.2">
      <c r="E4" s="27"/>
      <c r="F4" s="27"/>
      <c r="G4" s="39" t="s">
        <v>123</v>
      </c>
      <c r="H4" s="39"/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149</v>
      </c>
      <c r="N4" s="39" t="s">
        <v>151</v>
      </c>
      <c r="O4" s="39" t="s">
        <v>193</v>
      </c>
      <c r="P4" s="39" t="s">
        <v>195</v>
      </c>
      <c r="Q4" s="39" t="s">
        <v>195</v>
      </c>
      <c r="R4" s="39" t="s">
        <v>195</v>
      </c>
      <c r="S4" s="90" t="s">
        <v>145</v>
      </c>
      <c r="T4" s="90" t="s">
        <v>145</v>
      </c>
      <c r="U4" s="90" t="s">
        <v>145</v>
      </c>
      <c r="V4" s="90" t="s">
        <v>145</v>
      </c>
    </row>
    <row r="5" spans="1:24" ht="16.5" customHeight="1" x14ac:dyDescent="0.2">
      <c r="G5" s="39" t="s">
        <v>27</v>
      </c>
      <c r="H5" s="39"/>
      <c r="I5" s="39">
        <v>2017</v>
      </c>
      <c r="J5" s="39"/>
      <c r="K5" s="39"/>
      <c r="L5" s="39"/>
      <c r="M5" s="39"/>
      <c r="P5" s="3" t="str">
        <f>EB_Exist!A9</f>
        <v>CO2SPIFC</v>
      </c>
      <c r="Q5" s="3" t="str">
        <f>EB_Exist!A26</f>
        <v>CO2SPIFM</v>
      </c>
      <c r="R5" s="3" t="str">
        <f>EB_Exist!A10</f>
        <v>CH4S</v>
      </c>
    </row>
    <row r="6" spans="1:24" ht="17.25" customHeight="1" x14ac:dyDescent="0.2">
      <c r="F6" s="316" t="s">
        <v>591</v>
      </c>
      <c r="G6" s="39" t="s">
        <v>124</v>
      </c>
      <c r="H6" s="39"/>
      <c r="I6" s="39"/>
      <c r="J6" s="39"/>
      <c r="K6" s="39"/>
      <c r="L6" s="39"/>
      <c r="M6" s="39"/>
      <c r="P6" s="31" t="s">
        <v>124</v>
      </c>
      <c r="Q6" s="31" t="s">
        <v>124</v>
      </c>
      <c r="R6" s="31" t="s">
        <v>124</v>
      </c>
    </row>
    <row r="7" spans="1:24" ht="21.75" customHeight="1" x14ac:dyDescent="0.2">
      <c r="B7" s="2" t="s">
        <v>552</v>
      </c>
      <c r="C7" s="2" t="s">
        <v>592</v>
      </c>
      <c r="D7" s="6" t="s">
        <v>583</v>
      </c>
      <c r="E7" s="315" t="s">
        <v>567</v>
      </c>
      <c r="F7" s="315" t="s">
        <v>568</v>
      </c>
      <c r="G7" s="39" t="s">
        <v>123</v>
      </c>
      <c r="H7" s="39" t="s">
        <v>600</v>
      </c>
      <c r="I7" s="314" t="s">
        <v>584</v>
      </c>
      <c r="J7" s="314" t="s">
        <v>585</v>
      </c>
      <c r="K7" s="314" t="s">
        <v>586</v>
      </c>
      <c r="L7" s="314" t="s">
        <v>587</v>
      </c>
      <c r="M7" s="314" t="s">
        <v>588</v>
      </c>
      <c r="N7" s="31" t="str">
        <f t="shared" ref="N7" si="0">IFERROR(REPLACE(N4,SEARCH("-",N4),1,"~"),N4)</f>
        <v>NCAP_FOM</v>
      </c>
      <c r="O7" s="39" t="s">
        <v>193</v>
      </c>
      <c r="P7" s="92" t="str">
        <f>"ENV_ACT~"&amp;P5</f>
        <v>ENV_ACT~CO2SPIFC</v>
      </c>
      <c r="Q7" s="92" t="str">
        <f>"ENV_ACT~"&amp;Q5</f>
        <v>ENV_ACT~CO2SPIFM</v>
      </c>
      <c r="R7" s="92" t="str">
        <f>"ENV_ACT~"&amp;R5</f>
        <v>ENV_ACT~CH4S</v>
      </c>
      <c r="S7" s="31" t="s">
        <v>145</v>
      </c>
      <c r="T7" s="31" t="s">
        <v>145</v>
      </c>
      <c r="U7" s="31" t="s">
        <v>145</v>
      </c>
      <c r="V7" s="31" t="s">
        <v>145</v>
      </c>
      <c r="W7" s="3" t="s">
        <v>219</v>
      </c>
      <c r="X7" s="3" t="s">
        <v>599</v>
      </c>
    </row>
    <row r="8" spans="1:24" x14ac:dyDescent="0.2">
      <c r="B8" s="3" t="str">
        <f>Processes_BASE!B9</f>
        <v>XINDBIO</v>
      </c>
      <c r="C8" s="3" t="str">
        <f>Processes_BASE!C9</f>
        <v>Industry Biochar</v>
      </c>
      <c r="D8" s="127" t="s">
        <v>122</v>
      </c>
      <c r="E8" s="99" t="s">
        <v>590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M8" s="30"/>
      <c r="O8" s="3">
        <v>43</v>
      </c>
    </row>
    <row r="9" spans="1:24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H9" s="93"/>
      <c r="N9" s="89"/>
      <c r="O9" s="89"/>
      <c r="S9" s="94">
        <f>EB_Exist!K6/EB_Exist!F5</f>
        <v>20.407577497129733</v>
      </c>
      <c r="T9" s="3"/>
    </row>
    <row r="10" spans="1:24" s="26" customFormat="1" ht="11.25" customHeight="1" x14ac:dyDescent="0.2">
      <c r="A10" s="3"/>
      <c r="E10" s="99" t="str">
        <f>RES_Cr!E2</f>
        <v>IISCOA</v>
      </c>
      <c r="F10" s="99"/>
      <c r="G10" s="93"/>
      <c r="H10" s="93"/>
      <c r="I10" s="93"/>
      <c r="J10" s="93"/>
      <c r="K10" s="93"/>
      <c r="L10" s="93"/>
      <c r="M10" s="93"/>
      <c r="N10" s="3"/>
      <c r="O10" s="3"/>
      <c r="P10" s="3"/>
      <c r="Q10" s="3"/>
      <c r="R10" s="3"/>
      <c r="T10" s="131">
        <f>EB_Exist!K7/EB_Exist!F5</f>
        <v>4.0379205223880605</v>
      </c>
    </row>
    <row r="11" spans="1:24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93"/>
      <c r="N11" s="3"/>
      <c r="O11" s="3"/>
      <c r="P11" s="3"/>
      <c r="Q11" s="3"/>
      <c r="R11" s="3"/>
      <c r="U11" s="131">
        <f>EB_Exist!K8/EB_Exist!F5</f>
        <v>12.360988518943744</v>
      </c>
    </row>
    <row r="12" spans="1:24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>
        <v>2</v>
      </c>
      <c r="I12" s="93">
        <f>EB_Exist!K5</f>
        <v>4.8570000000000002</v>
      </c>
      <c r="J12" s="93">
        <f>I12</f>
        <v>4.8570000000000002</v>
      </c>
      <c r="K12" s="93">
        <v>4</v>
      </c>
      <c r="L12" s="93">
        <v>3</v>
      </c>
      <c r="M12" s="93">
        <v>0</v>
      </c>
      <c r="N12" s="3"/>
      <c r="O12" s="3"/>
      <c r="P12" s="89">
        <f>EB_Exist!F9</f>
        <v>3225</v>
      </c>
      <c r="Q12" s="89"/>
      <c r="R12" s="126">
        <f>EB_Exist!F10</f>
        <v>0</v>
      </c>
      <c r="X12" s="26">
        <v>1</v>
      </c>
    </row>
    <row r="13" spans="1:24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93"/>
      <c r="N13" s="3"/>
      <c r="O13" s="3"/>
      <c r="P13" s="3"/>
      <c r="Q13" s="3"/>
      <c r="R13" s="3"/>
      <c r="S13" s="128">
        <v>4.4800000000000004</v>
      </c>
      <c r="T13" s="128"/>
      <c r="U13" s="128"/>
      <c r="V13" s="128"/>
      <c r="W13" s="26">
        <v>2031</v>
      </c>
    </row>
    <row r="14" spans="1:24" s="26" customFormat="1" ht="11.25" customHeight="1" x14ac:dyDescent="0.25">
      <c r="A14" s="3"/>
      <c r="B14" s="3"/>
      <c r="C14" s="3"/>
      <c r="D14" s="3"/>
      <c r="E14" s="99" t="str">
        <f>RES_Cr!E2</f>
        <v>IISCOA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28"/>
      <c r="T14" s="128">
        <v>3.89</v>
      </c>
      <c r="U14" s="128"/>
      <c r="V14" s="128"/>
    </row>
    <row r="15" spans="1:24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28"/>
      <c r="T15" s="128"/>
      <c r="U15" s="128">
        <v>8.64</v>
      </c>
      <c r="V15" s="128"/>
    </row>
    <row r="16" spans="1:24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28"/>
      <c r="T16" s="128"/>
      <c r="U16" s="128"/>
      <c r="V16" s="128">
        <v>7.72</v>
      </c>
    </row>
    <row r="17" spans="2:30" ht="11.25" customHeight="1" x14ac:dyDescent="0.25">
      <c r="F17" s="99" t="str">
        <f>RES_Cr!T2</f>
        <v>IFACR</v>
      </c>
      <c r="N17" s="129">
        <f>2%*O17</f>
        <v>201.44</v>
      </c>
      <c r="O17" s="129">
        <v>10072</v>
      </c>
      <c r="P17" s="129">
        <v>2102</v>
      </c>
      <c r="Q17" s="129"/>
      <c r="R17" s="129">
        <f>R12*0.8</f>
        <v>0</v>
      </c>
      <c r="X17" s="3">
        <v>1</v>
      </c>
    </row>
    <row r="18" spans="2:30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M18" s="93"/>
      <c r="S18" s="128">
        <v>1.55</v>
      </c>
      <c r="T18" s="128"/>
      <c r="U18" s="128"/>
      <c r="V18" s="128"/>
      <c r="W18" s="26">
        <v>2031</v>
      </c>
    </row>
    <row r="19" spans="2:30" ht="11.25" customHeight="1" x14ac:dyDescent="0.25">
      <c r="E19" s="99" t="str">
        <f t="shared" ref="E19:E21" si="1">E14</f>
        <v>IISCOA</v>
      </c>
      <c r="F19" s="98"/>
      <c r="S19" s="128"/>
      <c r="T19" s="128">
        <v>2.33</v>
      </c>
      <c r="U19" s="128"/>
      <c r="V19" s="128"/>
    </row>
    <row r="20" spans="2:30" ht="11.25" customHeight="1" x14ac:dyDescent="0.25">
      <c r="E20" s="99" t="str">
        <f t="shared" si="1"/>
        <v>IFAELC</v>
      </c>
      <c r="F20" s="26"/>
      <c r="S20" s="128"/>
      <c r="T20" s="128"/>
      <c r="U20" s="128">
        <v>8.64</v>
      </c>
      <c r="V20" s="128"/>
    </row>
    <row r="21" spans="2:30" ht="11.25" customHeight="1" x14ac:dyDescent="0.25">
      <c r="E21" s="99" t="str">
        <f t="shared" si="1"/>
        <v>IFACHA</v>
      </c>
      <c r="F21" s="38"/>
      <c r="S21" s="128"/>
      <c r="T21" s="128"/>
      <c r="U21" s="128"/>
      <c r="V21" s="128">
        <v>13</v>
      </c>
    </row>
    <row r="22" spans="2:30" ht="11.25" customHeight="1" x14ac:dyDescent="0.25">
      <c r="F22" s="99" t="str">
        <f>F17</f>
        <v>IFACR</v>
      </c>
      <c r="N22" s="129">
        <f>2%*O22</f>
        <v>221.58</v>
      </c>
      <c r="O22" s="129">
        <v>11079</v>
      </c>
      <c r="P22" s="129">
        <v>933</v>
      </c>
      <c r="Q22" s="129"/>
      <c r="R22" s="129">
        <f>R17*0.8</f>
        <v>0</v>
      </c>
      <c r="X22" s="3">
        <v>1</v>
      </c>
    </row>
    <row r="23" spans="2:30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93"/>
      <c r="I23" s="26"/>
      <c r="J23" s="26"/>
      <c r="K23" s="26"/>
      <c r="L23" s="26"/>
      <c r="M23" s="26"/>
      <c r="N23" s="89"/>
      <c r="O23" s="89"/>
      <c r="P23" s="26"/>
      <c r="Q23" s="26"/>
      <c r="R23" s="26"/>
      <c r="S23" s="94">
        <f>EB_Exist!K23/EB_Exist!F22</f>
        <v>9.8455813953488391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2:30" ht="11.25" customHeight="1" x14ac:dyDescent="0.2">
      <c r="B24" s="26"/>
      <c r="C24" s="26"/>
      <c r="D24" s="26"/>
      <c r="E24" s="99" t="str">
        <f>RES_Mn!E2</f>
        <v>IISCOA</v>
      </c>
      <c r="F24" s="99"/>
      <c r="G24" s="93"/>
      <c r="H24" s="93"/>
      <c r="I24" s="93"/>
      <c r="J24" s="93"/>
      <c r="K24" s="93"/>
      <c r="L24" s="93"/>
      <c r="M24" s="93"/>
      <c r="S24" s="26"/>
      <c r="T24" s="131">
        <f>EB_Exist!K24/EB_Exist!F22</f>
        <v>3.2818604651162797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2:30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M25" s="93"/>
      <c r="S25" s="26"/>
      <c r="T25" s="26"/>
      <c r="U25" s="131">
        <f>EB_Exist!K25/EB_Exist!F22</f>
        <v>12.96</v>
      </c>
      <c r="V25" s="26"/>
      <c r="W25" s="26"/>
      <c r="X25" s="26"/>
      <c r="Y25" s="26"/>
      <c r="Z25" s="26"/>
      <c r="AA25" s="26"/>
      <c r="AB25" s="26"/>
      <c r="AC25" s="26"/>
      <c r="AD25" s="26"/>
    </row>
    <row r="26" spans="2:30" ht="11.25" customHeight="1" x14ac:dyDescent="0.2">
      <c r="E26" s="99"/>
      <c r="F26" s="98" t="str">
        <f>RES_Mn!O2</f>
        <v>IFAMN</v>
      </c>
      <c r="G26" s="93"/>
      <c r="I26" s="93">
        <f>EB_Exist!K22*0.9</f>
        <v>0.68490000000000006</v>
      </c>
      <c r="J26" s="93">
        <f>I26</f>
        <v>0.68490000000000006</v>
      </c>
      <c r="K26" s="93">
        <v>0.3</v>
      </c>
      <c r="L26" s="93">
        <v>0.1</v>
      </c>
      <c r="M26" s="93">
        <v>0</v>
      </c>
      <c r="Q26" s="89">
        <f>EB_Exist!F26</f>
        <v>3225</v>
      </c>
      <c r="R26" s="126">
        <f>EB_Exist!F27</f>
        <v>0</v>
      </c>
      <c r="S26" s="26"/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</row>
    <row r="27" spans="2:30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M27" s="93"/>
      <c r="S27" s="128">
        <f>S23/2</f>
        <v>4.9227906976744196</v>
      </c>
      <c r="T27" s="128"/>
      <c r="U27" s="128"/>
      <c r="V27" s="128"/>
      <c r="W27" s="26">
        <v>2031</v>
      </c>
      <c r="X27" s="26"/>
      <c r="Y27" s="26"/>
      <c r="Z27" s="26"/>
      <c r="AA27" s="26"/>
      <c r="AB27" s="26"/>
      <c r="AC27" s="26"/>
      <c r="AD27" s="26"/>
    </row>
    <row r="28" spans="2:30" ht="11.25" customHeight="1" x14ac:dyDescent="0.25">
      <c r="E28" s="99" t="str">
        <f>RES_Mn!E2</f>
        <v>IISCOA</v>
      </c>
      <c r="F28" s="98"/>
      <c r="S28" s="128"/>
      <c r="T28" s="258">
        <f>T24</f>
        <v>3.2818604651162797</v>
      </c>
      <c r="U28" s="128"/>
      <c r="V28" s="128"/>
      <c r="W28" s="26"/>
      <c r="X28" s="26"/>
      <c r="Y28" s="26"/>
      <c r="Z28" s="26"/>
      <c r="AA28" s="26"/>
      <c r="AB28" s="26"/>
      <c r="AC28" s="26"/>
      <c r="AD28" s="26"/>
    </row>
    <row r="29" spans="2:30" ht="11.25" customHeight="1" x14ac:dyDescent="0.25">
      <c r="E29" s="99" t="str">
        <f>RES_Mn!F2</f>
        <v>IFAELC</v>
      </c>
      <c r="F29" s="26"/>
      <c r="S29" s="128"/>
      <c r="T29" s="128"/>
      <c r="U29" s="128">
        <f>EB_Exist!U55</f>
        <v>10.08</v>
      </c>
      <c r="V29" s="128"/>
      <c r="W29" s="26"/>
      <c r="X29" s="26"/>
      <c r="Y29" s="26"/>
      <c r="Z29" s="26"/>
      <c r="AA29" s="26"/>
      <c r="AB29" s="26"/>
      <c r="AC29" s="26"/>
      <c r="AD29" s="26"/>
    </row>
    <row r="30" spans="2:30" ht="11.25" customHeight="1" x14ac:dyDescent="0.25">
      <c r="E30" s="99" t="str">
        <f>RES_Mn!G2</f>
        <v>IFACHA</v>
      </c>
      <c r="F30" s="38"/>
      <c r="S30" s="128"/>
      <c r="T30" s="128"/>
      <c r="U30" s="128"/>
      <c r="V30" s="128">
        <f>S27*1.1</f>
        <v>5.415069767441862</v>
      </c>
      <c r="W30" s="26"/>
      <c r="X30" s="26"/>
      <c r="Y30" s="26"/>
      <c r="Z30" s="26"/>
      <c r="AA30" s="26"/>
      <c r="AB30" s="26"/>
      <c r="AC30" s="26"/>
      <c r="AD30" s="26"/>
    </row>
    <row r="31" spans="2:30" ht="11.25" customHeight="1" x14ac:dyDescent="0.25">
      <c r="F31" s="99" t="str">
        <f>RES_Mn!O2</f>
        <v>IFAMN</v>
      </c>
      <c r="N31" s="129">
        <f>2%*O31</f>
        <v>201.44</v>
      </c>
      <c r="O31" s="129">
        <v>10072</v>
      </c>
      <c r="P31" s="129"/>
      <c r="Q31" s="129">
        <v>2102</v>
      </c>
      <c r="R31" s="129">
        <f>R26*0.8</f>
        <v>0</v>
      </c>
      <c r="X31" s="3">
        <v>1</v>
      </c>
    </row>
    <row r="32" spans="2:30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M32" s="93"/>
      <c r="S32" s="128">
        <f>S23*0.25</f>
        <v>2.4613953488372098</v>
      </c>
      <c r="T32" s="128"/>
      <c r="U32" s="128"/>
      <c r="V32" s="128"/>
      <c r="W32" s="26">
        <v>2031</v>
      </c>
    </row>
    <row r="33" spans="5:24" ht="11.25" customHeight="1" x14ac:dyDescent="0.25">
      <c r="E33" s="99" t="str">
        <f>E28</f>
        <v>IISCOA</v>
      </c>
      <c r="F33" s="98"/>
      <c r="S33" s="128"/>
      <c r="T33" s="258">
        <f>T24</f>
        <v>3.2818604651162797</v>
      </c>
      <c r="U33" s="128"/>
      <c r="V33" s="128"/>
    </row>
    <row r="34" spans="5:24" ht="11.25" customHeight="1" x14ac:dyDescent="0.25">
      <c r="E34" s="99" t="str">
        <f>E29</f>
        <v>IFAELC</v>
      </c>
      <c r="F34" s="26"/>
      <c r="S34" s="128"/>
      <c r="T34" s="128"/>
      <c r="U34" s="128">
        <f>U29</f>
        <v>10.08</v>
      </c>
      <c r="V34" s="128"/>
    </row>
    <row r="35" spans="5:24" ht="11.25" customHeight="1" x14ac:dyDescent="0.25">
      <c r="E35" s="99" t="str">
        <f>E30</f>
        <v>IFACHA</v>
      </c>
      <c r="F35" s="38"/>
      <c r="S35" s="128"/>
      <c r="T35" s="128"/>
      <c r="U35" s="128"/>
      <c r="V35" s="128">
        <f>S23*0.75*1.1</f>
        <v>8.1226046511627938</v>
      </c>
    </row>
    <row r="36" spans="5:24" ht="11.25" customHeight="1" x14ac:dyDescent="0.25">
      <c r="F36" s="99" t="str">
        <f>F31</f>
        <v>IFAMN</v>
      </c>
      <c r="N36" s="129">
        <f>2%*O36</f>
        <v>221.58</v>
      </c>
      <c r="O36" s="129">
        <v>11079</v>
      </c>
      <c r="P36" s="129"/>
      <c r="Q36" s="129">
        <v>933</v>
      </c>
      <c r="R36" s="129">
        <f>R31*0.8</f>
        <v>0</v>
      </c>
      <c r="X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3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519</v>
      </c>
      <c r="I10" t="s">
        <v>234</v>
      </c>
      <c r="J10" t="s">
        <v>235</v>
      </c>
      <c r="M10" s="134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L2" sqref="L2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122" t="s">
        <v>206</v>
      </c>
      <c r="F2" s="121" t="s">
        <v>202</v>
      </c>
      <c r="G2" s="244" t="s">
        <v>589</v>
      </c>
      <c r="H2" s="112"/>
      <c r="I2" s="244" t="s">
        <v>204</v>
      </c>
      <c r="J2" s="244" t="s">
        <v>206</v>
      </c>
      <c r="K2" s="244" t="s">
        <v>202</v>
      </c>
      <c r="L2" s="244" t="s">
        <v>589</v>
      </c>
      <c r="M2" s="112"/>
      <c r="N2" s="265" t="s">
        <v>212</v>
      </c>
      <c r="O2" s="64"/>
      <c r="P2" s="65"/>
      <c r="Q2" s="66"/>
      <c r="R2" s="43"/>
      <c r="T2" s="132" t="s">
        <v>220</v>
      </c>
      <c r="U2" s="132"/>
      <c r="V2" s="244" t="s">
        <v>473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122" t="s">
        <v>207</v>
      </c>
      <c r="F3" s="121" t="s">
        <v>203</v>
      </c>
      <c r="G3" s="122" t="s">
        <v>208</v>
      </c>
      <c r="H3" s="112"/>
      <c r="I3" s="244" t="s">
        <v>205</v>
      </c>
      <c r="J3" s="244" t="s">
        <v>207</v>
      </c>
      <c r="K3" s="244" t="s">
        <v>203</v>
      </c>
      <c r="L3" s="244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44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30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30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30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zoomScaleNormal="100" workbookViewId="0">
      <selection activeCell="T26" sqref="T26"/>
    </sheetView>
  </sheetViews>
  <sheetFormatPr defaultColWidth="9.140625" defaultRowHeight="15" x14ac:dyDescent="0.25"/>
  <cols>
    <col min="1" max="1" width="9.140625" style="267"/>
    <col min="2" max="2" width="9.140625" style="267" customWidth="1"/>
    <col min="3" max="3" width="20.7109375" style="267" customWidth="1"/>
    <col min="4" max="10" width="3.42578125" style="267" customWidth="1"/>
    <col min="11" max="11" width="4" style="267" customWidth="1"/>
    <col min="12" max="12" width="4.42578125" style="267" customWidth="1"/>
    <col min="13" max="13" width="29.85546875" style="267" customWidth="1"/>
    <col min="14" max="14" width="4" style="267" customWidth="1"/>
    <col min="15" max="16" width="3.42578125" style="267" customWidth="1"/>
    <col min="17" max="17" width="3.7109375" style="267" customWidth="1"/>
    <col min="18" max="18" width="3.85546875" style="267" customWidth="1"/>
    <col min="19" max="19" width="4" style="267" customWidth="1"/>
    <col min="20" max="20" width="25.42578125" style="267" customWidth="1"/>
    <col min="21" max="27" width="3.42578125" style="267" customWidth="1"/>
    <col min="28" max="16384" width="9.140625" style="267"/>
  </cols>
  <sheetData>
    <row r="1" spans="3:31" x14ac:dyDescent="0.25">
      <c r="N1" s="267" t="s">
        <v>127</v>
      </c>
      <c r="U1" s="267" t="s">
        <v>162</v>
      </c>
    </row>
    <row r="2" spans="3:31" ht="84" customHeight="1" x14ac:dyDescent="0.25">
      <c r="C2" s="270"/>
      <c r="D2" s="292" t="s">
        <v>204</v>
      </c>
      <c r="E2" s="292" t="s">
        <v>206</v>
      </c>
      <c r="F2" s="292" t="s">
        <v>202</v>
      </c>
      <c r="G2" s="244" t="s">
        <v>589</v>
      </c>
      <c r="H2" s="292"/>
      <c r="I2" s="292"/>
      <c r="J2" s="292"/>
      <c r="K2" s="294"/>
      <c r="L2" s="293"/>
      <c r="M2" s="270"/>
      <c r="O2" s="292" t="s">
        <v>473</v>
      </c>
      <c r="P2" s="292"/>
      <c r="U2" s="292"/>
      <c r="V2" s="292"/>
      <c r="W2" s="292"/>
      <c r="X2" s="292"/>
      <c r="Y2" s="292"/>
      <c r="Z2" s="292"/>
      <c r="AA2" s="292"/>
    </row>
    <row r="3" spans="3:31" ht="141" customHeight="1" x14ac:dyDescent="0.25">
      <c r="C3" s="270" t="s">
        <v>126</v>
      </c>
      <c r="D3" s="292" t="s">
        <v>205</v>
      </c>
      <c r="E3" s="292" t="s">
        <v>207</v>
      </c>
      <c r="F3" s="292" t="s">
        <v>203</v>
      </c>
      <c r="G3" s="292" t="s">
        <v>208</v>
      </c>
      <c r="H3" s="292"/>
      <c r="I3" s="292"/>
      <c r="J3" s="292"/>
      <c r="K3" s="294"/>
      <c r="L3" s="293"/>
      <c r="M3" s="270" t="s">
        <v>125</v>
      </c>
      <c r="O3" s="292" t="s">
        <v>210</v>
      </c>
      <c r="P3" s="292"/>
      <c r="U3" s="292"/>
      <c r="V3" s="292"/>
      <c r="W3" s="292"/>
      <c r="X3" s="292"/>
      <c r="Y3" s="292"/>
      <c r="Z3" s="292"/>
      <c r="AA3" s="292"/>
    </row>
    <row r="4" spans="3:31" x14ac:dyDescent="0.25">
      <c r="D4" s="268"/>
      <c r="E4" s="268"/>
      <c r="F4" s="268"/>
      <c r="G4" s="268"/>
      <c r="H4" s="268"/>
      <c r="I4" s="268"/>
      <c r="J4" s="268"/>
      <c r="K4" s="271"/>
      <c r="L4" s="270"/>
      <c r="O4" s="268"/>
      <c r="P4" s="268"/>
      <c r="U4" s="268"/>
      <c r="V4" s="268"/>
      <c r="W4" s="268"/>
      <c r="X4" s="268"/>
      <c r="Y4" s="268"/>
      <c r="Z4" s="268"/>
      <c r="AA4" s="268"/>
    </row>
    <row r="5" spans="3:31" x14ac:dyDescent="0.25">
      <c r="D5" s="268"/>
      <c r="E5" s="273"/>
      <c r="F5" s="282"/>
      <c r="G5" s="273"/>
      <c r="H5" s="273"/>
      <c r="I5" s="273"/>
      <c r="J5" s="282"/>
      <c r="K5" s="283"/>
      <c r="L5" s="282"/>
      <c r="M5" s="284" t="s">
        <v>467</v>
      </c>
      <c r="N5" s="283"/>
      <c r="O5" s="282"/>
      <c r="P5" s="291"/>
      <c r="U5" s="268"/>
      <c r="V5" s="268"/>
      <c r="W5" s="268"/>
      <c r="X5" s="268"/>
      <c r="Y5" s="268"/>
      <c r="Z5" s="268"/>
      <c r="AA5" s="268"/>
      <c r="AE5" s="290"/>
    </row>
    <row r="6" spans="3:31" x14ac:dyDescent="0.25">
      <c r="C6" s="270"/>
      <c r="D6" s="268"/>
      <c r="E6" s="268"/>
      <c r="F6" s="277"/>
      <c r="G6" s="277"/>
      <c r="H6" s="275"/>
      <c r="I6" s="277"/>
      <c r="J6" s="275"/>
      <c r="K6" s="276"/>
      <c r="L6" s="275"/>
      <c r="M6" s="281"/>
      <c r="N6" s="280"/>
      <c r="O6" s="279"/>
      <c r="P6" s="269"/>
      <c r="U6" s="268"/>
      <c r="V6" s="268"/>
      <c r="W6" s="268"/>
      <c r="X6" s="268"/>
      <c r="Y6" s="268"/>
      <c r="Z6" s="268"/>
      <c r="AA6" s="268"/>
      <c r="AE6" s="278"/>
    </row>
    <row r="7" spans="3:31" x14ac:dyDescent="0.25">
      <c r="C7" s="270"/>
      <c r="D7" s="268"/>
      <c r="E7" s="268"/>
      <c r="F7" s="268"/>
      <c r="G7" s="277"/>
      <c r="H7" s="275"/>
      <c r="I7" s="277"/>
      <c r="J7" s="275"/>
      <c r="K7" s="276"/>
      <c r="L7" s="275"/>
      <c r="M7" s="269" t="s">
        <v>209</v>
      </c>
      <c r="P7" s="269"/>
      <c r="U7" s="268"/>
      <c r="V7" s="268"/>
      <c r="W7" s="268"/>
      <c r="X7" s="268"/>
      <c r="Y7" s="268"/>
      <c r="Z7" s="268"/>
      <c r="AA7" s="268"/>
      <c r="AE7" s="289"/>
    </row>
    <row r="8" spans="3:31" x14ac:dyDescent="0.25">
      <c r="C8" s="270"/>
      <c r="D8" s="268"/>
      <c r="E8" s="268"/>
      <c r="F8" s="268"/>
      <c r="G8" s="268"/>
      <c r="H8" s="268"/>
      <c r="I8" s="268"/>
      <c r="J8" s="288"/>
      <c r="K8" s="280"/>
      <c r="L8" s="279"/>
      <c r="M8" s="274"/>
      <c r="N8" s="270"/>
      <c r="O8" s="270"/>
      <c r="P8" s="269"/>
      <c r="U8" s="268"/>
      <c r="V8" s="268"/>
      <c r="W8" s="268"/>
      <c r="X8" s="269"/>
      <c r="Y8" s="268"/>
      <c r="Z8" s="268"/>
      <c r="AA8" s="268"/>
      <c r="AE8" s="272"/>
    </row>
    <row r="9" spans="3:31" x14ac:dyDescent="0.25">
      <c r="C9" s="270"/>
      <c r="D9" s="268"/>
      <c r="E9" s="268"/>
      <c r="F9" s="268"/>
      <c r="G9" s="268"/>
      <c r="H9" s="268"/>
      <c r="I9" s="268"/>
      <c r="J9" s="268"/>
      <c r="K9" s="271"/>
      <c r="L9" s="270"/>
      <c r="M9" s="273" t="s">
        <v>468</v>
      </c>
      <c r="N9" s="270"/>
      <c r="O9" s="268"/>
      <c r="P9" s="269"/>
      <c r="U9" s="268"/>
      <c r="V9" s="268"/>
      <c r="W9" s="268"/>
      <c r="X9" s="268"/>
      <c r="Y9" s="268"/>
      <c r="Z9" s="268"/>
      <c r="AA9" s="268"/>
      <c r="AB9" s="287"/>
      <c r="AE9" s="286"/>
    </row>
    <row r="10" spans="3:31" x14ac:dyDescent="0.25">
      <c r="C10" s="270"/>
      <c r="D10" s="268"/>
      <c r="E10" s="268"/>
      <c r="F10" s="268"/>
      <c r="G10" s="268"/>
      <c r="H10" s="268"/>
      <c r="I10" s="268"/>
      <c r="J10" s="268"/>
      <c r="K10" s="271"/>
      <c r="L10" s="270"/>
      <c r="N10" s="270"/>
      <c r="O10" s="268"/>
      <c r="P10" s="269"/>
      <c r="U10" s="268"/>
      <c r="V10" s="268"/>
      <c r="W10" s="268"/>
      <c r="X10" s="268"/>
      <c r="Y10" s="268"/>
      <c r="Z10" s="268"/>
      <c r="AA10" s="268"/>
    </row>
    <row r="11" spans="3:31" x14ac:dyDescent="0.25">
      <c r="C11" s="270"/>
      <c r="D11" s="268"/>
      <c r="E11" s="268"/>
      <c r="F11" s="268"/>
      <c r="G11" s="268"/>
      <c r="H11" s="268"/>
      <c r="I11" s="268"/>
      <c r="J11" s="268"/>
      <c r="K11" s="271"/>
      <c r="L11" s="270"/>
      <c r="N11" s="270"/>
      <c r="O11" s="268"/>
      <c r="P11" s="269"/>
      <c r="U11" s="268"/>
      <c r="V11" s="268"/>
      <c r="W11" s="268"/>
      <c r="X11" s="268"/>
      <c r="Y11" s="268"/>
      <c r="Z11" s="268"/>
      <c r="AA11" s="268"/>
    </row>
    <row r="12" spans="3:31" x14ac:dyDescent="0.25">
      <c r="C12" s="270"/>
      <c r="D12" s="268"/>
      <c r="E12" s="273"/>
      <c r="F12" s="282"/>
      <c r="G12" s="273"/>
      <c r="H12" s="273"/>
      <c r="I12" s="273"/>
      <c r="J12" s="282"/>
      <c r="K12" s="283"/>
      <c r="L12" s="282"/>
      <c r="M12" s="284" t="s">
        <v>469</v>
      </c>
      <c r="N12" s="283"/>
      <c r="O12" s="282"/>
      <c r="P12" s="269"/>
      <c r="U12" s="268"/>
      <c r="V12" s="268"/>
      <c r="W12" s="268"/>
      <c r="X12" s="268"/>
      <c r="Y12" s="268"/>
      <c r="Z12" s="268"/>
      <c r="AA12" s="268"/>
    </row>
    <row r="13" spans="3:31" x14ac:dyDescent="0.25">
      <c r="C13" s="270"/>
      <c r="D13" s="268"/>
      <c r="E13" s="268"/>
      <c r="F13" s="277"/>
      <c r="G13" s="277"/>
      <c r="H13" s="275"/>
      <c r="I13" s="277"/>
      <c r="J13" s="275"/>
      <c r="K13" s="276"/>
      <c r="L13" s="275"/>
      <c r="M13" s="281"/>
      <c r="N13" s="280"/>
      <c r="O13" s="279"/>
      <c r="P13" s="269"/>
      <c r="U13" s="268"/>
      <c r="V13" s="268"/>
      <c r="W13" s="268"/>
      <c r="X13" s="268"/>
      <c r="Y13" s="268"/>
      <c r="Z13" s="268"/>
      <c r="AA13" s="268"/>
      <c r="AD13" s="285"/>
    </row>
    <row r="14" spans="3:31" x14ac:dyDescent="0.25">
      <c r="C14" s="270"/>
      <c r="D14" s="268"/>
      <c r="E14" s="268"/>
      <c r="F14" s="268"/>
      <c r="G14" s="277"/>
      <c r="H14" s="275"/>
      <c r="I14" s="277"/>
      <c r="J14" s="275"/>
      <c r="K14" s="276"/>
      <c r="L14" s="275"/>
      <c r="M14" s="274"/>
      <c r="P14" s="269"/>
      <c r="U14" s="268"/>
      <c r="V14" s="268"/>
      <c r="W14" s="268"/>
      <c r="X14" s="268"/>
      <c r="Y14" s="268"/>
      <c r="Z14" s="268"/>
      <c r="AA14" s="268"/>
    </row>
    <row r="15" spans="3:31" x14ac:dyDescent="0.25">
      <c r="C15" s="270"/>
      <c r="D15" s="268"/>
      <c r="E15" s="268"/>
      <c r="F15" s="268"/>
      <c r="G15" s="268"/>
      <c r="H15" s="268"/>
      <c r="I15" s="268"/>
      <c r="J15" s="268"/>
      <c r="K15" s="271"/>
      <c r="L15" s="270"/>
      <c r="M15" s="273" t="s">
        <v>470</v>
      </c>
      <c r="N15" s="270"/>
      <c r="O15" s="270"/>
      <c r="P15" s="269"/>
      <c r="U15" s="268"/>
      <c r="V15" s="268"/>
      <c r="W15" s="268"/>
      <c r="X15" s="268"/>
      <c r="Y15" s="268"/>
      <c r="Z15" s="268"/>
      <c r="AA15" s="268"/>
    </row>
    <row r="16" spans="3:31" x14ac:dyDescent="0.25">
      <c r="C16" s="270"/>
      <c r="D16" s="268"/>
      <c r="E16" s="268"/>
      <c r="F16" s="268"/>
      <c r="G16" s="268"/>
      <c r="H16" s="268"/>
      <c r="I16" s="268"/>
      <c r="J16" s="268"/>
      <c r="K16" s="271"/>
      <c r="L16" s="270"/>
      <c r="N16" s="270"/>
      <c r="O16" s="268"/>
      <c r="P16" s="269"/>
      <c r="U16" s="268"/>
      <c r="V16" s="268"/>
      <c r="W16" s="268"/>
      <c r="X16" s="268"/>
      <c r="Y16" s="268"/>
      <c r="Z16" s="268"/>
      <c r="AA16" s="268"/>
    </row>
    <row r="17" spans="3:30" x14ac:dyDescent="0.25">
      <c r="C17" s="270"/>
      <c r="D17" s="268"/>
      <c r="E17" s="268"/>
      <c r="F17" s="268"/>
      <c r="G17" s="268"/>
      <c r="H17" s="268"/>
      <c r="I17" s="268"/>
      <c r="J17" s="268"/>
      <c r="K17" s="271"/>
      <c r="L17" s="270"/>
      <c r="N17" s="270"/>
      <c r="O17" s="268"/>
      <c r="P17" s="269"/>
      <c r="U17" s="268"/>
      <c r="V17" s="268"/>
      <c r="W17" s="268"/>
      <c r="X17" s="268"/>
      <c r="Y17" s="268"/>
      <c r="Z17" s="268"/>
      <c r="AA17" s="268"/>
      <c r="AD17" s="285"/>
    </row>
    <row r="18" spans="3:30" x14ac:dyDescent="0.25">
      <c r="C18" s="270"/>
      <c r="D18" s="268"/>
      <c r="E18" s="273"/>
      <c r="F18" s="282"/>
      <c r="G18" s="273"/>
      <c r="H18" s="273"/>
      <c r="I18" s="273"/>
      <c r="J18" s="282"/>
      <c r="K18" s="283"/>
      <c r="L18" s="282"/>
      <c r="M18" s="284" t="s">
        <v>471</v>
      </c>
      <c r="N18" s="283"/>
      <c r="O18" s="282"/>
      <c r="P18" s="269"/>
      <c r="U18" s="268"/>
      <c r="V18" s="268"/>
      <c r="W18" s="268"/>
      <c r="X18" s="268"/>
      <c r="Y18" s="268"/>
      <c r="Z18" s="268"/>
      <c r="AA18" s="268"/>
      <c r="AD18" s="278"/>
    </row>
    <row r="19" spans="3:30" x14ac:dyDescent="0.25">
      <c r="C19" s="270"/>
      <c r="D19" s="268"/>
      <c r="E19" s="268"/>
      <c r="F19" s="277"/>
      <c r="G19" s="277"/>
      <c r="H19" s="275"/>
      <c r="I19" s="277"/>
      <c r="J19" s="275"/>
      <c r="K19" s="276"/>
      <c r="L19" s="275"/>
      <c r="M19" s="281"/>
      <c r="N19" s="280"/>
      <c r="O19" s="279"/>
      <c r="P19" s="269"/>
      <c r="U19" s="268"/>
      <c r="V19" s="268"/>
      <c r="W19" s="268"/>
      <c r="X19" s="268"/>
      <c r="Y19" s="268"/>
      <c r="Z19" s="268"/>
      <c r="AA19" s="268"/>
      <c r="AD19" s="278"/>
    </row>
    <row r="20" spans="3:30" x14ac:dyDescent="0.25">
      <c r="C20" s="270"/>
      <c r="D20" s="268"/>
      <c r="E20" s="268"/>
      <c r="F20" s="268"/>
      <c r="G20" s="277"/>
      <c r="H20" s="275"/>
      <c r="I20" s="277"/>
      <c r="J20" s="275"/>
      <c r="K20" s="276"/>
      <c r="L20" s="275"/>
      <c r="M20" s="274"/>
      <c r="P20" s="269"/>
      <c r="U20" s="268"/>
      <c r="V20" s="268"/>
      <c r="W20" s="268"/>
      <c r="X20" s="268"/>
      <c r="Y20" s="268"/>
      <c r="Z20" s="268"/>
      <c r="AA20" s="268"/>
      <c r="AD20" s="278"/>
    </row>
    <row r="21" spans="3:30" x14ac:dyDescent="0.25">
      <c r="C21" s="270"/>
      <c r="D21" s="268"/>
      <c r="E21" s="268"/>
      <c r="F21" s="268"/>
      <c r="G21" s="268"/>
      <c r="H21" s="277"/>
      <c r="I21" s="275"/>
      <c r="J21" s="275"/>
      <c r="K21" s="276"/>
      <c r="L21" s="275"/>
      <c r="M21" s="274"/>
      <c r="N21" s="270"/>
      <c r="O21" s="270"/>
      <c r="P21" s="269"/>
      <c r="U21" s="268"/>
      <c r="V21" s="268"/>
      <c r="W21" s="268"/>
      <c r="X21" s="268"/>
      <c r="Y21" s="268"/>
      <c r="Z21" s="268"/>
      <c r="AA21" s="268"/>
      <c r="AD21" s="272"/>
    </row>
    <row r="22" spans="3:30" x14ac:dyDescent="0.25">
      <c r="C22" s="270"/>
      <c r="D22" s="268"/>
      <c r="E22" s="268"/>
      <c r="F22" s="268"/>
      <c r="G22" s="268"/>
      <c r="H22" s="268"/>
      <c r="I22" s="268"/>
      <c r="J22" s="268"/>
      <c r="K22" s="271"/>
      <c r="L22" s="270"/>
      <c r="M22" s="273" t="s">
        <v>472</v>
      </c>
      <c r="N22" s="270"/>
      <c r="O22" s="268"/>
      <c r="P22" s="269"/>
      <c r="U22" s="268"/>
      <c r="V22" s="268"/>
      <c r="W22" s="268"/>
      <c r="X22" s="268"/>
      <c r="Y22" s="268"/>
      <c r="Z22" s="268"/>
      <c r="AA22" s="268"/>
    </row>
    <row r="23" spans="3:30" x14ac:dyDescent="0.25">
      <c r="C23" s="270"/>
      <c r="D23" s="268"/>
      <c r="E23" s="268"/>
      <c r="F23" s="268"/>
      <c r="G23" s="268"/>
      <c r="H23" s="268"/>
      <c r="I23" s="268"/>
      <c r="J23" s="268"/>
      <c r="K23" s="271"/>
      <c r="L23" s="270"/>
      <c r="N23" s="270"/>
      <c r="O23" s="268"/>
      <c r="P23" s="269"/>
      <c r="U23" s="268"/>
      <c r="V23" s="268"/>
      <c r="W23" s="268"/>
      <c r="X23" s="268"/>
      <c r="Y23" s="268"/>
      <c r="Z23" s="268"/>
      <c r="AA23" s="268"/>
    </row>
    <row r="24" spans="3:30" x14ac:dyDescent="0.25">
      <c r="C24" s="270"/>
      <c r="D24" s="268"/>
      <c r="E24" s="268"/>
      <c r="F24" s="268"/>
      <c r="G24" s="268"/>
      <c r="H24" s="268"/>
      <c r="I24" s="268"/>
      <c r="J24" s="268"/>
      <c r="K24" s="271"/>
      <c r="L24" s="270"/>
      <c r="N24" s="270"/>
      <c r="O24" s="268"/>
      <c r="P24" s="269"/>
      <c r="U24" s="268"/>
      <c r="V24" s="268"/>
      <c r="W24" s="268"/>
      <c r="X24" s="268"/>
      <c r="Y24" s="268"/>
      <c r="Z24" s="268"/>
      <c r="AA24" s="268"/>
      <c r="AD24" s="272"/>
    </row>
    <row r="25" spans="3:30" x14ac:dyDescent="0.25">
      <c r="C25" s="270"/>
      <c r="D25" s="268"/>
      <c r="E25" s="268"/>
      <c r="F25" s="268"/>
      <c r="G25" s="268"/>
      <c r="H25" s="268"/>
      <c r="I25" s="268"/>
      <c r="J25" s="268"/>
      <c r="K25" s="271"/>
      <c r="L25" s="270"/>
      <c r="N25" s="270"/>
      <c r="O25" s="268"/>
      <c r="P25" s="269"/>
      <c r="U25" s="268"/>
      <c r="V25" s="268"/>
      <c r="W25" s="268"/>
      <c r="X25" s="268"/>
      <c r="Y25" s="268"/>
      <c r="Z25" s="268"/>
      <c r="AA25" s="268"/>
    </row>
    <row r="26" spans="3:30" x14ac:dyDescent="0.25">
      <c r="C26" s="270"/>
      <c r="D26" s="268"/>
      <c r="E26" s="268"/>
      <c r="F26" s="268"/>
      <c r="G26" s="268"/>
      <c r="H26" s="268"/>
      <c r="I26" s="268"/>
      <c r="J26" s="268"/>
      <c r="K26" s="271"/>
      <c r="L26" s="270"/>
      <c r="N26" s="270"/>
      <c r="O26" s="268"/>
      <c r="P26" s="269"/>
      <c r="U26" s="268"/>
      <c r="V26" s="268"/>
      <c r="W26" s="268"/>
      <c r="X26" s="268"/>
      <c r="Y26" s="268"/>
      <c r="Z26" s="268"/>
      <c r="AA26" s="268"/>
    </row>
    <row r="27" spans="3:30" x14ac:dyDescent="0.25">
      <c r="C27" s="270"/>
      <c r="D27" s="268"/>
      <c r="E27" s="268"/>
      <c r="F27" s="268"/>
      <c r="G27" s="268"/>
      <c r="H27" s="268"/>
      <c r="I27" s="268"/>
      <c r="J27" s="268"/>
      <c r="K27" s="271"/>
      <c r="L27" s="270"/>
      <c r="N27" s="270"/>
      <c r="O27" s="268"/>
      <c r="P27" s="269"/>
      <c r="U27" s="268"/>
      <c r="V27" s="268"/>
      <c r="W27" s="268"/>
      <c r="X27" s="268"/>
      <c r="Y27" s="268"/>
      <c r="Z27" s="268"/>
      <c r="AA27" s="268"/>
    </row>
    <row r="28" spans="3:30" x14ac:dyDescent="0.25">
      <c r="C28" s="270"/>
      <c r="D28" s="268"/>
      <c r="E28" s="268"/>
      <c r="F28" s="268"/>
      <c r="G28" s="268"/>
      <c r="H28" s="268"/>
      <c r="I28" s="268"/>
      <c r="J28" s="268"/>
      <c r="K28" s="271"/>
      <c r="L28" s="270"/>
      <c r="N28" s="270"/>
      <c r="O28" s="268"/>
      <c r="P28" s="269"/>
      <c r="U28" s="268"/>
      <c r="V28" s="268"/>
      <c r="W28" s="268"/>
      <c r="X28" s="268"/>
      <c r="Y28" s="268"/>
      <c r="Z28" s="268"/>
      <c r="AA28" s="268"/>
    </row>
    <row r="29" spans="3:30" x14ac:dyDescent="0.25">
      <c r="C29" s="270"/>
      <c r="D29" s="268"/>
      <c r="E29" s="268"/>
      <c r="F29" s="268"/>
      <c r="G29" s="268"/>
      <c r="H29" s="268"/>
      <c r="I29" s="268"/>
      <c r="J29" s="268"/>
      <c r="K29" s="271"/>
      <c r="L29" s="270"/>
      <c r="N29" s="270"/>
      <c r="O29" s="268"/>
      <c r="P29" s="269"/>
      <c r="U29" s="268"/>
      <c r="V29" s="268"/>
      <c r="W29" s="268"/>
      <c r="X29" s="268"/>
      <c r="Y29" s="268"/>
      <c r="Z29" s="268"/>
      <c r="AA29" s="268"/>
    </row>
    <row r="30" spans="3:30" x14ac:dyDescent="0.25">
      <c r="C30" s="270"/>
      <c r="D30" s="268"/>
      <c r="E30" s="268"/>
      <c r="F30" s="268"/>
      <c r="G30" s="268"/>
      <c r="H30" s="268"/>
      <c r="I30" s="268"/>
      <c r="J30" s="268"/>
      <c r="K30" s="271"/>
      <c r="L30" s="270"/>
      <c r="N30" s="270"/>
      <c r="O30" s="268"/>
      <c r="P30" s="269"/>
      <c r="U30" s="268"/>
      <c r="V30" s="268"/>
      <c r="W30" s="268"/>
      <c r="X30" s="268"/>
      <c r="Y30" s="268"/>
      <c r="Z30" s="268"/>
      <c r="AA30" s="268"/>
    </row>
    <row r="31" spans="3:30" x14ac:dyDescent="0.25">
      <c r="C31" s="270"/>
      <c r="D31" s="268"/>
      <c r="E31" s="268"/>
      <c r="F31" s="268"/>
      <c r="G31" s="268"/>
      <c r="H31" s="268"/>
      <c r="I31" s="268"/>
      <c r="J31" s="268"/>
      <c r="K31" s="271"/>
      <c r="L31" s="270"/>
      <c r="N31" s="270"/>
      <c r="O31" s="268"/>
      <c r="P31" s="269"/>
      <c r="U31" s="268"/>
      <c r="V31" s="268"/>
      <c r="W31" s="268"/>
      <c r="X31" s="268"/>
      <c r="Y31" s="268"/>
      <c r="Z31" s="268"/>
      <c r="AA31" s="268"/>
    </row>
    <row r="32" spans="3:30" x14ac:dyDescent="0.25">
      <c r="C32" s="270"/>
      <c r="D32" s="268"/>
      <c r="E32" s="268"/>
      <c r="F32" s="268"/>
      <c r="G32" s="268"/>
      <c r="H32" s="268"/>
      <c r="I32" s="268"/>
      <c r="J32" s="268"/>
      <c r="K32" s="271"/>
      <c r="L32" s="270"/>
      <c r="N32" s="270"/>
      <c r="O32" s="268"/>
      <c r="P32" s="269"/>
      <c r="U32" s="268"/>
      <c r="V32" s="268"/>
      <c r="W32" s="268"/>
      <c r="X32" s="268"/>
      <c r="Y32" s="268"/>
      <c r="Z32" s="268"/>
      <c r="AA32" s="268"/>
    </row>
    <row r="33" spans="3:27" x14ac:dyDescent="0.25">
      <c r="C33" s="270"/>
      <c r="D33" s="268"/>
      <c r="E33" s="268"/>
      <c r="F33" s="268"/>
      <c r="G33" s="268"/>
      <c r="H33" s="268"/>
      <c r="I33" s="268"/>
      <c r="J33" s="268"/>
      <c r="K33" s="271"/>
      <c r="L33" s="270"/>
      <c r="N33" s="270"/>
      <c r="O33" s="268"/>
      <c r="P33" s="269"/>
      <c r="U33" s="268"/>
      <c r="V33" s="268"/>
      <c r="W33" s="268"/>
      <c r="X33" s="268"/>
      <c r="Y33" s="268"/>
      <c r="Z33" s="268"/>
      <c r="AA33" s="268"/>
    </row>
    <row r="34" spans="3:27" x14ac:dyDescent="0.25">
      <c r="C34" s="270"/>
      <c r="D34" s="268"/>
      <c r="E34" s="268"/>
      <c r="F34" s="268"/>
      <c r="G34" s="268"/>
      <c r="H34" s="268"/>
      <c r="I34" s="268"/>
      <c r="J34" s="268"/>
      <c r="K34" s="271"/>
      <c r="L34" s="270"/>
      <c r="N34" s="270"/>
      <c r="O34" s="268"/>
      <c r="P34" s="269"/>
      <c r="U34" s="268"/>
      <c r="V34" s="268"/>
      <c r="W34" s="268"/>
      <c r="X34" s="268"/>
      <c r="Y34" s="268"/>
      <c r="Z34" s="268"/>
      <c r="AA34" s="268"/>
    </row>
    <row r="35" spans="3:27" x14ac:dyDescent="0.25">
      <c r="C35" s="270"/>
      <c r="D35" s="268"/>
      <c r="E35" s="268"/>
      <c r="F35" s="268"/>
      <c r="G35" s="268"/>
      <c r="H35" s="268"/>
      <c r="I35" s="268"/>
      <c r="J35" s="268"/>
      <c r="K35" s="271"/>
      <c r="L35" s="270"/>
      <c r="N35" s="270"/>
      <c r="O35" s="268"/>
      <c r="P35" s="269"/>
      <c r="U35" s="268"/>
      <c r="V35" s="268"/>
      <c r="W35" s="268"/>
      <c r="X35" s="268"/>
      <c r="Y35" s="268"/>
      <c r="Z35" s="268"/>
      <c r="AA35" s="268"/>
    </row>
    <row r="36" spans="3:27" x14ac:dyDescent="0.25">
      <c r="C36" s="270"/>
      <c r="D36" s="268"/>
      <c r="E36" s="268"/>
      <c r="F36" s="268"/>
      <c r="G36" s="268"/>
      <c r="H36" s="268"/>
      <c r="I36" s="268"/>
      <c r="J36" s="268"/>
      <c r="K36" s="271"/>
      <c r="L36" s="270"/>
      <c r="N36" s="270"/>
      <c r="O36" s="268"/>
      <c r="P36" s="269"/>
      <c r="U36" s="268"/>
      <c r="V36" s="268"/>
      <c r="W36" s="268"/>
      <c r="X36" s="268"/>
      <c r="Y36" s="268"/>
      <c r="Z36" s="268"/>
      <c r="AA36" s="268"/>
    </row>
    <row r="37" spans="3:27" x14ac:dyDescent="0.25">
      <c r="C37" s="270"/>
      <c r="D37" s="268"/>
      <c r="E37" s="268"/>
      <c r="F37" s="268"/>
      <c r="G37" s="268"/>
      <c r="H37" s="268"/>
      <c r="I37" s="268"/>
      <c r="J37" s="268"/>
      <c r="K37" s="271"/>
      <c r="L37" s="270"/>
      <c r="N37" s="270"/>
      <c r="O37" s="268"/>
      <c r="P37" s="269"/>
      <c r="U37" s="268"/>
      <c r="V37" s="268"/>
      <c r="W37" s="268"/>
      <c r="X37" s="268"/>
      <c r="Y37" s="268"/>
      <c r="Z37" s="268"/>
      <c r="AA37" s="268"/>
    </row>
    <row r="38" spans="3:27" x14ac:dyDescent="0.25">
      <c r="D38" s="268"/>
      <c r="E38" s="268"/>
      <c r="F38" s="268"/>
      <c r="G38" s="268"/>
      <c r="H38" s="268"/>
      <c r="I38" s="268"/>
      <c r="J38" s="268"/>
      <c r="K38" s="271"/>
      <c r="L38" s="270"/>
      <c r="N38" s="270"/>
      <c r="O38" s="268"/>
      <c r="P38" s="269"/>
      <c r="U38" s="268"/>
      <c r="V38" s="268"/>
      <c r="W38" s="268"/>
      <c r="X38" s="268"/>
      <c r="Y38" s="268"/>
      <c r="Z38" s="268"/>
      <c r="AA38" s="268"/>
    </row>
    <row r="39" spans="3:27" x14ac:dyDescent="0.25">
      <c r="D39" s="268"/>
      <c r="E39" s="268"/>
      <c r="F39" s="268"/>
      <c r="G39" s="268"/>
      <c r="H39" s="268"/>
      <c r="I39" s="268"/>
      <c r="J39" s="268"/>
      <c r="K39" s="271"/>
      <c r="L39" s="270"/>
      <c r="N39" s="270"/>
      <c r="O39" s="268"/>
      <c r="P39" s="269"/>
      <c r="U39" s="268"/>
      <c r="V39" s="268"/>
      <c r="W39" s="268"/>
      <c r="X39" s="268"/>
      <c r="Y39" s="268"/>
      <c r="Z39" s="268"/>
      <c r="AA39" s="268"/>
    </row>
    <row r="40" spans="3:27" x14ac:dyDescent="0.25">
      <c r="D40" s="268"/>
      <c r="E40" s="268"/>
      <c r="F40" s="268"/>
      <c r="G40" s="268"/>
      <c r="H40" s="268"/>
      <c r="I40" s="268"/>
      <c r="J40" s="268"/>
      <c r="K40" s="271"/>
      <c r="L40" s="270"/>
      <c r="N40" s="270"/>
      <c r="O40" s="268"/>
      <c r="P40" s="269"/>
      <c r="U40" s="268"/>
      <c r="V40" s="268"/>
      <c r="W40" s="268"/>
      <c r="X40" s="268"/>
      <c r="Y40" s="268"/>
      <c r="Z40" s="268"/>
      <c r="AA40" s="268"/>
    </row>
    <row r="41" spans="3:27" x14ac:dyDescent="0.25">
      <c r="D41" s="268"/>
      <c r="E41" s="268"/>
      <c r="F41" s="268"/>
      <c r="G41" s="268"/>
      <c r="H41" s="268"/>
      <c r="I41" s="268"/>
      <c r="J41" s="268"/>
      <c r="K41" s="271"/>
      <c r="L41" s="270"/>
      <c r="N41" s="270"/>
      <c r="O41" s="268"/>
      <c r="P41" s="269"/>
      <c r="U41" s="268"/>
      <c r="V41" s="268"/>
      <c r="W41" s="268"/>
      <c r="X41" s="268"/>
      <c r="Y41" s="268"/>
      <c r="Z41" s="268"/>
      <c r="AA41" s="268"/>
    </row>
    <row r="42" spans="3:27" x14ac:dyDescent="0.25">
      <c r="D42" s="268"/>
      <c r="E42" s="268"/>
      <c r="F42" s="268"/>
      <c r="G42" s="268"/>
      <c r="H42" s="268"/>
      <c r="I42" s="268"/>
      <c r="J42" s="268"/>
      <c r="K42" s="271"/>
      <c r="L42" s="270"/>
      <c r="N42" s="270"/>
      <c r="O42" s="268"/>
      <c r="P42" s="269"/>
      <c r="U42" s="268"/>
      <c r="V42" s="268"/>
      <c r="W42" s="268"/>
      <c r="X42" s="268"/>
      <c r="Y42" s="268"/>
      <c r="Z42" s="268"/>
      <c r="AA42" s="268"/>
    </row>
    <row r="43" spans="3:27" x14ac:dyDescent="0.25">
      <c r="D43" s="268"/>
      <c r="E43" s="268"/>
      <c r="F43" s="268"/>
      <c r="G43" s="268"/>
      <c r="H43" s="268"/>
      <c r="I43" s="268"/>
      <c r="J43" s="268"/>
      <c r="K43" s="271"/>
      <c r="L43" s="270"/>
      <c r="N43" s="270"/>
      <c r="O43" s="268"/>
      <c r="P43" s="269"/>
      <c r="U43" s="268"/>
      <c r="V43" s="268"/>
      <c r="W43" s="268"/>
      <c r="X43" s="268"/>
      <c r="Y43" s="268"/>
      <c r="Z43" s="268"/>
      <c r="AA43" s="268"/>
    </row>
    <row r="44" spans="3:27" x14ac:dyDescent="0.25">
      <c r="D44" s="268"/>
      <c r="E44" s="268"/>
      <c r="F44" s="268"/>
      <c r="G44" s="268"/>
      <c r="H44" s="268"/>
      <c r="I44" s="268"/>
      <c r="J44" s="268"/>
      <c r="K44" s="271"/>
      <c r="L44" s="270"/>
      <c r="N44" s="270"/>
      <c r="O44" s="268"/>
      <c r="P44" s="269"/>
      <c r="U44" s="268"/>
      <c r="V44" s="268"/>
      <c r="W44" s="268"/>
      <c r="X44" s="268"/>
      <c r="Y44" s="268"/>
      <c r="Z44" s="268"/>
      <c r="AA44" s="268"/>
    </row>
    <row r="45" spans="3:27" x14ac:dyDescent="0.25">
      <c r="D45" s="268"/>
      <c r="E45" s="268"/>
      <c r="F45" s="268"/>
      <c r="G45" s="268"/>
      <c r="H45" s="268"/>
      <c r="I45" s="268"/>
      <c r="J45" s="268"/>
      <c r="K45" s="271"/>
      <c r="L45" s="270"/>
      <c r="N45" s="270"/>
      <c r="O45" s="268"/>
      <c r="P45" s="269"/>
      <c r="U45" s="268"/>
      <c r="V45" s="268"/>
      <c r="W45" s="268"/>
      <c r="X45" s="268"/>
      <c r="Y45" s="268"/>
      <c r="Z45" s="268"/>
      <c r="AA45" s="268"/>
    </row>
    <row r="46" spans="3:27" x14ac:dyDescent="0.25">
      <c r="D46" s="268"/>
      <c r="E46" s="268"/>
      <c r="F46" s="268"/>
      <c r="G46" s="268"/>
      <c r="H46" s="268"/>
      <c r="I46" s="268"/>
      <c r="J46" s="268"/>
      <c r="K46" s="271"/>
      <c r="L46" s="270"/>
      <c r="N46" s="270"/>
      <c r="O46" s="268"/>
      <c r="P46" s="269"/>
      <c r="U46" s="268"/>
      <c r="V46" s="268"/>
      <c r="W46" s="268"/>
      <c r="X46" s="268"/>
      <c r="Y46" s="268"/>
      <c r="Z46" s="268"/>
      <c r="AA46" s="268"/>
    </row>
    <row r="47" spans="3:27" x14ac:dyDescent="0.25">
      <c r="D47" s="268"/>
      <c r="E47" s="268"/>
      <c r="F47" s="268"/>
      <c r="G47" s="268"/>
      <c r="H47" s="268"/>
      <c r="I47" s="268"/>
      <c r="J47" s="268"/>
      <c r="K47" s="271"/>
      <c r="L47" s="270"/>
      <c r="N47" s="270"/>
      <c r="O47" s="268"/>
      <c r="P47" s="269"/>
      <c r="U47" s="268"/>
      <c r="V47" s="268"/>
      <c r="W47" s="268"/>
      <c r="X47" s="268"/>
      <c r="Y47" s="268"/>
      <c r="Z47" s="268"/>
      <c r="AA47" s="268"/>
    </row>
    <row r="48" spans="3:27" x14ac:dyDescent="0.25">
      <c r="D48" s="268"/>
      <c r="E48" s="268"/>
      <c r="F48" s="268"/>
      <c r="G48" s="268"/>
      <c r="H48" s="268"/>
      <c r="I48" s="268"/>
      <c r="J48" s="268"/>
      <c r="K48" s="271"/>
      <c r="L48" s="270"/>
      <c r="N48" s="270"/>
      <c r="O48" s="268"/>
      <c r="P48" s="269"/>
      <c r="U48" s="268"/>
      <c r="V48" s="268"/>
      <c r="W48" s="268"/>
      <c r="X48" s="268"/>
      <c r="Y48" s="268"/>
      <c r="Z48" s="268"/>
      <c r="AA48" s="268"/>
    </row>
    <row r="49" spans="4:27" x14ac:dyDescent="0.25">
      <c r="D49" s="268"/>
      <c r="E49" s="268"/>
      <c r="F49" s="268"/>
      <c r="G49" s="268"/>
      <c r="H49" s="268"/>
      <c r="I49" s="268"/>
      <c r="J49" s="268"/>
      <c r="K49" s="271"/>
      <c r="L49" s="270"/>
      <c r="N49" s="270"/>
      <c r="O49" s="268"/>
      <c r="P49" s="269"/>
      <c r="U49" s="268"/>
      <c r="V49" s="268"/>
      <c r="W49" s="268"/>
      <c r="X49" s="268"/>
      <c r="Y49" s="268"/>
      <c r="Z49" s="268"/>
      <c r="AA49" s="268"/>
    </row>
    <row r="50" spans="4:27" x14ac:dyDescent="0.25">
      <c r="D50" s="268"/>
      <c r="E50" s="268"/>
      <c r="F50" s="268"/>
      <c r="G50" s="268"/>
      <c r="H50" s="268"/>
      <c r="I50" s="268"/>
      <c r="J50" s="268"/>
      <c r="K50" s="271"/>
      <c r="L50" s="270"/>
      <c r="N50" s="270"/>
      <c r="O50" s="268"/>
      <c r="P50" s="269"/>
      <c r="U50" s="268"/>
      <c r="V50" s="268"/>
      <c r="W50" s="268"/>
      <c r="X50" s="268"/>
      <c r="Y50" s="268"/>
      <c r="Z50" s="268"/>
      <c r="AA50" s="268"/>
    </row>
    <row r="51" spans="4:27" x14ac:dyDescent="0.25">
      <c r="D51" s="268"/>
      <c r="E51" s="268"/>
      <c r="F51" s="268"/>
      <c r="G51" s="268"/>
      <c r="H51" s="268"/>
      <c r="I51" s="268"/>
      <c r="J51" s="268"/>
      <c r="K51" s="271"/>
      <c r="L51" s="270"/>
      <c r="N51" s="270"/>
      <c r="O51" s="268"/>
      <c r="P51" s="269"/>
      <c r="U51" s="268"/>
      <c r="V51" s="268"/>
      <c r="W51" s="268"/>
      <c r="X51" s="268"/>
      <c r="Y51" s="268"/>
      <c r="Z51" s="268"/>
      <c r="AA51" s="268"/>
    </row>
    <row r="52" spans="4:27" x14ac:dyDescent="0.25">
      <c r="D52" s="268"/>
      <c r="E52" s="268"/>
      <c r="F52" s="268"/>
      <c r="G52" s="268"/>
      <c r="H52" s="268"/>
      <c r="I52" s="268"/>
      <c r="J52" s="268"/>
      <c r="K52" s="271"/>
      <c r="L52" s="270"/>
      <c r="N52" s="270"/>
      <c r="O52" s="268"/>
      <c r="P52" s="269"/>
      <c r="U52" s="268"/>
      <c r="V52" s="268"/>
      <c r="W52" s="268"/>
      <c r="X52" s="268"/>
      <c r="Y52" s="268"/>
      <c r="Z52" s="268"/>
      <c r="AA52" s="268"/>
    </row>
    <row r="53" spans="4:27" x14ac:dyDescent="0.25">
      <c r="D53" s="268"/>
      <c r="E53" s="268"/>
      <c r="F53" s="268"/>
      <c r="G53" s="268"/>
      <c r="H53" s="268"/>
      <c r="I53" s="268"/>
      <c r="J53" s="268"/>
      <c r="K53" s="271"/>
      <c r="L53" s="270"/>
      <c r="N53" s="270"/>
      <c r="O53" s="268"/>
      <c r="P53" s="269"/>
      <c r="U53" s="268"/>
      <c r="V53" s="268"/>
      <c r="W53" s="268"/>
      <c r="X53" s="268"/>
      <c r="Y53" s="268"/>
      <c r="Z53" s="268"/>
      <c r="AA53" s="268"/>
    </row>
    <row r="54" spans="4:27" x14ac:dyDescent="0.25">
      <c r="D54" s="268"/>
      <c r="E54" s="268"/>
      <c r="F54" s="268"/>
      <c r="G54" s="268"/>
      <c r="H54" s="268"/>
      <c r="I54" s="268"/>
      <c r="J54" s="268"/>
      <c r="K54" s="271"/>
      <c r="L54" s="270"/>
      <c r="N54" s="270"/>
      <c r="O54" s="268"/>
      <c r="P54" s="269"/>
      <c r="U54" s="268"/>
      <c r="V54" s="268"/>
      <c r="W54" s="268"/>
      <c r="X54" s="268"/>
      <c r="Y54" s="268"/>
      <c r="Z54" s="268"/>
      <c r="AA54" s="268"/>
    </row>
    <row r="55" spans="4:27" x14ac:dyDescent="0.25">
      <c r="D55" s="268"/>
      <c r="E55" s="268"/>
      <c r="F55" s="268"/>
      <c r="G55" s="268"/>
      <c r="H55" s="268"/>
      <c r="I55" s="268"/>
      <c r="J55" s="268"/>
      <c r="K55" s="271"/>
      <c r="L55" s="270"/>
      <c r="N55" s="270"/>
      <c r="O55" s="268"/>
      <c r="P55" s="269"/>
      <c r="U55" s="268"/>
      <c r="V55" s="268"/>
      <c r="W55" s="268"/>
      <c r="X55" s="268"/>
      <c r="Y55" s="268"/>
      <c r="Z55" s="268"/>
      <c r="AA55" s="268"/>
    </row>
    <row r="56" spans="4:27" x14ac:dyDescent="0.25">
      <c r="D56" s="268"/>
      <c r="E56" s="268"/>
      <c r="F56" s="268"/>
      <c r="G56" s="268"/>
      <c r="H56" s="268"/>
      <c r="I56" s="268"/>
      <c r="J56" s="268"/>
      <c r="K56" s="271"/>
      <c r="L56" s="270"/>
      <c r="N56" s="270"/>
      <c r="O56" s="268"/>
      <c r="P56" s="269"/>
      <c r="U56" s="268"/>
      <c r="V56" s="268"/>
      <c r="W56" s="268"/>
      <c r="X56" s="268"/>
      <c r="Y56" s="268"/>
      <c r="Z56" s="268"/>
      <c r="AA56" s="268"/>
    </row>
    <row r="57" spans="4:27" x14ac:dyDescent="0.25">
      <c r="D57" s="268"/>
      <c r="E57" s="268"/>
      <c r="F57" s="268"/>
      <c r="G57" s="268"/>
      <c r="H57" s="268"/>
      <c r="I57" s="268"/>
      <c r="J57" s="268"/>
      <c r="K57" s="271"/>
      <c r="L57" s="270"/>
      <c r="N57" s="270"/>
      <c r="O57" s="268"/>
      <c r="P57" s="269"/>
      <c r="U57" s="268"/>
      <c r="V57" s="268"/>
      <c r="W57" s="268"/>
      <c r="X57" s="268"/>
      <c r="Y57" s="268"/>
      <c r="Z57" s="268"/>
      <c r="AA57" s="268"/>
    </row>
    <row r="58" spans="4:27" x14ac:dyDescent="0.25">
      <c r="D58" s="268"/>
      <c r="E58" s="268"/>
      <c r="F58" s="268"/>
      <c r="G58" s="268"/>
      <c r="H58" s="268"/>
      <c r="I58" s="268"/>
      <c r="J58" s="268"/>
      <c r="K58" s="271"/>
      <c r="L58" s="270"/>
      <c r="N58" s="270"/>
      <c r="O58" s="268"/>
      <c r="P58" s="269"/>
      <c r="U58" s="268"/>
      <c r="V58" s="268"/>
      <c r="W58" s="268"/>
      <c r="X58" s="268"/>
      <c r="Y58" s="268"/>
      <c r="Z58" s="268"/>
      <c r="AA58" s="268"/>
    </row>
    <row r="59" spans="4:27" x14ac:dyDescent="0.25">
      <c r="D59" s="268"/>
      <c r="E59" s="268"/>
      <c r="F59" s="268"/>
      <c r="G59" s="268"/>
      <c r="H59" s="268"/>
      <c r="I59" s="268"/>
      <c r="J59" s="268"/>
      <c r="K59" s="271"/>
      <c r="L59" s="270"/>
      <c r="N59" s="270"/>
      <c r="O59" s="268"/>
      <c r="P59" s="269"/>
      <c r="U59" s="268"/>
      <c r="V59" s="268"/>
      <c r="W59" s="268"/>
      <c r="X59" s="268"/>
      <c r="Y59" s="268"/>
      <c r="Z59" s="268"/>
      <c r="AA59" s="268"/>
    </row>
    <row r="60" spans="4:27" x14ac:dyDescent="0.25">
      <c r="D60" s="268"/>
      <c r="E60" s="268"/>
      <c r="F60" s="268"/>
      <c r="G60" s="268"/>
      <c r="H60" s="268"/>
      <c r="I60" s="268"/>
      <c r="J60" s="268"/>
      <c r="K60" s="271"/>
      <c r="L60" s="270"/>
      <c r="N60" s="270"/>
      <c r="O60" s="268"/>
      <c r="P60" s="269"/>
      <c r="U60" s="268"/>
      <c r="V60" s="268"/>
      <c r="W60" s="268"/>
      <c r="X60" s="268"/>
      <c r="Y60" s="268"/>
      <c r="Z60" s="268"/>
      <c r="AA60" s="268"/>
    </row>
    <row r="61" spans="4:27" x14ac:dyDescent="0.25">
      <c r="D61" s="268"/>
      <c r="E61" s="268"/>
      <c r="F61" s="268"/>
      <c r="G61" s="268"/>
      <c r="H61" s="268"/>
      <c r="I61" s="268"/>
      <c r="J61" s="268"/>
      <c r="K61" s="271"/>
      <c r="L61" s="270"/>
      <c r="N61" s="270"/>
      <c r="O61" s="268"/>
      <c r="P61" s="269"/>
      <c r="U61" s="268"/>
      <c r="V61" s="268"/>
      <c r="W61" s="268"/>
      <c r="X61" s="268"/>
      <c r="Y61" s="268"/>
      <c r="Z61" s="268"/>
      <c r="AA61" s="268"/>
    </row>
    <row r="62" spans="4:27" x14ac:dyDescent="0.25">
      <c r="D62" s="268"/>
      <c r="E62" s="268"/>
      <c r="F62" s="268"/>
      <c r="G62" s="268"/>
      <c r="H62" s="268"/>
      <c r="I62" s="268"/>
      <c r="J62" s="268"/>
      <c r="K62" s="271"/>
      <c r="L62" s="270"/>
      <c r="N62" s="270"/>
      <c r="O62" s="268"/>
      <c r="P62" s="269"/>
      <c r="U62" s="268"/>
      <c r="V62" s="268"/>
      <c r="W62" s="268"/>
      <c r="X62" s="268"/>
      <c r="Y62" s="268"/>
      <c r="Z62" s="268"/>
      <c r="AA62" s="268"/>
    </row>
    <row r="63" spans="4:27" x14ac:dyDescent="0.25">
      <c r="D63" s="268"/>
      <c r="E63" s="268"/>
      <c r="F63" s="268"/>
      <c r="G63" s="268"/>
      <c r="H63" s="268"/>
      <c r="I63" s="268"/>
      <c r="J63" s="268"/>
      <c r="K63" s="271"/>
      <c r="L63" s="270"/>
      <c r="N63" s="270"/>
      <c r="O63" s="268"/>
      <c r="P63" s="269"/>
      <c r="U63" s="268"/>
      <c r="V63" s="268"/>
      <c r="W63" s="268"/>
      <c r="X63" s="268"/>
      <c r="Y63" s="268"/>
      <c r="Z63" s="268"/>
      <c r="AA63" s="268"/>
    </row>
    <row r="64" spans="4:27" x14ac:dyDescent="0.25">
      <c r="D64" s="268"/>
      <c r="E64" s="268"/>
      <c r="F64" s="268"/>
      <c r="G64" s="268"/>
      <c r="H64" s="268"/>
      <c r="I64" s="268"/>
      <c r="J64" s="268"/>
      <c r="K64" s="271"/>
      <c r="L64" s="270"/>
      <c r="N64" s="270"/>
      <c r="O64" s="268"/>
      <c r="P64" s="269"/>
      <c r="U64" s="268"/>
      <c r="V64" s="268"/>
      <c r="W64" s="268"/>
      <c r="X64" s="268"/>
      <c r="Y64" s="268"/>
      <c r="Z64" s="268"/>
      <c r="AA64" s="268"/>
    </row>
    <row r="65" spans="4:27" x14ac:dyDescent="0.25">
      <c r="D65" s="268"/>
      <c r="E65" s="268"/>
      <c r="F65" s="268"/>
      <c r="G65" s="268"/>
      <c r="H65" s="268"/>
      <c r="I65" s="268"/>
      <c r="J65" s="268"/>
      <c r="K65" s="271"/>
      <c r="L65" s="270"/>
      <c r="N65" s="270"/>
      <c r="O65" s="268"/>
      <c r="P65" s="269"/>
      <c r="U65" s="268"/>
      <c r="V65" s="268"/>
      <c r="W65" s="268"/>
      <c r="X65" s="268"/>
      <c r="Y65" s="268"/>
      <c r="Z65" s="268"/>
      <c r="AA65" s="268"/>
    </row>
    <row r="66" spans="4:27" x14ac:dyDescent="0.25">
      <c r="D66" s="268"/>
      <c r="E66" s="268"/>
      <c r="F66" s="268"/>
      <c r="G66" s="268"/>
      <c r="H66" s="268"/>
      <c r="I66" s="268"/>
      <c r="J66" s="268"/>
      <c r="K66" s="271"/>
      <c r="L66" s="270"/>
      <c r="N66" s="270"/>
      <c r="O66" s="268"/>
      <c r="P66" s="269"/>
      <c r="U66" s="268"/>
      <c r="V66" s="268"/>
      <c r="W66" s="268"/>
      <c r="X66" s="268"/>
      <c r="Y66" s="268"/>
      <c r="Z66" s="268"/>
      <c r="AA66" s="268"/>
    </row>
    <row r="67" spans="4:27" x14ac:dyDescent="0.25">
      <c r="D67" s="268"/>
      <c r="E67" s="268"/>
      <c r="F67" s="268"/>
      <c r="G67" s="268"/>
      <c r="H67" s="268"/>
      <c r="I67" s="268"/>
      <c r="J67" s="268"/>
      <c r="K67" s="271"/>
      <c r="L67" s="270"/>
      <c r="N67" s="270"/>
      <c r="O67" s="268"/>
      <c r="P67" s="269"/>
      <c r="U67" s="268"/>
      <c r="V67" s="268"/>
      <c r="W67" s="268"/>
      <c r="X67" s="268"/>
      <c r="Y67" s="268"/>
      <c r="Z67" s="268"/>
      <c r="AA67" s="268"/>
    </row>
    <row r="68" spans="4:27" x14ac:dyDescent="0.25">
      <c r="D68" s="268"/>
      <c r="E68" s="268"/>
      <c r="F68" s="268"/>
      <c r="G68" s="268"/>
      <c r="H68" s="268"/>
      <c r="I68" s="268"/>
      <c r="J68" s="268"/>
      <c r="K68" s="271"/>
      <c r="L68" s="270"/>
      <c r="N68" s="270"/>
      <c r="O68" s="268"/>
      <c r="P68" s="269"/>
      <c r="U68" s="268"/>
      <c r="V68" s="268"/>
      <c r="W68" s="268"/>
      <c r="X68" s="268"/>
      <c r="Y68" s="268"/>
      <c r="Z68" s="268"/>
      <c r="AA68" s="268"/>
    </row>
    <row r="69" spans="4:27" x14ac:dyDescent="0.25">
      <c r="D69" s="268"/>
      <c r="E69" s="268"/>
      <c r="F69" s="268"/>
      <c r="G69" s="268"/>
      <c r="H69" s="268"/>
      <c r="I69" s="268"/>
      <c r="J69" s="268"/>
      <c r="K69" s="271"/>
      <c r="L69" s="270"/>
      <c r="N69" s="270"/>
      <c r="O69" s="268"/>
      <c r="P69" s="269"/>
      <c r="U69" s="268"/>
      <c r="V69" s="268"/>
      <c r="W69" s="268"/>
      <c r="X69" s="268"/>
      <c r="Y69" s="268"/>
      <c r="Z69" s="268"/>
      <c r="AA69" s="268"/>
    </row>
    <row r="70" spans="4:27" x14ac:dyDescent="0.25">
      <c r="D70" s="268"/>
      <c r="E70" s="268"/>
      <c r="F70" s="268"/>
      <c r="G70" s="268"/>
      <c r="H70" s="268"/>
      <c r="I70" s="268"/>
      <c r="J70" s="268"/>
      <c r="K70" s="271"/>
      <c r="L70" s="270"/>
      <c r="N70" s="270"/>
      <c r="O70" s="268"/>
      <c r="P70" s="269"/>
      <c r="U70" s="268"/>
      <c r="V70" s="268"/>
      <c r="W70" s="268"/>
      <c r="X70" s="268"/>
      <c r="Y70" s="268"/>
      <c r="Z70" s="268"/>
      <c r="AA70" s="268"/>
    </row>
    <row r="71" spans="4:27" x14ac:dyDescent="0.25">
      <c r="D71" s="268"/>
      <c r="E71" s="268"/>
      <c r="F71" s="268"/>
      <c r="G71" s="268"/>
      <c r="H71" s="268"/>
      <c r="I71" s="268"/>
      <c r="J71" s="268"/>
      <c r="K71" s="271"/>
      <c r="L71" s="270"/>
      <c r="N71" s="270"/>
      <c r="O71" s="268"/>
      <c r="P71" s="269"/>
      <c r="U71" s="268"/>
      <c r="V71" s="268"/>
      <c r="W71" s="268"/>
      <c r="X71" s="268"/>
      <c r="Y71" s="268"/>
      <c r="Z71" s="268"/>
      <c r="AA71" s="268"/>
    </row>
    <row r="72" spans="4:27" x14ac:dyDescent="0.25">
      <c r="D72" s="268"/>
      <c r="E72" s="268"/>
      <c r="F72" s="268"/>
      <c r="G72" s="268"/>
      <c r="H72" s="268"/>
      <c r="I72" s="268"/>
      <c r="J72" s="268"/>
      <c r="K72" s="271"/>
      <c r="L72" s="270"/>
      <c r="N72" s="270"/>
      <c r="O72" s="268"/>
      <c r="P72" s="269"/>
      <c r="U72" s="268"/>
      <c r="V72" s="268"/>
      <c r="W72" s="268"/>
      <c r="X72" s="268"/>
      <c r="Y72" s="268"/>
      <c r="Z72" s="268"/>
      <c r="AA72" s="268"/>
    </row>
    <row r="73" spans="4:27" x14ac:dyDescent="0.25">
      <c r="D73" s="268"/>
      <c r="E73" s="268"/>
      <c r="F73" s="268"/>
      <c r="G73" s="268"/>
      <c r="H73" s="268"/>
      <c r="I73" s="268"/>
      <c r="J73" s="268"/>
      <c r="K73" s="271"/>
      <c r="L73" s="270"/>
      <c r="N73" s="270"/>
      <c r="O73" s="268"/>
      <c r="P73" s="269"/>
      <c r="U73" s="268"/>
      <c r="V73" s="268"/>
      <c r="W73" s="268"/>
      <c r="X73" s="268"/>
      <c r="Y73" s="268"/>
      <c r="Z73" s="268"/>
      <c r="AA73" s="268"/>
    </row>
    <row r="74" spans="4:27" x14ac:dyDescent="0.25">
      <c r="D74" s="268"/>
      <c r="E74" s="268"/>
      <c r="F74" s="268"/>
      <c r="G74" s="268"/>
      <c r="H74" s="268"/>
      <c r="I74" s="268"/>
      <c r="J74" s="268"/>
      <c r="K74" s="271"/>
      <c r="L74" s="270"/>
      <c r="N74" s="270"/>
      <c r="O74" s="268"/>
      <c r="P74" s="269"/>
      <c r="U74" s="268"/>
      <c r="V74" s="268"/>
      <c r="W74" s="268"/>
      <c r="X74" s="268"/>
      <c r="Y74" s="268"/>
      <c r="Z74" s="268"/>
      <c r="AA74" s="268"/>
    </row>
    <row r="75" spans="4:27" x14ac:dyDescent="0.25">
      <c r="D75" s="268"/>
      <c r="E75" s="268"/>
      <c r="F75" s="268"/>
      <c r="G75" s="268"/>
      <c r="H75" s="268"/>
      <c r="I75" s="268"/>
      <c r="J75" s="268"/>
      <c r="K75" s="271"/>
      <c r="L75" s="270"/>
      <c r="N75" s="270"/>
      <c r="O75" s="268"/>
      <c r="P75" s="269"/>
      <c r="U75" s="268"/>
      <c r="V75" s="268"/>
      <c r="W75" s="268"/>
      <c r="X75" s="268"/>
      <c r="Y75" s="268"/>
      <c r="Z75" s="268"/>
      <c r="AA75" s="268"/>
    </row>
    <row r="76" spans="4:27" x14ac:dyDescent="0.25">
      <c r="D76" s="268"/>
      <c r="E76" s="268"/>
      <c r="F76" s="268"/>
      <c r="G76" s="268"/>
      <c r="H76" s="268"/>
      <c r="I76" s="268"/>
      <c r="J76" s="268"/>
      <c r="K76" s="271"/>
      <c r="L76" s="270"/>
      <c r="N76" s="270"/>
      <c r="O76" s="268"/>
      <c r="P76" s="269"/>
      <c r="U76" s="268"/>
      <c r="V76" s="268"/>
      <c r="W76" s="268"/>
      <c r="X76" s="268"/>
      <c r="Y76" s="268"/>
      <c r="Z76" s="268"/>
      <c r="AA76" s="268"/>
    </row>
    <row r="77" spans="4:27" x14ac:dyDescent="0.25">
      <c r="D77" s="268"/>
      <c r="E77" s="268"/>
      <c r="F77" s="268"/>
      <c r="G77" s="268"/>
      <c r="H77" s="268"/>
      <c r="I77" s="268"/>
      <c r="J77" s="268"/>
      <c r="K77" s="271"/>
      <c r="L77" s="270"/>
      <c r="N77" s="270"/>
      <c r="O77" s="268"/>
      <c r="P77" s="269"/>
      <c r="U77" s="268"/>
      <c r="V77" s="268"/>
      <c r="W77" s="268"/>
      <c r="X77" s="268"/>
      <c r="Y77" s="268"/>
      <c r="Z77" s="268"/>
      <c r="AA77" s="268"/>
    </row>
    <row r="78" spans="4:27" x14ac:dyDescent="0.25">
      <c r="D78" s="268"/>
      <c r="E78" s="268"/>
      <c r="F78" s="268"/>
      <c r="G78" s="268"/>
      <c r="H78" s="268"/>
      <c r="I78" s="268"/>
      <c r="J78" s="268"/>
      <c r="K78" s="271"/>
      <c r="L78" s="270"/>
      <c r="N78" s="270"/>
      <c r="O78" s="268"/>
      <c r="P78" s="269"/>
      <c r="U78" s="268"/>
      <c r="V78" s="268"/>
      <c r="W78" s="268"/>
      <c r="X78" s="268"/>
      <c r="Y78" s="268"/>
      <c r="Z78" s="268"/>
      <c r="AA78" s="268"/>
    </row>
    <row r="79" spans="4:27" x14ac:dyDescent="0.25">
      <c r="D79" s="268"/>
      <c r="E79" s="268"/>
      <c r="F79" s="268"/>
      <c r="G79" s="268"/>
      <c r="H79" s="268"/>
      <c r="I79" s="268"/>
      <c r="J79" s="268"/>
      <c r="K79" s="271"/>
      <c r="L79" s="270"/>
      <c r="N79" s="270"/>
      <c r="O79" s="268"/>
      <c r="P79" s="269"/>
      <c r="U79" s="268"/>
      <c r="V79" s="268"/>
      <c r="W79" s="268"/>
      <c r="X79" s="268"/>
      <c r="Y79" s="268"/>
      <c r="Z79" s="268"/>
      <c r="AA79" s="268"/>
    </row>
    <row r="80" spans="4:27" x14ac:dyDescent="0.25">
      <c r="D80" s="268"/>
      <c r="E80" s="268"/>
      <c r="F80" s="268"/>
      <c r="G80" s="268"/>
      <c r="H80" s="268"/>
      <c r="I80" s="268"/>
      <c r="J80" s="268"/>
      <c r="K80" s="271"/>
      <c r="L80" s="270"/>
      <c r="N80" s="270"/>
      <c r="O80" s="268"/>
      <c r="P80" s="269"/>
      <c r="U80" s="268"/>
      <c r="V80" s="268"/>
      <c r="W80" s="268"/>
      <c r="X80" s="268"/>
      <c r="Y80" s="268"/>
      <c r="Z80" s="268"/>
      <c r="AA80" s="268"/>
    </row>
    <row r="81" spans="4:27" x14ac:dyDescent="0.25">
      <c r="D81" s="268"/>
      <c r="E81" s="268"/>
      <c r="F81" s="268"/>
      <c r="G81" s="268"/>
      <c r="H81" s="268"/>
      <c r="I81" s="268"/>
      <c r="J81" s="268"/>
      <c r="K81" s="271"/>
      <c r="L81" s="270"/>
      <c r="N81" s="270"/>
      <c r="O81" s="268"/>
      <c r="P81" s="269"/>
      <c r="U81" s="268"/>
      <c r="V81" s="268"/>
      <c r="W81" s="268"/>
      <c r="X81" s="268"/>
      <c r="Y81" s="268"/>
      <c r="Z81" s="268"/>
      <c r="AA81" s="268"/>
    </row>
    <row r="82" spans="4:27" x14ac:dyDescent="0.25">
      <c r="D82" s="268"/>
      <c r="E82" s="268"/>
      <c r="F82" s="268"/>
      <c r="G82" s="268"/>
      <c r="H82" s="268"/>
      <c r="I82" s="268"/>
      <c r="J82" s="268"/>
      <c r="K82" s="271"/>
      <c r="L82" s="270"/>
      <c r="N82" s="270"/>
      <c r="O82" s="268"/>
      <c r="P82" s="269"/>
      <c r="U82" s="268"/>
      <c r="V82" s="268"/>
      <c r="W82" s="268"/>
      <c r="X82" s="268"/>
      <c r="Y82" s="268"/>
      <c r="Z82" s="268"/>
      <c r="AA82" s="268"/>
    </row>
    <row r="83" spans="4:27" x14ac:dyDescent="0.25">
      <c r="D83" s="268"/>
      <c r="E83" s="268"/>
      <c r="F83" s="268"/>
      <c r="G83" s="268"/>
      <c r="H83" s="268"/>
      <c r="I83" s="268"/>
      <c r="J83" s="268"/>
      <c r="K83" s="271"/>
      <c r="L83" s="270"/>
      <c r="N83" s="270"/>
      <c r="O83" s="268"/>
      <c r="P83" s="269"/>
      <c r="U83" s="268"/>
      <c r="V83" s="268"/>
      <c r="W83" s="268"/>
      <c r="X83" s="268"/>
      <c r="Y83" s="268"/>
      <c r="Z83" s="268"/>
      <c r="AA83" s="268"/>
    </row>
    <row r="84" spans="4:27" x14ac:dyDescent="0.25">
      <c r="D84" s="268"/>
      <c r="E84" s="268"/>
      <c r="F84" s="268"/>
      <c r="G84" s="268"/>
      <c r="H84" s="268"/>
      <c r="I84" s="268"/>
      <c r="J84" s="268"/>
      <c r="K84" s="271"/>
      <c r="L84" s="270"/>
      <c r="N84" s="270"/>
      <c r="O84" s="268"/>
      <c r="P84" s="269"/>
      <c r="U84" s="268"/>
      <c r="V84" s="268"/>
      <c r="W84" s="268"/>
      <c r="X84" s="268"/>
      <c r="Y84" s="268"/>
      <c r="Z84" s="268"/>
      <c r="AA84" s="268"/>
    </row>
    <row r="85" spans="4:27" x14ac:dyDescent="0.25">
      <c r="D85" s="268"/>
      <c r="E85" s="268"/>
      <c r="F85" s="268"/>
      <c r="G85" s="268"/>
      <c r="H85" s="268"/>
      <c r="I85" s="268"/>
      <c r="J85" s="268"/>
      <c r="K85" s="271"/>
      <c r="L85" s="270"/>
      <c r="N85" s="270"/>
      <c r="O85" s="268"/>
      <c r="P85" s="269"/>
      <c r="U85" s="268"/>
      <c r="V85" s="268"/>
      <c r="W85" s="268"/>
      <c r="X85" s="268"/>
      <c r="Y85" s="268"/>
      <c r="Z85" s="268"/>
      <c r="AA85" s="268"/>
    </row>
    <row r="86" spans="4:27" x14ac:dyDescent="0.25">
      <c r="D86" s="268"/>
      <c r="E86" s="268"/>
      <c r="F86" s="268"/>
      <c r="G86" s="268"/>
      <c r="H86" s="268"/>
      <c r="I86" s="268"/>
      <c r="J86" s="268"/>
      <c r="K86" s="271"/>
      <c r="L86" s="270"/>
      <c r="N86" s="270"/>
      <c r="O86" s="268"/>
      <c r="P86" s="269"/>
      <c r="U86" s="268"/>
      <c r="V86" s="268"/>
      <c r="W86" s="268"/>
      <c r="X86" s="268"/>
      <c r="Y86" s="268"/>
      <c r="Z86" s="268"/>
      <c r="AA86" s="268"/>
    </row>
    <row r="87" spans="4:27" x14ac:dyDescent="0.25">
      <c r="D87" s="268"/>
      <c r="E87" s="268"/>
      <c r="F87" s="268"/>
      <c r="G87" s="268"/>
      <c r="H87" s="268"/>
      <c r="I87" s="268"/>
      <c r="J87" s="268"/>
      <c r="K87" s="271"/>
      <c r="L87" s="270"/>
      <c r="N87" s="270"/>
      <c r="O87" s="268"/>
      <c r="P87" s="269"/>
      <c r="U87" s="268"/>
      <c r="V87" s="268"/>
      <c r="W87" s="268"/>
      <c r="X87" s="268"/>
      <c r="Y87" s="268"/>
      <c r="Z87" s="268"/>
      <c r="AA87" s="268"/>
    </row>
    <row r="88" spans="4:27" x14ac:dyDescent="0.25">
      <c r="D88" s="268"/>
      <c r="E88" s="268"/>
      <c r="F88" s="268"/>
      <c r="G88" s="268"/>
      <c r="H88" s="268"/>
      <c r="I88" s="268"/>
      <c r="J88" s="268"/>
      <c r="K88" s="271"/>
      <c r="L88" s="270"/>
      <c r="N88" s="270"/>
      <c r="O88" s="268"/>
      <c r="P88" s="269"/>
      <c r="U88" s="268"/>
      <c r="V88" s="268"/>
      <c r="W88" s="268"/>
      <c r="X88" s="268"/>
      <c r="Y88" s="268"/>
      <c r="Z88" s="268"/>
      <c r="AA88" s="268"/>
    </row>
    <row r="89" spans="4:27" x14ac:dyDescent="0.25">
      <c r="D89" s="268"/>
      <c r="E89" s="268"/>
      <c r="F89" s="268"/>
      <c r="G89" s="268"/>
      <c r="H89" s="268"/>
      <c r="I89" s="268"/>
      <c r="J89" s="268"/>
      <c r="K89" s="271"/>
      <c r="L89" s="270"/>
      <c r="N89" s="270"/>
      <c r="O89" s="268"/>
      <c r="P89" s="269"/>
      <c r="U89" s="268"/>
      <c r="V89" s="268"/>
      <c r="W89" s="268"/>
      <c r="X89" s="268"/>
      <c r="Y89" s="268"/>
      <c r="Z89" s="268"/>
      <c r="AA89" s="268"/>
    </row>
    <row r="90" spans="4:27" x14ac:dyDescent="0.25">
      <c r="D90" s="268"/>
      <c r="E90" s="268"/>
      <c r="F90" s="268"/>
      <c r="G90" s="268"/>
      <c r="H90" s="268"/>
      <c r="I90" s="268"/>
      <c r="J90" s="268"/>
      <c r="K90" s="271"/>
      <c r="L90" s="270"/>
      <c r="N90" s="270"/>
      <c r="O90" s="268"/>
      <c r="P90" s="269"/>
      <c r="U90" s="268"/>
      <c r="V90" s="268"/>
      <c r="W90" s="268"/>
      <c r="X90" s="268"/>
      <c r="Y90" s="268"/>
      <c r="Z90" s="268"/>
      <c r="AA90" s="268"/>
    </row>
    <row r="91" spans="4:27" x14ac:dyDescent="0.25">
      <c r="D91" s="268"/>
      <c r="E91" s="268"/>
      <c r="F91" s="268"/>
      <c r="G91" s="268"/>
      <c r="H91" s="268"/>
      <c r="I91" s="268"/>
      <c r="J91" s="268"/>
      <c r="K91" s="271"/>
      <c r="L91" s="270"/>
      <c r="N91" s="270"/>
      <c r="O91" s="268"/>
      <c r="P91" s="269"/>
      <c r="U91" s="268"/>
      <c r="V91" s="268"/>
      <c r="W91" s="268"/>
      <c r="X91" s="268"/>
      <c r="Y91" s="268"/>
      <c r="Z91" s="268"/>
      <c r="AA91" s="268"/>
    </row>
    <row r="92" spans="4:27" x14ac:dyDescent="0.25">
      <c r="D92" s="268"/>
      <c r="E92" s="268"/>
      <c r="F92" s="268"/>
      <c r="G92" s="268"/>
      <c r="H92" s="268"/>
      <c r="I92" s="268"/>
      <c r="J92" s="268"/>
      <c r="K92" s="271"/>
      <c r="L92" s="270"/>
      <c r="N92" s="270"/>
      <c r="O92" s="268"/>
      <c r="P92" s="269"/>
      <c r="U92" s="268"/>
      <c r="V92" s="268"/>
      <c r="W92" s="268"/>
      <c r="X92" s="268"/>
      <c r="Y92" s="268"/>
      <c r="Z92" s="268"/>
      <c r="AA92" s="268"/>
    </row>
    <row r="93" spans="4:27" x14ac:dyDescent="0.25">
      <c r="D93" s="268"/>
      <c r="E93" s="268"/>
      <c r="F93" s="268"/>
      <c r="G93" s="268"/>
      <c r="H93" s="268"/>
      <c r="I93" s="268"/>
      <c r="J93" s="268"/>
      <c r="K93" s="271"/>
      <c r="L93" s="270"/>
      <c r="N93" s="270"/>
      <c r="O93" s="268"/>
      <c r="P93" s="269"/>
      <c r="U93" s="268"/>
      <c r="V93" s="268"/>
      <c r="W93" s="268"/>
      <c r="X93" s="268"/>
      <c r="Y93" s="268"/>
      <c r="Z93" s="268"/>
      <c r="AA93" s="268"/>
    </row>
    <row r="94" spans="4:27" x14ac:dyDescent="0.25">
      <c r="D94" s="268"/>
      <c r="E94" s="268"/>
      <c r="F94" s="268"/>
      <c r="G94" s="268"/>
      <c r="H94" s="268"/>
      <c r="I94" s="268"/>
      <c r="J94" s="268"/>
      <c r="K94" s="271"/>
      <c r="L94" s="270"/>
      <c r="N94" s="270"/>
      <c r="O94" s="268"/>
      <c r="P94" s="269"/>
      <c r="U94" s="268"/>
      <c r="V94" s="268"/>
      <c r="W94" s="268"/>
      <c r="X94" s="268"/>
      <c r="Y94" s="268"/>
      <c r="Z94" s="268"/>
      <c r="AA94" s="268"/>
    </row>
    <row r="95" spans="4:27" x14ac:dyDescent="0.25">
      <c r="D95" s="268"/>
      <c r="E95" s="268"/>
      <c r="F95" s="268"/>
      <c r="G95" s="268"/>
      <c r="H95" s="268"/>
      <c r="I95" s="268"/>
      <c r="J95" s="268"/>
      <c r="K95" s="271"/>
      <c r="L95" s="270"/>
      <c r="N95" s="270"/>
      <c r="O95" s="268"/>
      <c r="P95" s="269"/>
      <c r="U95" s="268"/>
      <c r="V95" s="268"/>
      <c r="W95" s="268"/>
      <c r="X95" s="268"/>
      <c r="Y95" s="268"/>
      <c r="Z95" s="268"/>
      <c r="AA95" s="268"/>
    </row>
    <row r="96" spans="4:27" x14ac:dyDescent="0.25">
      <c r="D96" s="268"/>
      <c r="E96" s="268"/>
      <c r="F96" s="268"/>
      <c r="G96" s="268"/>
      <c r="H96" s="268"/>
      <c r="I96" s="268"/>
      <c r="J96" s="268"/>
      <c r="K96" s="271"/>
      <c r="L96" s="270"/>
      <c r="N96" s="270"/>
      <c r="O96" s="268"/>
      <c r="P96" s="269"/>
      <c r="U96" s="268"/>
      <c r="V96" s="268"/>
      <c r="W96" s="268"/>
      <c r="X96" s="268"/>
      <c r="Y96" s="268"/>
      <c r="Z96" s="268"/>
      <c r="AA96" s="268"/>
    </row>
    <row r="97" spans="4:27" x14ac:dyDescent="0.25">
      <c r="D97" s="268"/>
      <c r="E97" s="268"/>
      <c r="F97" s="268"/>
      <c r="G97" s="268"/>
      <c r="H97" s="268"/>
      <c r="I97" s="268"/>
      <c r="J97" s="268"/>
      <c r="K97" s="271"/>
      <c r="L97" s="270"/>
      <c r="N97" s="270"/>
      <c r="O97" s="268"/>
      <c r="P97" s="269"/>
      <c r="U97" s="268"/>
      <c r="V97" s="268"/>
      <c r="W97" s="268"/>
      <c r="X97" s="268"/>
      <c r="Y97" s="268"/>
      <c r="Z97" s="268"/>
      <c r="AA97" s="268"/>
    </row>
    <row r="98" spans="4:27" x14ac:dyDescent="0.25">
      <c r="D98" s="268"/>
      <c r="E98" s="268"/>
      <c r="F98" s="268"/>
      <c r="G98" s="268"/>
      <c r="H98" s="268"/>
      <c r="I98" s="268"/>
      <c r="J98" s="268"/>
      <c r="K98" s="271"/>
      <c r="L98" s="270"/>
      <c r="N98" s="270"/>
      <c r="O98" s="268"/>
      <c r="P98" s="269"/>
      <c r="U98" s="268"/>
      <c r="V98" s="268"/>
      <c r="W98" s="268"/>
      <c r="X98" s="268"/>
      <c r="Y98" s="268"/>
      <c r="Z98" s="268"/>
      <c r="AA98" s="268"/>
    </row>
    <row r="99" spans="4:27" x14ac:dyDescent="0.25">
      <c r="D99" s="268"/>
      <c r="E99" s="268"/>
      <c r="F99" s="268"/>
      <c r="G99" s="268"/>
      <c r="H99" s="268"/>
      <c r="I99" s="268"/>
      <c r="J99" s="268"/>
      <c r="K99" s="271"/>
      <c r="L99" s="270"/>
      <c r="N99" s="270"/>
      <c r="O99" s="268"/>
      <c r="P99" s="269"/>
      <c r="U99" s="268"/>
      <c r="V99" s="268"/>
      <c r="W99" s="268"/>
      <c r="X99" s="268"/>
      <c r="Y99" s="268"/>
      <c r="Z99" s="268"/>
      <c r="AA99" s="268"/>
    </row>
    <row r="100" spans="4:27" x14ac:dyDescent="0.25">
      <c r="D100" s="268"/>
      <c r="E100" s="268"/>
      <c r="F100" s="268"/>
      <c r="G100" s="268"/>
      <c r="H100" s="268"/>
      <c r="I100" s="268"/>
      <c r="J100" s="268"/>
      <c r="K100" s="271"/>
      <c r="L100" s="270"/>
      <c r="N100" s="270"/>
      <c r="O100" s="268"/>
      <c r="P100" s="269"/>
      <c r="U100" s="268"/>
      <c r="V100" s="268"/>
      <c r="W100" s="268"/>
      <c r="X100" s="268"/>
      <c r="Y100" s="268"/>
      <c r="Z100" s="268"/>
      <c r="AA100" s="268"/>
    </row>
    <row r="101" spans="4:27" x14ac:dyDescent="0.25">
      <c r="D101" s="268"/>
      <c r="E101" s="268"/>
      <c r="F101" s="268"/>
      <c r="G101" s="268"/>
      <c r="H101" s="268"/>
      <c r="I101" s="268"/>
      <c r="J101" s="268"/>
      <c r="K101" s="271"/>
      <c r="L101" s="270"/>
      <c r="N101" s="270"/>
      <c r="O101" s="268"/>
      <c r="P101" s="269"/>
      <c r="U101" s="268"/>
      <c r="V101" s="268"/>
      <c r="W101" s="268"/>
      <c r="X101" s="268"/>
      <c r="Y101" s="268"/>
      <c r="Z101" s="268"/>
      <c r="AA101" s="268"/>
    </row>
    <row r="102" spans="4:27" x14ac:dyDescent="0.25">
      <c r="D102" s="268"/>
      <c r="E102" s="268"/>
      <c r="F102" s="268"/>
      <c r="G102" s="268"/>
      <c r="H102" s="268"/>
      <c r="I102" s="268"/>
      <c r="J102" s="268"/>
      <c r="K102" s="271"/>
      <c r="L102" s="270"/>
      <c r="N102" s="270"/>
      <c r="O102" s="268"/>
      <c r="P102" s="269"/>
      <c r="U102" s="268"/>
      <c r="V102" s="268"/>
      <c r="W102" s="268"/>
      <c r="X102" s="268"/>
      <c r="Y102" s="268"/>
      <c r="Z102" s="268"/>
      <c r="AA102" s="268"/>
    </row>
    <row r="103" spans="4:27" x14ac:dyDescent="0.25">
      <c r="D103" s="268"/>
      <c r="E103" s="268"/>
      <c r="F103" s="268"/>
      <c r="G103" s="268"/>
      <c r="H103" s="268"/>
      <c r="I103" s="268"/>
      <c r="J103" s="268"/>
      <c r="K103" s="271"/>
      <c r="L103" s="270"/>
      <c r="N103" s="270"/>
      <c r="O103" s="268"/>
      <c r="P103" s="269"/>
      <c r="U103" s="268"/>
      <c r="V103" s="268"/>
      <c r="W103" s="268"/>
      <c r="X103" s="268"/>
      <c r="Y103" s="268"/>
      <c r="Z103" s="268"/>
      <c r="AA103" s="268"/>
    </row>
    <row r="104" spans="4:27" x14ac:dyDescent="0.25">
      <c r="D104" s="268"/>
      <c r="E104" s="268"/>
      <c r="F104" s="268"/>
      <c r="G104" s="268"/>
      <c r="H104" s="268"/>
      <c r="I104" s="268"/>
      <c r="J104" s="268"/>
      <c r="K104" s="271"/>
      <c r="L104" s="270"/>
      <c r="N104" s="270"/>
      <c r="O104" s="268"/>
      <c r="P104" s="269"/>
      <c r="U104" s="268"/>
      <c r="V104" s="268"/>
      <c r="W104" s="268"/>
      <c r="X104" s="268"/>
      <c r="Y104" s="268"/>
      <c r="Z104" s="268"/>
      <c r="AA104" s="268"/>
    </row>
    <row r="105" spans="4:27" x14ac:dyDescent="0.25">
      <c r="D105" s="268"/>
      <c r="E105" s="268"/>
      <c r="F105" s="268"/>
      <c r="G105" s="268"/>
      <c r="H105" s="268"/>
      <c r="I105" s="268"/>
      <c r="J105" s="268"/>
      <c r="K105" s="271"/>
      <c r="L105" s="270"/>
      <c r="N105" s="270"/>
      <c r="O105" s="268"/>
      <c r="P105" s="269"/>
      <c r="U105" s="268"/>
      <c r="V105" s="268"/>
      <c r="W105" s="268"/>
      <c r="X105" s="268"/>
      <c r="Y105" s="268"/>
      <c r="Z105" s="268"/>
      <c r="AA105" s="2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F9" sqref="F9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56">
        <f>P15</f>
        <v>3.484</v>
      </c>
      <c r="G5" s="105"/>
      <c r="J5" s="67" t="s">
        <v>116</v>
      </c>
      <c r="K5" s="256">
        <f>P14</f>
        <v>4.8570000000000002</v>
      </c>
      <c r="L5" s="254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IISCOA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57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57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56">
        <f>O34</f>
        <v>0.4587</v>
      </c>
      <c r="G22" s="105"/>
      <c r="J22" s="67" t="s">
        <v>116</v>
      </c>
      <c r="K22" s="256">
        <f>Q34</f>
        <v>0.76100000000000001</v>
      </c>
      <c r="L22" s="254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IISCOA</v>
      </c>
      <c r="B24" s="86" t="str">
        <f>RES_Mn!E3</f>
        <v>Industry - Iron and Steel - Coal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55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513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57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57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512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511</v>
      </c>
      <c r="T32" s="254"/>
      <c r="AB32" s="67" t="s">
        <v>197</v>
      </c>
    </row>
    <row r="33" spans="13:30" x14ac:dyDescent="0.2">
      <c r="M33" s="67"/>
      <c r="O33" s="71">
        <v>3.7</v>
      </c>
      <c r="P33" s="67" t="s">
        <v>510</v>
      </c>
      <c r="Q33">
        <v>4.8</v>
      </c>
      <c r="T33" s="254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509</v>
      </c>
      <c r="O34" s="71">
        <v>0.4587</v>
      </c>
      <c r="P34" s="67" t="s">
        <v>508</v>
      </c>
      <c r="Q34">
        <f>T34/1000</f>
        <v>0.76100000000000001</v>
      </c>
      <c r="R34" s="67" t="s">
        <v>507</v>
      </c>
      <c r="T34" s="254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506</v>
      </c>
      <c r="Q35">
        <f>O35</f>
        <v>0.2</v>
      </c>
      <c r="T35" s="254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54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54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53" t="s">
        <v>505</v>
      </c>
      <c r="P40" s="247"/>
      <c r="Q40" s="247"/>
      <c r="R40" s="247"/>
      <c r="S40" s="247"/>
      <c r="T40" s="247"/>
      <c r="U40" s="247"/>
      <c r="V40" s="247"/>
      <c r="W40" s="247"/>
    </row>
    <row r="41" spans="13:30" x14ac:dyDescent="0.2">
      <c r="M41" s="67"/>
      <c r="O41" s="247"/>
      <c r="P41" s="247"/>
      <c r="Q41" s="247" t="s">
        <v>504</v>
      </c>
      <c r="R41" s="247" t="s">
        <v>503</v>
      </c>
      <c r="S41" s="247"/>
      <c r="T41" s="247"/>
      <c r="U41" s="247"/>
      <c r="V41" s="247"/>
      <c r="W41" s="247"/>
    </row>
    <row r="42" spans="13:30" x14ac:dyDescent="0.2">
      <c r="M42" s="67"/>
      <c r="O42" s="247" t="s">
        <v>502</v>
      </c>
      <c r="P42" s="247" t="s">
        <v>501</v>
      </c>
      <c r="Q42" s="247">
        <v>480</v>
      </c>
      <c r="R42" s="247">
        <v>312</v>
      </c>
      <c r="S42" s="247" t="s">
        <v>497</v>
      </c>
      <c r="T42" s="248" t="s">
        <v>500</v>
      </c>
      <c r="U42" s="247"/>
      <c r="V42" s="247"/>
      <c r="W42" s="247"/>
    </row>
    <row r="43" spans="13:30" x14ac:dyDescent="0.2">
      <c r="M43" s="67"/>
      <c r="O43" s="247"/>
      <c r="P43" s="247" t="s">
        <v>499</v>
      </c>
      <c r="Q43" s="247">
        <v>240</v>
      </c>
      <c r="R43" s="247">
        <v>116</v>
      </c>
      <c r="S43" s="247" t="s">
        <v>497</v>
      </c>
      <c r="T43" s="248" t="s">
        <v>495</v>
      </c>
      <c r="U43" s="247"/>
      <c r="V43" s="247"/>
      <c r="W43" s="247"/>
    </row>
    <row r="44" spans="13:30" x14ac:dyDescent="0.2">
      <c r="M44" s="67"/>
      <c r="O44" s="247"/>
      <c r="P44" s="247" t="s">
        <v>498</v>
      </c>
      <c r="Q44" s="247">
        <v>270</v>
      </c>
      <c r="R44" s="247">
        <v>132</v>
      </c>
      <c r="S44" s="247" t="s">
        <v>497</v>
      </c>
      <c r="T44" s="248" t="s">
        <v>495</v>
      </c>
      <c r="U44" s="247"/>
      <c r="V44" s="247"/>
      <c r="W44" s="247"/>
    </row>
    <row r="45" spans="13:30" x14ac:dyDescent="0.2">
      <c r="M45" s="67"/>
      <c r="O45" s="247"/>
      <c r="P45" s="247" t="s">
        <v>496</v>
      </c>
      <c r="Q45" s="247">
        <v>180</v>
      </c>
      <c r="R45" s="247">
        <v>161</v>
      </c>
      <c r="S45" s="247" t="s">
        <v>482</v>
      </c>
      <c r="T45" s="248" t="s">
        <v>495</v>
      </c>
      <c r="U45" s="247"/>
      <c r="V45" s="247"/>
      <c r="W45" s="247"/>
    </row>
    <row r="46" spans="13:30" x14ac:dyDescent="0.2">
      <c r="M46" s="67"/>
      <c r="O46" s="247"/>
      <c r="P46" s="247" t="s">
        <v>494</v>
      </c>
      <c r="Q46" s="247">
        <v>40</v>
      </c>
      <c r="R46" s="247">
        <v>40</v>
      </c>
      <c r="S46" s="247" t="s">
        <v>482</v>
      </c>
      <c r="T46" s="247" t="s">
        <v>493</v>
      </c>
      <c r="U46" s="247"/>
      <c r="V46" s="247"/>
      <c r="W46" s="247"/>
    </row>
    <row r="47" spans="13:30" x14ac:dyDescent="0.2">
      <c r="M47" s="67"/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3:30" x14ac:dyDescent="0.2">
      <c r="M48" s="67"/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3:24" x14ac:dyDescent="0.2">
      <c r="M49" s="67"/>
      <c r="O49" s="252"/>
      <c r="P49" s="252"/>
      <c r="Q49" s="252"/>
      <c r="R49" s="251" t="s">
        <v>492</v>
      </c>
      <c r="S49" s="251" t="s">
        <v>491</v>
      </c>
      <c r="T49" s="251" t="s">
        <v>490</v>
      </c>
      <c r="U49" s="248" t="s">
        <v>489</v>
      </c>
      <c r="V49" s="251" t="s">
        <v>488</v>
      </c>
      <c r="W49" s="251" t="s">
        <v>487</v>
      </c>
      <c r="X49" s="250" t="s">
        <v>486</v>
      </c>
    </row>
    <row r="50" spans="13:24" x14ac:dyDescent="0.2">
      <c r="M50" s="67"/>
      <c r="O50" s="248" t="s">
        <v>483</v>
      </c>
      <c r="P50" s="248" t="s">
        <v>485</v>
      </c>
      <c r="Q50" s="248" t="s">
        <v>484</v>
      </c>
      <c r="R50" s="247">
        <v>2.1520000000000001</v>
      </c>
      <c r="S50" s="247">
        <v>3.395</v>
      </c>
      <c r="T50" s="247">
        <v>3.6</v>
      </c>
      <c r="U50" s="247">
        <f>T50*3.6</f>
        <v>12.96</v>
      </c>
      <c r="V50" s="247">
        <f>T50*O34*1000</f>
        <v>1651.3200000000002</v>
      </c>
      <c r="W50" s="247">
        <f>V50*3.6/1000</f>
        <v>5.9447520000000003</v>
      </c>
      <c r="X50" s="247"/>
    </row>
    <row r="51" spans="13:24" x14ac:dyDescent="0.2">
      <c r="M51" s="67"/>
      <c r="O51" s="248" t="s">
        <v>483</v>
      </c>
      <c r="P51" s="248" t="s">
        <v>482</v>
      </c>
      <c r="Q51" s="247"/>
      <c r="R51" s="247"/>
      <c r="S51" s="247"/>
      <c r="T51" s="247">
        <v>4.8</v>
      </c>
      <c r="U51" s="247"/>
      <c r="V51" s="247"/>
      <c r="W51" s="247"/>
      <c r="X51" s="247"/>
    </row>
    <row r="52" spans="13:24" x14ac:dyDescent="0.2">
      <c r="M52" s="67"/>
      <c r="O52" s="248" t="s">
        <v>481</v>
      </c>
      <c r="P52" s="247"/>
      <c r="Q52" s="247"/>
      <c r="R52" s="247"/>
      <c r="S52" s="247"/>
      <c r="T52" s="247"/>
      <c r="U52" s="247">
        <f>2.8*3.6*0.56/0.43</f>
        <v>13.127441860465119</v>
      </c>
      <c r="V52" s="247"/>
      <c r="W52" s="247">
        <f>W50*0.56/0.43</f>
        <v>7.7420026046511641</v>
      </c>
      <c r="X52" s="249">
        <v>0.25</v>
      </c>
    </row>
    <row r="53" spans="13:24" x14ac:dyDescent="0.2">
      <c r="M53" s="67"/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3:24" x14ac:dyDescent="0.2">
      <c r="M54" s="67"/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3:24" x14ac:dyDescent="0.2">
      <c r="M55" s="67"/>
      <c r="O55" s="248" t="s">
        <v>480</v>
      </c>
      <c r="P55" s="247"/>
      <c r="Q55" s="247"/>
      <c r="R55" s="247"/>
      <c r="S55" s="247"/>
      <c r="T55" s="247">
        <v>2.8</v>
      </c>
      <c r="U55" s="247">
        <f>T55*3.6</f>
        <v>10.08</v>
      </c>
      <c r="V55" s="248" t="s">
        <v>479</v>
      </c>
      <c r="W55" s="247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46" t="s">
        <v>317</v>
      </c>
      <c r="P58" s="246" t="s">
        <v>475</v>
      </c>
      <c r="Q58" s="245"/>
      <c r="R58" s="245">
        <v>84.69</v>
      </c>
      <c r="S58" s="246" t="s">
        <v>478</v>
      </c>
      <c r="T58" s="245"/>
      <c r="U58" s="245"/>
      <c r="V58" s="245"/>
      <c r="W58" s="245"/>
    </row>
    <row r="59" spans="13:24" x14ac:dyDescent="0.2">
      <c r="M59" s="67"/>
      <c r="O59" s="246" t="s">
        <v>143</v>
      </c>
      <c r="P59" s="246" t="s">
        <v>475</v>
      </c>
      <c r="Q59" s="245"/>
      <c r="R59" s="245">
        <v>47.74</v>
      </c>
      <c r="S59" s="246" t="s">
        <v>477</v>
      </c>
      <c r="T59" s="245"/>
      <c r="U59" s="245"/>
      <c r="V59" s="245"/>
      <c r="W59" s="245"/>
    </row>
    <row r="60" spans="13:24" x14ac:dyDescent="0.2">
      <c r="M60" s="67"/>
      <c r="O60" s="246" t="s">
        <v>476</v>
      </c>
      <c r="P60" s="246" t="s">
        <v>475</v>
      </c>
      <c r="Q60" s="245"/>
      <c r="R60" s="245">
        <v>79</v>
      </c>
      <c r="S60" s="246" t="s">
        <v>474</v>
      </c>
      <c r="T60" s="245"/>
      <c r="U60" s="245"/>
      <c r="V60" s="245"/>
      <c r="W60" s="245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2023-08-28T16:58:55Z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